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1.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1. Herbal Products" sheetId="31" state="visible" r:id="rId31"/>
    <sheet xmlns:r="http://schemas.openxmlformats.org/officeDocument/2006/relationships" name="12. Food Products &amp; QA" sheetId="32" state="visible" r:id="rId32"/>
    <sheet xmlns:r="http://schemas.openxmlformats.org/officeDocument/2006/relationships" name="13. Medicinal Chemistry" sheetId="33" state="visible" r:id="rId33"/>
    <sheet xmlns:r="http://schemas.openxmlformats.org/officeDocument/2006/relationships" name="1. Pharmacy Laws &amp; Ethics" sheetId="34" state="visible" r:id="rId34"/>
    <sheet xmlns:r="http://schemas.openxmlformats.org/officeDocument/2006/relationships" name="2. Pharmacy Administration &amp; Sy" sheetId="35" state="visible" r:id="rId35"/>
    <sheet xmlns:r="http://schemas.openxmlformats.org/officeDocument/2006/relationships" name="3. Research &amp; Biostats" sheetId="36" state="visible" r:id="rId36"/>
    <sheet xmlns:r="http://schemas.openxmlformats.org/officeDocument/2006/relationships" name="User_Profiles" sheetId="37" state="visible" r:id="rId37"/>
    <sheet xmlns:r="http://schemas.openxmlformats.org/officeDocument/2006/relationships" name="Community_Chat" sheetId="38" state="visible" r:id="rId38"/>
    <sheet xmlns:r="http://schemas.openxmlformats.org/officeDocument/2006/relationships" name="Report_Quiz_Issues" sheetId="39" state="visible" r:id="rId39"/>
    <sheet xmlns:r="http://schemas.openxmlformats.org/officeDocument/2006/relationships" name="18. Clinical Nutrition" sheetId="40" state="visible" r:id="rId40"/>
    <sheet xmlns:r="http://schemas.openxmlformats.org/officeDocument/2006/relationships" name="17. Herbal Medicine" sheetId="41" state="visible" r:id="rId41"/>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s>
  <fills count="21">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s>
  <borders count="2">
    <border>
      <left/>
      <right/>
      <top/>
      <bottom/>
      <diagonal/>
    </border>
    <border>
      <left style="thin">
        <color rgb="FFE0E0E0"/>
      </left>
      <right style="thin">
        <color rgb="FFE0E0E0"/>
      </right>
      <top style="thin">
        <color rgb="FFE0E0E0"/>
      </top>
      <bottom style="thin">
        <color rgb="FFE0E0E0"/>
      </bottom>
      <diagonal/>
    </border>
  </borders>
  <cellStyleXfs count="1">
    <xf numFmtId="0" fontId="0" fillId="0" borderId="0"/>
  </cellStyleXfs>
  <cellXfs count="55">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M38"/>
  <sheetViews>
    <sheetView workbookViewId="0">
      <selection activeCell="A1" sqref="A1"/>
    </sheetView>
  </sheetViews>
  <sheetFormatPr baseColWidth="8" defaultColWidth="12.6640625" defaultRowHeight="15.75" customHeight="1"/>
  <cols>
    <col width="44.21875" customWidth="1" style="49" min="5" max="5"/>
  </cols>
  <sheetData>
    <row r="1">
      <c r="A1" s="2" t="inlineStr">
        <is>
          <t>🩺 1. CLINICAL PHARMACY (PLE-CC) — 16 กลุ่มโรค</t>
        </is>
      </c>
      <c r="K1" s="2" t="inlineStr">
        <is>
          <t>Heart Failure (HFrEF)</t>
        </is>
      </c>
      <c r="L1" s="2" t="inlineStr">
        <is>
          <t>Clinic</t>
        </is>
      </c>
      <c r="M1" s="2" t="inlineStr">
        <is>
          <t>Heart Failure Guidelines</t>
        </is>
      </c>
    </row>
    <row r="2">
      <c r="A2" s="2" t="inlineStr">
        <is>
          <t>ลำดับ</t>
        </is>
      </c>
      <c r="B2" s="2" t="inlineStr">
        <is>
          <t>ชื่อกลุ่มโรค (Disease Group)</t>
        </is>
      </c>
      <c r="C2" s="2" t="inlineStr">
        <is>
          <t>สายวิชา</t>
        </is>
      </c>
      <c r="D2" s="2" t="inlineStr">
        <is>
          <t>ลิงก์เปิดหน้าชีท</t>
        </is>
      </c>
      <c r="E2" s="2" t="inlineStr">
        <is>
          <t>คำอธิบายหมวดวิชา</t>
        </is>
      </c>
    </row>
    <row r="3">
      <c r="A3" s="2" t="n">
        <v>1</v>
      </c>
      <c r="B3" s="2" t="inlineStr">
        <is>
          <t>1. Musculoskeleton</t>
        </is>
      </c>
      <c r="C3" s="2" t="inlineStr">
        <is>
          <t>Clinic</t>
        </is>
      </c>
      <c r="D3" s="7" t="inlineStr">
        <is>
          <t>➡️ เปิดหน้าข้อสอบ</t>
        </is>
      </c>
      <c r="E3" s="2" t="inlineStr">
        <is>
          <t>ข้อสอบปรนัยคลินิก 5 ตัวเลือก</t>
        </is>
      </c>
    </row>
    <row r="4">
      <c r="A4" s="2" t="n">
        <v>2</v>
      </c>
      <c r="B4" s="2" t="inlineStr">
        <is>
          <t>2. Cardiovascular</t>
        </is>
      </c>
      <c r="C4" s="2" t="inlineStr">
        <is>
          <t>Clinic</t>
        </is>
      </c>
      <c r="D4" s="7" t="inlineStr">
        <is>
          <t>➡️ เปิดหน้าข้อสอบ</t>
        </is>
      </c>
      <c r="E4" s="2" t="inlineStr">
        <is>
          <t>ข้อสอบปรนัยคลินิก 5 ตัวเลือก</t>
        </is>
      </c>
    </row>
    <row r="5">
      <c r="A5" s="2" t="n">
        <v>3</v>
      </c>
      <c r="B5" s="2" t="inlineStr">
        <is>
          <t>3. Dermatologic</t>
        </is>
      </c>
      <c r="C5" s="2" t="inlineStr">
        <is>
          <t>Clinic</t>
        </is>
      </c>
      <c r="D5" s="7" t="inlineStr">
        <is>
          <t>➡️ เปิดหน้าข้อสอบ</t>
        </is>
      </c>
      <c r="E5" s="2" t="inlineStr">
        <is>
          <t>ข้อสอบปรนัยคลินิก 5 ตัวเลือก</t>
        </is>
      </c>
    </row>
    <row r="6">
      <c r="A6" s="2" t="n">
        <v>4</v>
      </c>
      <c r="B6" s="2" t="inlineStr">
        <is>
          <t>4. Endocrine</t>
        </is>
      </c>
      <c r="C6" s="2" t="inlineStr">
        <is>
          <t>Clinic</t>
        </is>
      </c>
      <c r="D6" s="7" t="inlineStr">
        <is>
          <t>➡️ เปิดหน้าข้อสอบ</t>
        </is>
      </c>
      <c r="E6" s="2" t="inlineStr">
        <is>
          <t>ข้อสอบปรนัยคลินิก 5 ตัวเลือก</t>
        </is>
      </c>
    </row>
    <row r="7">
      <c r="A7" s="2" t="n">
        <v>5</v>
      </c>
      <c r="B7" s="2" t="inlineStr">
        <is>
          <t>5. Gastrointestinal</t>
        </is>
      </c>
      <c r="C7" s="2" t="inlineStr">
        <is>
          <t>Clinic</t>
        </is>
      </c>
      <c r="D7" s="7" t="inlineStr">
        <is>
          <t>➡️ เปิดหน้าข้อสอบ</t>
        </is>
      </c>
      <c r="E7" s="2" t="inlineStr">
        <is>
          <t>ข้อสอบปรนัยคลินิก 5 ตัวเลือก</t>
        </is>
      </c>
    </row>
    <row r="8">
      <c r="A8" s="2" t="n">
        <v>6</v>
      </c>
      <c r="B8" s="2" t="inlineStr">
        <is>
          <t>6. Hematologic</t>
        </is>
      </c>
      <c r="C8" s="2" t="inlineStr">
        <is>
          <t>Clinic</t>
        </is>
      </c>
      <c r="D8" s="7" t="inlineStr">
        <is>
          <t>➡️ เปิดหน้าข้อสอบ</t>
        </is>
      </c>
      <c r="E8" s="2" t="inlineStr">
        <is>
          <t>ข้อสอบปรนัยคลินิก 5 ตัวเลือก</t>
        </is>
      </c>
    </row>
    <row r="9">
      <c r="A9" s="2" t="n">
        <v>7</v>
      </c>
      <c r="B9" s="2" t="inlineStr">
        <is>
          <t>7. Immunologic</t>
        </is>
      </c>
      <c r="C9" s="2" t="inlineStr">
        <is>
          <t>Clinic</t>
        </is>
      </c>
      <c r="D9" s="7" t="inlineStr">
        <is>
          <t>➡️ เปิดหน้าข้อสอบ</t>
        </is>
      </c>
      <c r="E9" s="2" t="inlineStr">
        <is>
          <t>ข้อสอบปรนัยคลินิก 5 ตัวเลือก</t>
        </is>
      </c>
    </row>
    <row r="10">
      <c r="A10" s="2" t="n">
        <v>8</v>
      </c>
      <c r="B10" s="2" t="inlineStr">
        <is>
          <t>8. Infectious diseases</t>
        </is>
      </c>
      <c r="C10" s="2" t="inlineStr">
        <is>
          <t>Clinic</t>
        </is>
      </c>
      <c r="D10" s="7" t="inlineStr">
        <is>
          <t>➡️ เปิดหน้าข้อสอบ</t>
        </is>
      </c>
      <c r="E10" s="2" t="inlineStr">
        <is>
          <t>ข้อสอบปรนัยคลินิก 5 ตัวเลือก</t>
        </is>
      </c>
    </row>
    <row r="11">
      <c r="A11" s="2" t="n">
        <v>9</v>
      </c>
      <c r="B11" s="2" t="inlineStr">
        <is>
          <t>9. Neurologic</t>
        </is>
      </c>
      <c r="C11" s="2" t="inlineStr">
        <is>
          <t>Clinic</t>
        </is>
      </c>
      <c r="D11" s="7" t="inlineStr">
        <is>
          <t>➡️ เปิดหน้าข้อสอบ</t>
        </is>
      </c>
      <c r="E11" s="2" t="inlineStr">
        <is>
          <t>ข้อสอบปรนัยคลินิก 5 ตัวเลือก</t>
        </is>
      </c>
    </row>
    <row r="12">
      <c r="A12" s="2" t="n">
        <v>10</v>
      </c>
      <c r="B12" s="2" t="inlineStr">
        <is>
          <t>10. Psychiatric</t>
        </is>
      </c>
      <c r="C12" s="2" t="inlineStr">
        <is>
          <t>Clinic</t>
        </is>
      </c>
      <c r="D12" s="7" t="inlineStr">
        <is>
          <t>➡️ เปิดหน้าข้อสอบ</t>
        </is>
      </c>
      <c r="E12" s="2" t="inlineStr">
        <is>
          <t>ข้อสอบปรนัยคลินิก 5 ตัวเลือก</t>
        </is>
      </c>
    </row>
    <row r="13">
      <c r="A13" s="2" t="n">
        <v>11</v>
      </c>
      <c r="B13" s="2" t="inlineStr">
        <is>
          <t>11. Pulmonary</t>
        </is>
      </c>
      <c r="C13" s="2" t="inlineStr">
        <is>
          <t>Clinic</t>
        </is>
      </c>
      <c r="D13" s="7" t="inlineStr">
        <is>
          <t>➡️ เปิดหน้าข้อสอบ</t>
        </is>
      </c>
      <c r="E13" s="2" t="inlineStr">
        <is>
          <t>ข้อสอบปรนัยคลินิก 5 ตัวเลือก</t>
        </is>
      </c>
    </row>
    <row r="14">
      <c r="A14" s="2" t="n">
        <v>12</v>
      </c>
      <c r="B14" s="2" t="inlineStr">
        <is>
          <t>12. Gynaecologic/Genitourinary</t>
        </is>
      </c>
      <c r="C14" s="2" t="inlineStr">
        <is>
          <t>Clinic</t>
        </is>
      </c>
      <c r="D14" s="7" t="inlineStr">
        <is>
          <t>➡️ เปิดหน้าข้อสอบ</t>
        </is>
      </c>
      <c r="E14" s="2" t="inlineStr">
        <is>
          <t>ข้อสอบปรนัยคลินิก 5 ตัวเลือก</t>
        </is>
      </c>
    </row>
    <row r="15">
      <c r="A15" s="2" t="n">
        <v>13</v>
      </c>
      <c r="B15" s="2" t="inlineStr">
        <is>
          <t>13. Eye disorder</t>
        </is>
      </c>
      <c r="C15" s="2" t="inlineStr">
        <is>
          <t>Clinic</t>
        </is>
      </c>
      <c r="D15" s="7" t="inlineStr">
        <is>
          <t>➡️ เปิดหน้าข้อสอบ</t>
        </is>
      </c>
      <c r="E15" s="2" t="inlineStr">
        <is>
          <t>ข้อสอบปรนัยคลินิก 5 ตัวเลือก</t>
        </is>
      </c>
    </row>
    <row r="16">
      <c r="A16" s="2" t="n">
        <v>14</v>
      </c>
      <c r="B16" s="2" t="inlineStr">
        <is>
          <t>14. Oncologic</t>
        </is>
      </c>
      <c r="C16" s="2" t="inlineStr">
        <is>
          <t>Clinic</t>
        </is>
      </c>
      <c r="D16" s="7" t="inlineStr">
        <is>
          <t>➡️ เปิดหน้าข้อสอบ</t>
        </is>
      </c>
      <c r="E16" s="2" t="inlineStr">
        <is>
          <t>ข้อสอบปรนัยคลินิก 5 ตัวเลือก</t>
        </is>
      </c>
    </row>
    <row r="17">
      <c r="A17" s="2" t="n">
        <v>15</v>
      </c>
      <c r="B17" s="2" t="inlineStr">
        <is>
          <t>15. Renal</t>
        </is>
      </c>
      <c r="C17" s="2" t="inlineStr">
        <is>
          <t>Clinic</t>
        </is>
      </c>
      <c r="D17" s="7" t="inlineStr">
        <is>
          <t>➡️ เปิดหน้าข้อสอบ</t>
        </is>
      </c>
      <c r="E17" s="2" t="inlineStr">
        <is>
          <t>ข้อสอบปรนัยคลินิก 5 ตัวเลือก</t>
        </is>
      </c>
    </row>
    <row r="18">
      <c r="A18" s="2" t="n">
        <v>16</v>
      </c>
      <c r="B18" s="2" t="inlineStr">
        <is>
          <t>16. Toxicology &amp; Poisoning</t>
        </is>
      </c>
      <c r="C18" s="2" t="inlineStr">
        <is>
          <t>Clinic</t>
        </is>
      </c>
      <c r="D18" s="7" t="inlineStr">
        <is>
          <t>➡️ เปิดหน้าข้อสอบ</t>
        </is>
      </c>
      <c r="E18" s="2" t="inlineStr">
        <is>
          <t>ข้อสอบปรนัยคลินิก 5 ตัวเลือก</t>
        </is>
      </c>
    </row>
    <row r="20">
      <c r="A20" s="2" t="inlineStr">
        <is>
          <t>🧪 2. PHARMACEUTICAL SCIENCES (PLE-PRODUCT) — 12 กลุ่มวิชา</t>
        </is>
      </c>
    </row>
    <row r="21">
      <c r="A21" s="2" t="inlineStr">
        <is>
          <t>ลำดับ</t>
        </is>
      </c>
      <c r="B21" s="2" t="inlineStr">
        <is>
          <t>ชื่อกลุ่มวิชา (Product Group)</t>
        </is>
      </c>
      <c r="C21" s="2" t="inlineStr">
        <is>
          <t>สายวิชา</t>
        </is>
      </c>
      <c r="D21" s="2" t="inlineStr">
        <is>
          <t>ลิงก์เปิดหน้าชีท</t>
        </is>
      </c>
      <c r="E21" s="2" t="inlineStr">
        <is>
          <t>คำอธิบายหมวดวิชา</t>
        </is>
      </c>
    </row>
    <row r="22">
      <c r="A22" s="2" t="n">
        <v>1</v>
      </c>
      <c r="B22" s="2" t="inlineStr">
        <is>
          <t>1. Titrations</t>
        </is>
      </c>
      <c r="C22" s="2" t="inlineStr">
        <is>
          <t>Product</t>
        </is>
      </c>
      <c r="D22" s="7" t="inlineStr">
        <is>
          <t>➡️ เปิดหน้าข้อสอบ</t>
        </is>
      </c>
      <c r="E22" s="2" t="inlineStr">
        <is>
          <t>ข้อสอบปรนัยวิทยาการเภสัชกรรม</t>
        </is>
      </c>
    </row>
    <row r="23">
      <c r="A23" s="2" t="n">
        <v>2</v>
      </c>
      <c r="B23" s="2" t="inlineStr">
        <is>
          <t>2. Chromatography</t>
        </is>
      </c>
      <c r="C23" s="2" t="inlineStr">
        <is>
          <t>Product</t>
        </is>
      </c>
      <c r="D23" s="7" t="inlineStr">
        <is>
          <t>➡️ เปิดหน้าข้อสอบ</t>
        </is>
      </c>
      <c r="E23" s="2" t="inlineStr">
        <is>
          <t>ข้อสอบปรนัยวิทยาการเภสัชกรรม</t>
        </is>
      </c>
    </row>
    <row r="24">
      <c r="A24" s="2" t="n">
        <v>3</v>
      </c>
      <c r="B24" s="2" t="inlineStr">
        <is>
          <t>3. Spectroscopy &amp; Optics</t>
        </is>
      </c>
      <c r="C24" s="2" t="inlineStr">
        <is>
          <t>Product</t>
        </is>
      </c>
      <c r="D24" s="7" t="inlineStr">
        <is>
          <t>➡️ เปิดหน้าข้อสอบ</t>
        </is>
      </c>
      <c r="E24" s="2" t="inlineStr">
        <is>
          <t>ข้อสอบปรนัยวิทยาการเภสัชกรรม</t>
        </is>
      </c>
    </row>
    <row r="25">
      <c r="A25" s="2" t="n">
        <v>4</v>
      </c>
      <c r="B25" s="2" t="inlineStr">
        <is>
          <t>4. Preformulation &amp; GMP</t>
        </is>
      </c>
      <c r="C25" s="2" t="inlineStr">
        <is>
          <t>Product</t>
        </is>
      </c>
      <c r="D25" s="7" t="inlineStr">
        <is>
          <t>➡️ เปิดหน้าข้อสอบ</t>
        </is>
      </c>
      <c r="E25" s="2" t="inlineStr">
        <is>
          <t>ข้อสอบปรนัยวิทยาการเภสัชกรรม</t>
        </is>
      </c>
    </row>
    <row r="26">
      <c r="A26" s="2" t="n">
        <v>5</v>
      </c>
      <c r="B26" s="2" t="inlineStr">
        <is>
          <t>5. Pharmaceutical Calc</t>
        </is>
      </c>
      <c r="C26" s="2" t="inlineStr">
        <is>
          <t>Product</t>
        </is>
      </c>
      <c r="D26" s="7" t="inlineStr">
        <is>
          <t>➡️ เปิดหน้าข้อสอบ</t>
        </is>
      </c>
      <c r="E26" s="2" t="inlineStr">
        <is>
          <t>ข้อสอบปรนัยวิทยาการเภสัชกรรม</t>
        </is>
      </c>
    </row>
    <row r="27">
      <c r="A27" s="2" t="n">
        <v>6</v>
      </c>
      <c r="B27" s="2" t="inlineStr">
        <is>
          <t>6. Solid Dosage Forms</t>
        </is>
      </c>
      <c r="C27" s="2" t="inlineStr">
        <is>
          <t>Product</t>
        </is>
      </c>
      <c r="D27" s="7" t="inlineStr">
        <is>
          <t>➡️ เปิดหน้าข้อสอบ</t>
        </is>
      </c>
      <c r="E27" s="2" t="inlineStr">
        <is>
          <t>ข้อสอบปรนัยวิทยาการเภสัชกรรม</t>
        </is>
      </c>
    </row>
    <row r="28">
      <c r="A28" s="2" t="n">
        <v>7</v>
      </c>
      <c r="B28" s="2" t="inlineStr">
        <is>
          <t>7. Liquid &amp; Semisolids</t>
        </is>
      </c>
      <c r="C28" s="2" t="inlineStr">
        <is>
          <t>Product</t>
        </is>
      </c>
      <c r="D28" s="7" t="inlineStr">
        <is>
          <t>➡️ เปิดหน้าข้อสอบ</t>
        </is>
      </c>
      <c r="E28" s="2" t="inlineStr">
        <is>
          <t>ข้อสอบปรนัยวิทยาการเภสัชกรรม</t>
        </is>
      </c>
    </row>
    <row r="29">
      <c r="A29" s="2" t="n">
        <v>8</v>
      </c>
      <c r="B29" s="2" t="inlineStr">
        <is>
          <t>8. Biopharm &amp; Drug Release</t>
        </is>
      </c>
      <c r="C29" s="2" t="inlineStr">
        <is>
          <t>Product</t>
        </is>
      </c>
      <c r="D29" s="7" t="inlineStr">
        <is>
          <t>➡️ เปิดหน้าข้อสอบ</t>
        </is>
      </c>
      <c r="E29" s="2" t="inlineStr">
        <is>
          <t>ข้อสอบปรนัยวิทยาการเภสัชกรรม</t>
        </is>
      </c>
    </row>
    <row r="30">
      <c r="A30" s="2" t="n">
        <v>9</v>
      </c>
      <c r="B30" s="2" t="inlineStr">
        <is>
          <t>9. Sterile &amp; Special Forms</t>
        </is>
      </c>
      <c r="C30" s="2" t="inlineStr">
        <is>
          <t>Product</t>
        </is>
      </c>
      <c r="D30" s="7" t="inlineStr">
        <is>
          <t>➡️ เปิดหน้าข้อสอบ</t>
        </is>
      </c>
      <c r="E30" s="2" t="inlineStr">
        <is>
          <t>ข้อสอบปรนัยวิทยาการเภสัชกรรม</t>
        </is>
      </c>
    </row>
    <row r="31">
      <c r="A31" s="2" t="n">
        <v>10</v>
      </c>
      <c r="B31" s="2" t="inlineStr">
        <is>
          <t>10. Biotech Products</t>
        </is>
      </c>
      <c r="C31" s="2" t="inlineStr">
        <is>
          <t>Product</t>
        </is>
      </c>
      <c r="D31" s="7" t="inlineStr">
        <is>
          <t>➡️ เปิดหน้าข้อสอบ</t>
        </is>
      </c>
      <c r="E31" s="2" t="inlineStr">
        <is>
          <t>ข้อสอบปรนัยวิทยาการเภสัชกรรม</t>
        </is>
      </c>
    </row>
    <row r="32">
      <c r="A32" s="2" t="n">
        <v>11</v>
      </c>
      <c r="B32" s="2" t="inlineStr">
        <is>
          <t>11. Herbal Products</t>
        </is>
      </c>
      <c r="C32" s="2" t="inlineStr">
        <is>
          <t>Product</t>
        </is>
      </c>
      <c r="D32" s="7" t="inlineStr">
        <is>
          <t>➡️ เปิดหน้าข้อสอบ</t>
        </is>
      </c>
      <c r="E32" s="2" t="inlineStr">
        <is>
          <t>ข้อสอบปรนัยวิทยาการเภสัชกรรม</t>
        </is>
      </c>
    </row>
    <row r="33">
      <c r="A33" s="2" t="n">
        <v>12</v>
      </c>
      <c r="B33" s="2" t="inlineStr">
        <is>
          <t>12. Food Products &amp; QA</t>
        </is>
      </c>
      <c r="C33" s="2" t="inlineStr">
        <is>
          <t>Product</t>
        </is>
      </c>
      <c r="D33" s="7" t="inlineStr">
        <is>
          <t>➡️ เปิดหน้าข้อสอบ</t>
        </is>
      </c>
      <c r="E33" s="2" t="inlineStr">
        <is>
          <t>ข้อสอบปรนัยวิทยาการเภสัชกรรม</t>
        </is>
      </c>
    </row>
    <row r="35">
      <c r="A35" s="2" t="inlineStr">
        <is>
          <t>💼 3. SOCIAL &amp; ADMINISTRATIVE PHARMACY (SAP) — สังคมเภสัชกรรมและกฎหมาย</t>
        </is>
      </c>
    </row>
    <row r="36">
      <c r="A36" s="2" t="inlineStr">
        <is>
          <t>ลำดับ</t>
        </is>
      </c>
      <c r="B36" s="2" t="inlineStr">
        <is>
          <t>ชื่อกลุ่มวิชา (SAP Group)</t>
        </is>
      </c>
      <c r="C36" s="2" t="inlineStr">
        <is>
          <t>สายวิชา</t>
        </is>
      </c>
      <c r="D36" s="2" t="inlineStr">
        <is>
          <t>ลิงก์เปิดหน้าชีท</t>
        </is>
      </c>
      <c r="E36" s="2" t="inlineStr">
        <is>
          <t>คำอธิบายหมวดวิชา</t>
        </is>
      </c>
    </row>
    <row r="37">
      <c r="A37" s="2" t="n">
        <v>1</v>
      </c>
      <c r="B37" s="2" t="inlineStr">
        <is>
          <t>1. Pharmacy Laws &amp; Ethics</t>
        </is>
      </c>
      <c r="C37" s="2" t="inlineStr">
        <is>
          <t>SAP</t>
        </is>
      </c>
      <c r="D37" s="7" t="inlineStr">
        <is>
          <t>➡️ เปิดหน้าข้อสอบ</t>
        </is>
      </c>
      <c r="E37" s="2" t="inlineStr">
        <is>
          <t>ข้อสอบปรนัยกฎหมายและระบบยา</t>
        </is>
      </c>
    </row>
    <row r="38">
      <c r="A38" s="2" t="n">
        <v>2</v>
      </c>
      <c r="B38" s="2" t="inlineStr">
        <is>
          <t>2. Pharmacy Administration &amp; System</t>
        </is>
      </c>
      <c r="C38" s="2" t="inlineStr">
        <is>
          <t>SAP</t>
        </is>
      </c>
      <c r="D38" s="7" t="inlineStr">
        <is>
          <t>➡️ เปิดหน้าข้อสอบ</t>
        </is>
      </c>
      <c r="E38" s="2" t="inlineStr">
        <is>
          <t>ข้อสอบปรนัยกฎหมายและระบบยา</t>
        </is>
      </c>
    </row>
  </sheetData>
  <hyperlinks>
    <hyperlink ref="D3" location="'1. Musculoskeleton'!A1" display="➡️ เปิดหน้าข้อสอบ"/>
    <hyperlink ref="D4" location="'2. Cardiovascular'!A1" display="➡️ เปิดหน้าข้อสอบ"/>
    <hyperlink ref="D5" location="'3. Dermatologic'!A1" display="➡️ เปิดหน้าข้อสอบ"/>
    <hyperlink ref="D6" location="'4. Endocrine'!A1" display="➡️ เปิดหน้าข้อสอบ"/>
    <hyperlink ref="D7" location="'5. Gastrointestinal'!A1" display="➡️ เปิดหน้าข้อสอบ"/>
    <hyperlink ref="D8" location="'6. Hematologic'!A1" display="➡️ เปิดหน้าข้อสอบ"/>
    <hyperlink ref="D9" location="'7. Immunologic'!A1" display="➡️ เปิดหน้าข้อสอบ"/>
    <hyperlink ref="D10" location="'8. Infectious diseases'!A1" display="➡️ เปิดหน้าข้อสอบ"/>
    <hyperlink ref="D11" location="'9. Neurologic'!A1" display="➡️ เปิดหน้าข้อสอบ"/>
    <hyperlink ref="D12" location="'10. Psychiatric'!A1" display="➡️ เปิดหน้าข้อสอบ"/>
    <hyperlink ref="D13" location="'11. Pulmonary'!A1" display="➡️ เปิดหน้าข้อสอบ"/>
    <hyperlink ref="D14" location="'12. GynaecologicGenitourinary'!A1" display="➡️ เปิดหน้าข้อสอบ"/>
    <hyperlink ref="D15" location="'13. Eye disorder'!A1" display="➡️ เปิดหน้าข้อสอบ"/>
    <hyperlink ref="D16" location="'14. Oncologic'!A1" display="➡️ เปิดหน้าข้อสอบ"/>
    <hyperlink ref="D17" location="'15. Renal'!A1" display="➡️ เปิดหน้าข้อสอบ"/>
    <hyperlink ref="D18" location="'16. Others &amp; Toxic'!A1" display="➡️ เปิดหน้าข้อสอบ"/>
    <hyperlink ref="D22" location="'1. Titrations'!A1" display="➡️ เปิดหน้าข้อสอบ"/>
    <hyperlink ref="D23" location="'2. Chromatography'!A1" display="➡️ เปิดหน้าข้อสอบ"/>
    <hyperlink ref="D24" location="'3. Spectroscopy &amp; Optics'!A1" display="➡️ เปิดหน้าข้อสอบ"/>
    <hyperlink ref="D25" location="'4. Preformulation &amp; GMP'!A1" display="➡️ เปิดหน้าข้อสอบ"/>
    <hyperlink ref="D26" location="'5. Pharmaceutical Calc'!A1" display="➡️ เปิดหน้าข้อสอบ"/>
    <hyperlink ref="D27" location="'6. Solid Dosage Forms'!A1" display="➡️ เปิดหน้าข้อสอบ"/>
    <hyperlink ref="D28" location="'7. Liquid &amp; Semisolids'!A1" display="➡️ เปิดหน้าข้อสอบ"/>
    <hyperlink ref="D29" location="'8. Biopharm &amp; Drug Release'!A1" display="➡️ เปิดหน้าข้อสอบ"/>
    <hyperlink ref="D30" location="'9. Sterile &amp; Special Forms'!A1" display="➡️ เปิดหน้าข้อสอบ"/>
    <hyperlink ref="D31" location="'10. Biotech Products'!A1" display="➡️ เปิดหน้าข้อสอบ"/>
    <hyperlink ref="D32" location="'11. Herbal Products'!A1" display="➡️ เปิดหน้าข้อสอบ"/>
    <hyperlink ref="D33" location="'12. Food Products &amp; QA'!A1" display="➡️ เปิดหน้าข้อสอบ"/>
    <hyperlink ref="D37" location="'1. Pharmacy Laws &amp; Ethics'!A1" display="➡️ เปิดหน้าข้อสอบ"/>
    <hyperlink ref="D38" location="'2. Pharmacy Administration &amp; Sy'!A1" display="➡️ เปิดหน้าข้อสอบ"/>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
  <sheetViews>
    <sheetView workbookViewId="0">
      <pane ySplit="2" topLeftCell="A3" activePane="bottomLeft" state="frozen"/>
      <selection pane="bottomLeft" activeCell="A1" sqref="A1"/>
    </sheetView>
  </sheetViews>
  <sheetFormatPr baseColWidth="8" defaultRowHeight="13.2"/>
  <cols>
    <col width="8" customWidth="1" style="49" min="1" max="1"/>
    <col width="45" customWidth="1" style="49" min="2" max="2"/>
    <col width="15" customWidth="1" style="49" min="3" max="3"/>
    <col width="22" customWidth="1" style="49" min="4" max="8"/>
    <col width="12" customWidth="1" style="49" min="9" max="9"/>
    <col width="50" customWidth="1" style="49" min="10" max="10"/>
    <col width="15" customWidth="1" style="49" min="11" max="11"/>
    <col width="22" customWidth="1" style="49" min="12" max="12"/>
    <col width="18" customWidth="1" style="49" min="13" max="15"/>
    <col width="22" customWidth="1" style="49" min="16" max="16"/>
    <col width="28" customWidth="1" style="49" min="17" max="17"/>
  </cols>
  <sheetData>
    <row r="1" ht="36" customHeight="1" s="49">
      <c r="A1" s="50">
        <f>HYPERLINK("#'สารบัญ'!A1", "🏠 กลับสู่หน้าแรก (Go to Home Page)")</f>
        <v/>
      </c>
    </row>
    <row r="2" ht="37.95" customHeight="1" s="49">
      <c r="A2" s="46" t="inlineStr">
        <is>
          <t>ข้อที่</t>
        </is>
      </c>
      <c r="B2" s="46" t="inlineStr">
        <is>
          <t>คำถาม</t>
        </is>
      </c>
      <c r="C2" s="46" t="inlineStr">
        <is>
          <t>รูปถาม</t>
        </is>
      </c>
      <c r="D2" s="46" t="inlineStr">
        <is>
          <t>ตัวเลือก 1 (ก)</t>
        </is>
      </c>
      <c r="E2" s="46" t="inlineStr">
        <is>
          <t>ตัวเลือก 2 (ข)</t>
        </is>
      </c>
      <c r="F2" s="46" t="inlineStr">
        <is>
          <t>ตัวเลือก 3 (ค)</t>
        </is>
      </c>
      <c r="G2" s="46" t="inlineStr">
        <is>
          <t>ตัวเลือก 4 (ง)</t>
        </is>
      </c>
      <c r="H2" s="46" t="inlineStr">
        <is>
          <t>ตัวเลือก 5 (จ)</t>
        </is>
      </c>
      <c r="I2" s="46" t="inlineStr">
        <is>
          <t>เฉลย (1-5)</t>
        </is>
      </c>
      <c r="J2" s="46" t="inlineStr">
        <is>
          <t>คำอธิบายเฉลย</t>
        </is>
      </c>
      <c r="K2" s="46" t="inlineStr">
        <is>
          <t>รูปเฉลย</t>
        </is>
      </c>
      <c r="L2" s="46" t="inlineStr">
        <is>
          <t>Filter หมวด/Subtopic</t>
        </is>
      </c>
      <c r="M2" s="46" t="inlineStr">
        <is>
          <t>Track (Clinic/Product/SAP)</t>
        </is>
      </c>
      <c r="N2" s="46" t="inlineStr">
        <is>
          <t>หมายเหตุ</t>
        </is>
      </c>
      <c r="O2" s="46" t="inlineStr">
        <is>
          <t>ประเภทข้อสอบ</t>
        </is>
      </c>
      <c r="P2" s="46" t="inlineStr">
        <is>
          <t>ปี / เลขชุด</t>
        </is>
      </c>
      <c r="Q2" s="46" t="inlineStr">
        <is>
          <t>หมวดวิชา/ชีตปลายทาง ★</t>
        </is>
      </c>
    </row>
    <row r="3" ht="28.05" customHeight="1" s="49">
      <c r="A3" s="47" t="inlineStr">
        <is>
          <t>1</t>
        </is>
      </c>
      <c r="B3" s="47" t="inlineStr">
        <is>
          <t>ผู้ป่วยชาย 65 ปี เป็นโรคเกาต์เรื้อรัง Serum Uric Acid 9.5 mg/dL ยาที่เหมาะสมสำหรับรักษาระยะยาวคืออะไร</t>
        </is>
      </c>
      <c r="C3" s="47" t="n"/>
      <c r="D3" s="47" t="inlineStr">
        <is>
          <t>Colchicine 0.6 mg OD</t>
        </is>
      </c>
      <c r="E3" s="47" t="inlineStr">
        <is>
          <t>Indomethacin 50 mg TID</t>
        </is>
      </c>
      <c r="F3" s="47" t="inlineStr">
        <is>
          <t>Allopurinol 300 mg OD</t>
        </is>
      </c>
      <c r="G3" s="47" t="inlineStr">
        <is>
          <t>Prednisolone 30 mg OD</t>
        </is>
      </c>
      <c r="H3" s="47" t="n"/>
      <c r="I3" s="47" t="inlineStr">
        <is>
          <t>3</t>
        </is>
      </c>
      <c r="J3" s="47" t="inlineStr">
        <is>
          <t>Allopurinol เป็น Urate-lowering therapy (ULT) สำหรับรักษาเกาต์ระยะยาว เป้าหมาย Serum Uric Acid &lt; 6 mg/dL ไม่ควรเริ่มใช้ระหว่างที่มี Acute attack</t>
        </is>
      </c>
      <c r="K3" s="47" t="n"/>
      <c r="L3" s="47" t="inlineStr">
        <is>
          <t>Gout</t>
        </is>
      </c>
      <c r="M3" s="47" t="inlineStr">
        <is>
          <t>Clinic</t>
        </is>
      </c>
      <c r="N3" s="47" t="inlineStr">
        <is>
          <t>[TEST] Quick Ingestion</t>
        </is>
      </c>
      <c r="O3" s="47" t="inlineStr">
        <is>
          <t>แบบฝึกหัด</t>
        </is>
      </c>
      <c r="P3" s="47" t="inlineStr">
        <is>
          <t>TEST-2567</t>
        </is>
      </c>
      <c r="Q3" s="47" t="inlineStr">
        <is>
          <t>1. Musculoskeleton</t>
        </is>
      </c>
    </row>
    <row r="4" ht="28.05" customHeight="1" s="49">
      <c r="A4" s="47" t="inlineStr">
        <is>
          <t>2</t>
        </is>
      </c>
      <c r="B4" s="47" t="inlineStr">
        <is>
          <t>ผู้ป่วยหญิง 55 ปี เบาหวาน 10 ปี BP 148/92 mmHg eGFR 55 mL/min ควรเลือกยาลดความดันโลหิตกลุ่มใดเป็นอันดับแรก</t>
        </is>
      </c>
      <c r="C4" s="47" t="n"/>
      <c r="D4" s="47" t="inlineStr">
        <is>
          <t>Amlodipine (CCB)</t>
        </is>
      </c>
      <c r="E4" s="47" t="inlineStr">
        <is>
          <t>Hydrochlorothiazide (Thiazide)</t>
        </is>
      </c>
      <c r="F4" s="47" t="inlineStr">
        <is>
          <t>Enalapril (ACEi)</t>
        </is>
      </c>
      <c r="G4" s="47" t="inlineStr">
        <is>
          <t>Metoprolol (Beta-blocker)</t>
        </is>
      </c>
      <c r="H4" s="47" t="inlineStr">
        <is>
          <t>Furosemide (Loop diuretic)</t>
        </is>
      </c>
      <c r="I4" s="47" t="inlineStr">
        <is>
          <t>3</t>
        </is>
      </c>
      <c r="J4" s="47" t="inlineStr">
        <is>
          <t>ACEi เป็น First-line ในผู้ป่วย DM+HTN เพราะมีฤทธิ์ Renoprotective ลด Proteinuria และชะลอการเสื่อมของไต ถ้าไอให้เปลี่ยนเป็น ARB</t>
        </is>
      </c>
      <c r="K4" s="47" t="n"/>
      <c r="L4" s="47" t="inlineStr">
        <is>
          <t>Hypertension in DM</t>
        </is>
      </c>
      <c r="M4" s="47" t="inlineStr">
        <is>
          <t>Clinic</t>
        </is>
      </c>
      <c r="N4" s="47" t="inlineStr">
        <is>
          <t>[TEST] Quick Ingestion</t>
        </is>
      </c>
      <c r="O4" s="47" t="inlineStr">
        <is>
          <t>แบบฝึกหัด</t>
        </is>
      </c>
      <c r="P4" s="47" t="inlineStr">
        <is>
          <t>TEST-2567</t>
        </is>
      </c>
      <c r="Q4" s="47" t="inlineStr">
        <is>
          <t>2. Cardiovascular</t>
        </is>
      </c>
    </row>
    <row r="5" ht="28.05" customHeight="1" s="49">
      <c r="A5" s="47" t="inlineStr">
        <is>
          <t>3</t>
        </is>
      </c>
      <c r="B5" s="47" t="inlineStr">
        <is>
          <t>ผู้ป่วย T2DM HbA1c 9.5% BMI 32 ยังไม่ได้รับยา ยาที่เหมาะสมที่สุดเป็น Initial therapy คืออะไร</t>
        </is>
      </c>
      <c r="C5" s="47" t="n"/>
      <c r="D5" s="47" t="inlineStr">
        <is>
          <t>Glibenclamide</t>
        </is>
      </c>
      <c r="E5" s="47" t="inlineStr">
        <is>
          <t>Metformin</t>
        </is>
      </c>
      <c r="F5" s="47" t="inlineStr">
        <is>
          <t>Insulin glargine</t>
        </is>
      </c>
      <c r="G5" s="47" t="inlineStr">
        <is>
          <t>Acarbose</t>
        </is>
      </c>
      <c r="H5" s="47" t="inlineStr">
        <is>
          <t>Sitagliptin</t>
        </is>
      </c>
      <c r="I5" s="47" t="inlineStr">
        <is>
          <t>2</t>
        </is>
      </c>
      <c r="J5" s="47" t="inlineStr">
        <is>
          <t>Metformin เป็น First-line ใน T2DM ทุกราย (ถ้าไม่มีข้อห้าม) ลด HbA1c ได้ 1-2% น้ำหนักตัวไม่เพิ่ม ราคาถูก ลด CV events ได้</t>
        </is>
      </c>
      <c r="K5" s="47" t="n"/>
      <c r="L5" s="47" t="inlineStr">
        <is>
          <t>Diabetes Mellitus</t>
        </is>
      </c>
      <c r="M5" s="47" t="inlineStr">
        <is>
          <t>Clinic</t>
        </is>
      </c>
      <c r="N5" s="47" t="inlineStr">
        <is>
          <t>[TEST] Quick Ingestion</t>
        </is>
      </c>
      <c r="O5" s="47" t="inlineStr">
        <is>
          <t>แบบฝึกหัด</t>
        </is>
      </c>
      <c r="P5" s="47" t="inlineStr">
        <is>
          <t>TEST-2567</t>
        </is>
      </c>
      <c r="Q5" s="47" t="inlineStr">
        <is>
          <t>4. Endocrine</t>
        </is>
      </c>
    </row>
    <row r="6" ht="28.05" customHeight="1" s="49">
      <c r="A6" s="47" t="inlineStr">
        <is>
          <t>4</t>
        </is>
      </c>
      <c r="B6" s="47" t="inlineStr">
        <is>
          <t>ผู้ป่วย 40 ปี ไข้ ไอ เสมหะ ตรวจ CXR พบ Lobar consolidation RLL ไม่มีโรคร่วม ไม่เคยใช้ยาปฏิชีวนะ 3 เดือน ควรเลือกยาอะไร</t>
        </is>
      </c>
      <c r="C6" s="47" t="n"/>
      <c r="D6" s="47" t="inlineStr">
        <is>
          <t>Amoxicillin-clavulanate 875/125 mg PO BID</t>
        </is>
      </c>
      <c r="E6" s="47" t="inlineStr">
        <is>
          <t>Azithromycin 500 mg PO OD 3 วัน</t>
        </is>
      </c>
      <c r="F6" s="47" t="inlineStr">
        <is>
          <t>Amoxicillin 500 mg PO TID 5 วัน</t>
        </is>
      </c>
      <c r="G6" s="47" t="inlineStr">
        <is>
          <t>Levofloxacin 750 mg PO OD 5 วัน</t>
        </is>
      </c>
      <c r="H6" s="47" t="inlineStr">
        <is>
          <t>Ceftriaxone 1 g IV OD</t>
        </is>
      </c>
      <c r="I6" s="47" t="inlineStr">
        <is>
          <t>3</t>
        </is>
      </c>
      <c r="J6" s="47" t="inlineStr">
        <is>
          <t>CAP ผู้ป่วยนอก ไม่มี Comorbidity ให้ Amoxicillin PO เป็น First-line ตาม ATS/IDSA 2019 Guidelines ครอบคลุม S. pneumoniae ซึ่งเป็น pathogen หลัก</t>
        </is>
      </c>
      <c r="K6" s="47" t="n"/>
      <c r="L6" s="47" t="inlineStr">
        <is>
          <t>CAP (Community-Acquired Pneumonia)</t>
        </is>
      </c>
      <c r="M6" s="47" t="inlineStr">
        <is>
          <t>Clinic</t>
        </is>
      </c>
      <c r="N6" s="47" t="inlineStr">
        <is>
          <t>[TEST] Quick Ingestion</t>
        </is>
      </c>
      <c r="O6" s="47" t="inlineStr">
        <is>
          <t>แบบฝึกหัด</t>
        </is>
      </c>
      <c r="P6" s="47" t="inlineStr">
        <is>
          <t>TEST-2567</t>
        </is>
      </c>
      <c r="Q6" s="47" t="inlineStr">
        <is>
          <t>9. Respiratory &amp; Pulmonology</t>
        </is>
      </c>
    </row>
    <row r="7" ht="28.05" customHeight="1" s="49">
      <c r="A7" s="47" t="inlineStr">
        <is>
          <t>5</t>
        </is>
      </c>
      <c r="B7" s="47" t="inlineStr">
        <is>
          <t>ข้อใดต่อไปนี้เป็นลักษณะของ Enteric-coated tablet ที่ถูกต้อง</t>
        </is>
      </c>
      <c r="C7" s="47" t="n"/>
      <c r="D7" s="47" t="inlineStr">
        <is>
          <t>ละลายในกระเพาะอาหาร pH 1-2</t>
        </is>
      </c>
      <c r="E7" s="47" t="inlineStr">
        <is>
          <t>ปล่อยยาแบบ Sustained release ตลอด 24 ชั่วโมง</t>
        </is>
      </c>
      <c r="F7" s="47" t="inlineStr">
        <is>
          <t>ป้องกันการระคายเคืองกระเพาะอาหารโดยแตกตัวใน pH &gt; 5.5</t>
        </is>
      </c>
      <c r="G7" s="47" t="inlineStr">
        <is>
          <t>เคลือบด้วย Ethylcellulose เพื่อกันความชื้น</t>
        </is>
      </c>
      <c r="H7" s="47" t="inlineStr">
        <is>
          <t>ห้ามบดเพราะจะทำลาย Active ingredient</t>
        </is>
      </c>
      <c r="I7" s="47" t="inlineStr">
        <is>
          <t>3</t>
        </is>
      </c>
      <c r="J7" s="47" t="inlineStr">
        <is>
          <t>Enteric-coated tablet เคลือบด้วยพอลิเมอร์ที่ทนกรด (เช่น HPMC phthalate, Eudragit L) ละลายที่ pH &gt; 5.5 ในลำไส้เล็ก จุดประสงค์: 1) กันยาระคายกระเพาะ 2) กันยาถูกทำลายในกรด</t>
        </is>
      </c>
      <c r="K7" s="47" t="n"/>
      <c r="L7" s="47" t="inlineStr">
        <is>
          <t>Solid Dosage Forms</t>
        </is>
      </c>
      <c r="M7" s="47" t="inlineStr">
        <is>
          <t>Product</t>
        </is>
      </c>
      <c r="N7" s="47" t="inlineStr">
        <is>
          <t>[TEST] Quick Ingestion</t>
        </is>
      </c>
      <c r="O7" s="47" t="inlineStr">
        <is>
          <t>แบบฝึกหัด</t>
        </is>
      </c>
      <c r="P7" s="47" t="inlineStr">
        <is>
          <t>TEST-2567</t>
        </is>
      </c>
      <c r="Q7" s="47" t="inlineStr">
        <is>
          <t>6. Solid Dosage Forms</t>
        </is>
      </c>
    </row>
    <row r="8" ht="28.05" customHeight="1" s="49">
      <c r="A8" s="47" t="inlineStr">
        <is>
          <t>6</t>
        </is>
      </c>
      <c r="B8" s="47" t="inlineStr">
        <is>
          <t>ผู้ป่วย Major Depression รักษาด้วย Fluoxetine 20 mg OD มา 6 สัปดาห์ อาการดีขึ้น 50% ขั้นตอนถัดไปที่เหมาะสมที่สุดคือ</t>
        </is>
      </c>
      <c r="C8" s="47" t="n"/>
      <c r="D8" s="47" t="inlineStr">
        <is>
          <t>หยุดยาทันทีเพราะอาการดีขึ้นแล้ว</t>
        </is>
      </c>
      <c r="E8" s="47" t="inlineStr">
        <is>
          <t>เพิ่มขนาดยาเป็น Fluoxetine 40 mg</t>
        </is>
      </c>
      <c r="F8" s="47" t="inlineStr">
        <is>
          <t>รักษาต่อด้วยขนาดยาเดิมอีก 4-9 เดือน (Continuation Phase)</t>
        </is>
      </c>
      <c r="G8" s="47" t="inlineStr">
        <is>
          <t>เปลี่ยนยาเป็น Venlafaxine เพราะตอบสนองไม่ดีพอ</t>
        </is>
      </c>
      <c r="H8" s="47" t="inlineStr">
        <is>
          <t>เพิ่ม Lithium augmentation</t>
        </is>
      </c>
      <c r="I8" s="47" t="inlineStr">
        <is>
          <t>3</t>
        </is>
      </c>
      <c r="J8" s="47" t="inlineStr">
        <is>
          <t>Continuation Phase ของ MDD ควรรักษาต่ออีก 4-9 เดือนหลังจากอาการหาย (Remission) เพื่อป้องกัน Relapse ห้ามหยุดยาเองหลังอาการดีขึ้นระยะสั้น</t>
        </is>
      </c>
      <c r="K8" s="47" t="n"/>
      <c r="L8" s="47" t="inlineStr">
        <is>
          <t>Major Depressive Disorder</t>
        </is>
      </c>
      <c r="M8" s="47" t="inlineStr">
        <is>
          <t>Clinic</t>
        </is>
      </c>
      <c r="N8" s="47" t="inlineStr">
        <is>
          <t>[TEST] Quick Ingestion</t>
        </is>
      </c>
      <c r="O8" s="47" t="inlineStr">
        <is>
          <t>แบบฝึกหัด</t>
        </is>
      </c>
      <c r="P8" s="47" t="inlineStr">
        <is>
          <t>TEST-2567</t>
        </is>
      </c>
      <c r="Q8" s="47" t="inlineStr">
        <is>
          <t>10. Psychiatric</t>
        </is>
      </c>
    </row>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2" t="inlineStr">
        <is>
          <t>2026-09-24T13:21:44.697Z</t>
        </is>
      </c>
      <c r="B2" s="2" t="inlineStr">
        <is>
          <t>บุคคลทั่วไป</t>
        </is>
      </c>
      <c r="C2" s="2" t="inlineStr">
        <is>
          <t>⏱️ จำลองสอบจริง PLE-CC1 (20 ข้อ)</t>
        </is>
      </c>
      <c r="D2" s="2" t="n">
        <v>4</v>
      </c>
      <c r="E2" s="2" t="n">
        <v>20</v>
      </c>
      <c r="F2" s="4" t="n">
        <v>0.2</v>
      </c>
      <c r="G2" s="2" t="n">
        <v>0</v>
      </c>
    </row>
    <row r="3">
      <c r="A3" s="2" t="inlineStr">
        <is>
          <t>2026-09-24T13:36:42.772Z</t>
        </is>
      </c>
      <c r="B3" s="2" t="inlineStr">
        <is>
          <t>idea</t>
        </is>
      </c>
      <c r="C3" s="2" t="inlineStr">
        <is>
          <t>18. Clinical Nutrition</t>
        </is>
      </c>
      <c r="D3" s="2" t="n">
        <v>15</v>
      </c>
      <c r="E3" s="2" t="n">
        <v>23</v>
      </c>
      <c r="F3" s="4" t="n">
        <v>0.65</v>
      </c>
      <c r="G3" s="2" t="n">
        <v>0</v>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D10" sqref="D10"/>
    </sheetView>
  </sheetViews>
  <sheetFormatPr baseColWidth="8" defaultColWidth="12.6640625" defaultRowHeight="15.75" customHeight="1"/>
  <cols>
    <col width="23.44140625" customWidth="1" style="49" min="3" max="3"/>
    <col width="32.21875" customWidth="1" style="49" min="4" max="4"/>
    <col width="16.109375" customWidth="1" style="49" min="5" max="5"/>
  </cols>
  <sheetData>
    <row r="1" ht="27" customHeight="1" s="49">
      <c r="A1" s="48">
        <f>HYPERLINK("#gid=0", "🏠 กลับสู่หน้าแรก (Go to Home Page)")</f>
        <v/>
      </c>
    </row>
    <row r="2" ht="21.6" customHeight="1" s="49">
      <c r="A2" s="5" t="inlineStr">
        <is>
          <t>⚙️ ตัวกรอง:</t>
        </is>
      </c>
      <c r="B2" s="5" t="inlineStr">
        <is>
          <t>ประเภทข้อสอบ (Col O)</t>
        </is>
      </c>
      <c r="C2" s="5" t="inlineStr">
        <is>
          <t>ปี / เลขชุด (Col P)</t>
        </is>
      </c>
      <c r="D2" s="5" t="inlineStr">
        <is>
          <t>หมวดหลัก (Clinic/Product/SAP)</t>
        </is>
      </c>
      <c r="E2" s="5" t="inlineStr">
        <is>
          <t>ค้นหาคีย์เวิร์ดในโจทย์ / ยา</t>
        </is>
      </c>
      <c r="F2" s="5" t="inlineStr">
        <is>
          <t>จำนวนข้อที่พบ</t>
        </is>
      </c>
    </row>
    <row r="3" ht="21.6" customHeight="1" s="49">
      <c r="A3" s="6" t="inlineStr">
        <is>
          <t>เลือกค่า 👉</t>
        </is>
      </c>
      <c r="B3" s="6" t="inlineStr">
        <is>
          <t>ทั้งหมด</t>
        </is>
      </c>
      <c r="C3" s="6" t="inlineStr">
        <is>
          <t>ชุด 1</t>
        </is>
      </c>
      <c r="D3" s="6" t="inlineStr">
        <is>
          <t>Product</t>
        </is>
      </c>
      <c r="E3" s="6" t="n"/>
      <c r="F3" s="6">
        <f>COUNTA(A6:A11000)</f>
        <v/>
      </c>
    </row>
    <row r="5" ht="21.6" customHeight="1" s="49">
      <c r="A5" s="9" t="inlineStr">
        <is>
          <t>ข้อที่</t>
        </is>
      </c>
      <c r="B5" s="9" t="inlineStr">
        <is>
          <t>คำถาม</t>
        </is>
      </c>
      <c r="C5" s="9" t="inlineStr">
        <is>
          <t>รูปถาม</t>
        </is>
      </c>
      <c r="D5" s="9" t="inlineStr">
        <is>
          <t>ตัวเลือก 1</t>
        </is>
      </c>
      <c r="E5" s="9" t="inlineStr">
        <is>
          <t>ตัวเลือก 2</t>
        </is>
      </c>
      <c r="F5" s="9" t="inlineStr">
        <is>
          <t>ตัวเลือก 3</t>
        </is>
      </c>
      <c r="G5" s="9" t="inlineStr">
        <is>
          <t>ตัวเลือก 4</t>
        </is>
      </c>
      <c r="H5" s="9" t="inlineStr">
        <is>
          <t>ตัวเลือก 5</t>
        </is>
      </c>
      <c r="I5" s="9" t="inlineStr">
        <is>
          <t>เฉลย</t>
        </is>
      </c>
      <c r="J5" s="9" t="inlineStr">
        <is>
          <t>คำอธิบายเฉลย</t>
        </is>
      </c>
      <c r="K5" s="9" t="inlineStr">
        <is>
          <t>รูปเฉลย</t>
        </is>
      </c>
      <c r="L5" s="9" t="inlineStr">
        <is>
          <t>หมวด/Subtopic</t>
        </is>
      </c>
      <c r="M5" s="9" t="inlineStr">
        <is>
          <t>Product/Clinic/SAP</t>
        </is>
      </c>
      <c r="N5" s="9" t="inlineStr">
        <is>
          <t>หมายเหตุ</t>
        </is>
      </c>
      <c r="O5" s="9" t="inlineStr">
        <is>
          <t>ประเภทข้อสอบ</t>
        </is>
      </c>
      <c r="P5" s="9" t="inlineStr">
        <is>
          <t>ปี / เลขชุด</t>
        </is>
      </c>
      <c r="Q5" s="9" t="inlineStr">
        <is>
          <t>ต้นทาง (Tab)</t>
        </is>
      </c>
    </row>
    <row r="6" ht="13.2" customHeight="1" s="49">
      <c r="A6" s="2">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2">
        <f>IFERROR(__xludf.DUMMYFUNCTION("""COMPUTED_VALUE"""),"ในการเตรียม Aspirin Suspension หากต้องการเติมสารบัฟเฟอร์ ปรับ pH ให้มี pH เท่ากับ 6.8 ภก.ควรจะใช้บัฟเฟอร์ใด")</f>
        <v/>
      </c>
      <c r="C6" s="2" t="n"/>
      <c r="D6" s="2">
        <f>IFERROR(__xludf.DUMMYFUNCTION("""COMPUTED_VALUE"""),"NaH2PO4 (pKa 7.21)/ Na2HPO4")</f>
        <v/>
      </c>
      <c r="E6" s="2">
        <f>IFERROR(__xludf.DUMMYFUNCTION("""COMPUTED_VALUE"""),"Na2HPO4 / Na3PO4")</f>
        <v/>
      </c>
      <c r="F6" s="2">
        <f>IFERROR(__xludf.DUMMYFUNCTION("""COMPUTED_VALUE"""),"Acetic acid (pKa 4.76)/ Sodium acetate")</f>
        <v/>
      </c>
      <c r="G6" s="2">
        <f>IFERROR(__xludf.DUMMYFUNCTION("""COMPUTED_VALUE"""),"Boric acid (pKa 8.24)/Sodium borate")</f>
        <v/>
      </c>
      <c r="H6" s="2">
        <f>IFERROR(__xludf.DUMMYFUNCTION("""COMPUTED_VALUE"""),"HCl/NaOH")</f>
        <v/>
      </c>
      <c r="I6" s="2">
        <f>IFERROR(__xludf.DUMMYFUNCTION("""COMPUTED_VALUE"""),"1")</f>
        <v/>
      </c>
      <c r="J6" s="2">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2" t="n"/>
      <c r="L6" s="2">
        <f>IFERROR(__xludf.DUMMYFUNCTION("""COMPUTED_VALUE"""),"Tablet Manufacturing")</f>
        <v/>
      </c>
      <c r="M6" s="2">
        <f>IFERROR(__xludf.DUMMYFUNCTION("""COMPUTED_VALUE"""),"Product")</f>
        <v/>
      </c>
      <c r="N6" s="2">
        <f>IFERROR(__xludf.DUMMYFUNCTION("""COMPUTED_VALUE"""),"ข้อ 7 Pharma Plus เล่มม่วง (เฉลยข้อ ก)")</f>
        <v/>
      </c>
      <c r="O6" s="2">
        <f>IFERROR(__xludf.DUMMYFUNCTION("""COMPUTED_VALUE"""),"Mock")</f>
        <v/>
      </c>
      <c r="P6" s="2">
        <f>IFERROR(__xludf.DUMMYFUNCTION("""COMPUTED_VALUE"""),"Pharma Plus เล่มม่วง")</f>
        <v/>
      </c>
    </row>
    <row r="7" ht="13.2" customHeight="1" s="49">
      <c r="A7" s="2">
        <f>IFERROR(__xludf.DUMMYFUNCTION("""COMPUTED_VALUE"""),"8")</f>
        <v/>
      </c>
      <c r="B7" s="2">
        <f>IFERROR(__xludf.DUMMYFUNCTION("""COMPUTED_VALUE"""),"ในการเตรียม aspirin suspension หากต้องการให้ยาตกตะกอนไม่เร็วเกินไป สารปรุงแต่งที่ต้องเติมคือ")</f>
        <v/>
      </c>
      <c r="C7" s="2" t="n"/>
      <c r="D7" s="2">
        <f>IFERROR(__xludf.DUMMYFUNCTION("""COMPUTED_VALUE"""),"Glycerin")</f>
        <v/>
      </c>
      <c r="E7" s="2">
        <f>IFERROR(__xludf.DUMMYFUNCTION("""COMPUTED_VALUE"""),"Tween 80")</f>
        <v/>
      </c>
      <c r="F7" s="2">
        <f>IFERROR(__xludf.DUMMYFUNCTION("""COMPUTED_VALUE"""),"Methylcellulose")</f>
        <v/>
      </c>
      <c r="G7" s="2">
        <f>IFERROR(__xludf.DUMMYFUNCTION("""COMPUTED_VALUE"""),"Aluminium chloride")</f>
        <v/>
      </c>
      <c r="H7" s="2">
        <f>IFERROR(__xludf.DUMMYFUNCTION("""COMPUTED_VALUE"""),"Sodium citrate")</f>
        <v/>
      </c>
      <c r="I7" s="2">
        <f>IFERROR(__xludf.DUMMYFUNCTION("""COMPUTED_VALUE"""),"3")</f>
        <v/>
      </c>
      <c r="J7" s="2">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2" t="n"/>
      <c r="L7" s="2">
        <f>IFERROR(__xludf.DUMMYFUNCTION("""COMPUTED_VALUE"""),"Tablet Manufacturing")</f>
        <v/>
      </c>
      <c r="M7" s="2">
        <f>IFERROR(__xludf.DUMMYFUNCTION("""COMPUTED_VALUE"""),"Product")</f>
        <v/>
      </c>
      <c r="N7" s="2">
        <f>IFERROR(__xludf.DUMMYFUNCTION("""COMPUTED_VALUE"""),"ข้อ 8 Pharma Plus เล่มม่วง (เฉลยข้อ ค)")</f>
        <v/>
      </c>
      <c r="O7" s="2">
        <f>IFERROR(__xludf.DUMMYFUNCTION("""COMPUTED_VALUE"""),"Mock")</f>
        <v/>
      </c>
      <c r="P7" s="2">
        <f>IFERROR(__xludf.DUMMYFUNCTION("""COMPUTED_VALUE"""),"Pharma Plus เล่มม่วง")</f>
        <v/>
      </c>
    </row>
    <row r="8" ht="13.2" customHeight="1" s="49">
      <c r="A8" s="2">
        <f>IFERROR(__xludf.DUMMYFUNCTION("""COMPUTED_VALUE"""),"9")</f>
        <v/>
      </c>
      <c r="B8" s="2">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2" t="n"/>
      <c r="D8" s="2">
        <f>IFERROR(__xludf.DUMMYFUNCTION("""COMPUTED_VALUE"""),"Flocculation")</f>
        <v/>
      </c>
      <c r="E8" s="2">
        <f>IFERROR(__xludf.DUMMYFUNCTION("""COMPUTED_VALUE"""),"Lamination")</f>
        <v/>
      </c>
      <c r="F8" s="2">
        <f>IFERROR(__xludf.DUMMYFUNCTION("""COMPUTED_VALUE"""),"Creaming")</f>
        <v/>
      </c>
      <c r="G8" s="2">
        <f>IFERROR(__xludf.DUMMYFUNCTION("""COMPUTED_VALUE"""),"Coalescence")</f>
        <v/>
      </c>
      <c r="H8" s="2">
        <f>IFERROR(__xludf.DUMMYFUNCTION("""COMPUTED_VALUE"""),"Caking")</f>
        <v/>
      </c>
      <c r="I8" s="2">
        <f>IFERROR(__xludf.DUMMYFUNCTION("""COMPUTED_VALUE"""),"5")</f>
        <v/>
      </c>
      <c r="J8"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2" t="n"/>
      <c r="L8" s="2">
        <f>IFERROR(__xludf.DUMMYFUNCTION("""COMPUTED_VALUE"""),"Tablet Manufacturing")</f>
        <v/>
      </c>
      <c r="M8" s="2">
        <f>IFERROR(__xludf.DUMMYFUNCTION("""COMPUTED_VALUE"""),"Product")</f>
        <v/>
      </c>
      <c r="N8" s="2">
        <f>IFERROR(__xludf.DUMMYFUNCTION("""COMPUTED_VALUE"""),"ข้อ 9 Pharma Plus เล่มม่วง (เฉลยข้อ จ)")</f>
        <v/>
      </c>
      <c r="O8" s="2">
        <f>IFERROR(__xludf.DUMMYFUNCTION("""COMPUTED_VALUE"""),"Mock")</f>
        <v/>
      </c>
      <c r="P8" s="2">
        <f>IFERROR(__xludf.DUMMYFUNCTION("""COMPUTED_VALUE"""),"Pharma Plus เล่มม่วง")</f>
        <v/>
      </c>
    </row>
    <row r="9" ht="13.2" customHeight="1" s="49">
      <c r="A9" s="2">
        <f>IFERROR(__xludf.DUMMYFUNCTION("""COMPUTED_VALUE"""),"10")</f>
        <v/>
      </c>
      <c r="B9" s="2">
        <f>IFERROR(__xludf.DUMMYFUNCTION("""COMPUTED_VALUE"""),"สูตรตำรับย้ำน้ำ Ferrous sulfate
- Ferrous sulfate 12.5 g
- Citric acid 0.2 g
- Paraben conc. 1 ml
- Syrup add qs 100 ml
ข้อใดถูก")</f>
        <v/>
      </c>
      <c r="C9" s="2" t="n"/>
      <c r="D9" s="2">
        <f>IFERROR(__xludf.DUMMYFUNCTION("""COMPUTED_VALUE"""),"มีปัญหาการละลาย")</f>
        <v/>
      </c>
      <c r="E9" s="2">
        <f>IFERROR(__xludf.DUMMYFUNCTION("""COMPUTED_VALUE"""),"ต้องเก็บในตู้เย็น")</f>
        <v/>
      </c>
      <c r="F9" s="2">
        <f>IFERROR(__xludf.DUMMYFUNCTION("""COMPUTED_VALUE"""),"เก็บในขวดใส ปิดสนิท")</f>
        <v/>
      </c>
      <c r="G9" s="2">
        <f>IFERROR(__xludf.DUMMYFUNCTION("""COMPUTED_VALUE"""),"ไม่มีสารแต่งรส")</f>
        <v/>
      </c>
      <c r="H9" s="2">
        <f>IFERROR(__xludf.DUMMYFUNCTION("""COMPUTED_VALUE"""),"ไม่มีสารเพิ่มความคงตัว")</f>
        <v/>
      </c>
      <c r="I9" s="2">
        <f>IFERROR(__xludf.DUMMYFUNCTION("""COMPUTED_VALUE"""),"1")</f>
        <v/>
      </c>
      <c r="J9" s="2">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2" t="n"/>
      <c r="L9" s="2">
        <f>IFERROR(__xludf.DUMMYFUNCTION("""COMPUTED_VALUE"""),"Tablet Manufacturing")</f>
        <v/>
      </c>
      <c r="M9" s="2">
        <f>IFERROR(__xludf.DUMMYFUNCTION("""COMPUTED_VALUE"""),"Product")</f>
        <v/>
      </c>
      <c r="N9" s="2">
        <f>IFERROR(__xludf.DUMMYFUNCTION("""COMPUTED_VALUE"""),"ข้อ 10 Pharma Plus เล่มม่วง (เฉลยข้อ ก)")</f>
        <v/>
      </c>
      <c r="O9" s="2">
        <f>IFERROR(__xludf.DUMMYFUNCTION("""COMPUTED_VALUE"""),"Mock")</f>
        <v/>
      </c>
      <c r="P9" s="2">
        <f>IFERROR(__xludf.DUMMYFUNCTION("""COMPUTED_VALUE"""),"Pharma Plus เล่มม่วง")</f>
        <v/>
      </c>
    </row>
    <row r="10" ht="13.2" customHeight="1" s="49">
      <c r="A10" s="2">
        <f>IFERROR(__xludf.DUMMYFUNCTION("""COMPUTED_VALUE"""),"11")</f>
        <v/>
      </c>
      <c r="B10" s="2">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2" t="n"/>
      <c r="D10" s="2">
        <f>IFERROR(__xludf.DUMMYFUNCTION("""COMPUTED_VALUE"""),"0.625 mg")</f>
        <v/>
      </c>
      <c r="E10" s="2">
        <f>IFERROR(__xludf.DUMMYFUNCTION("""COMPUTED_VALUE"""),"2.625 mg")</f>
        <v/>
      </c>
      <c r="F10" s="2">
        <f>IFERROR(__xludf.DUMMYFUNCTION("""COMPUTED_VALUE"""),"62.5 mg")</f>
        <v/>
      </c>
      <c r="G10" s="2">
        <f>IFERROR(__xludf.DUMMYFUNCTION("""COMPUTED_VALUE"""),"375 mg")</f>
        <v/>
      </c>
      <c r="H10" s="2">
        <f>IFERROR(__xludf.DUMMYFUNCTION("""COMPUTED_VALUE"""),"125 mg")</f>
        <v/>
      </c>
      <c r="I10" s="2">
        <f>IFERROR(__xludf.DUMMYFUNCTION("""COMPUTED_VALUE"""),"5")</f>
        <v/>
      </c>
      <c r="J10" s="2">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2" t="n"/>
      <c r="L10" s="2">
        <f>IFERROR(__xludf.DUMMYFUNCTION("""COMPUTED_VALUE"""),"Tablet Manufacturing")</f>
        <v/>
      </c>
      <c r="M10" s="2">
        <f>IFERROR(__xludf.DUMMYFUNCTION("""COMPUTED_VALUE"""),"Product")</f>
        <v/>
      </c>
      <c r="N10" s="2">
        <f>IFERROR(__xludf.DUMMYFUNCTION("""COMPUTED_VALUE"""),"ข้อ 11 Pharma Plus เล่มม่วง (เฉลยข้อ จ)")</f>
        <v/>
      </c>
      <c r="O10" s="2">
        <f>IFERROR(__xludf.DUMMYFUNCTION("""COMPUTED_VALUE"""),"Mock")</f>
        <v/>
      </c>
      <c r="P10" s="2">
        <f>IFERROR(__xludf.DUMMYFUNCTION("""COMPUTED_VALUE"""),"Pharma Plus เล่มม่วง")</f>
        <v/>
      </c>
    </row>
    <row r="11" ht="13.2" customHeight="1" s="49">
      <c r="A11" s="2">
        <f>IFERROR(__xludf.DUMMYFUNCTION("""COMPUTED_VALUE"""),"22")</f>
        <v/>
      </c>
      <c r="B11" s="2">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2" t="n"/>
      <c r="D11" s="2">
        <f>IFERROR(__xludf.DUMMYFUNCTION("""COMPUTED_VALUE"""),"Stearic acid")</f>
        <v/>
      </c>
      <c r="E11" s="2">
        <f>IFERROR(__xludf.DUMMYFUNCTION("""COMPUTED_VALUE"""),"Lanolin")</f>
        <v/>
      </c>
      <c r="F11" s="2">
        <f>IFERROR(__xludf.DUMMYFUNCTION("""COMPUTED_VALUE"""),"Cetyl alcohol")</f>
        <v/>
      </c>
      <c r="G11" s="2">
        <f>IFERROR(__xludf.DUMMYFUNCTION("""COMPUTED_VALUE"""),"Potassium hydroxide")</f>
        <v/>
      </c>
      <c r="H11" s="2">
        <f>IFERROR(__xludf.DUMMYFUNCTION("""COMPUTED_VALUE"""),"Potassium stearate")</f>
        <v/>
      </c>
      <c r="I11" s="2">
        <f>IFERROR(__xludf.DUMMYFUNCTION("""COMPUTED_VALUE"""),"5")</f>
        <v/>
      </c>
      <c r="J11" s="2">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2" t="n"/>
      <c r="L11" s="2">
        <f>IFERROR(__xludf.DUMMYFUNCTION("""COMPUTED_VALUE"""),"Tablet Manufacturing")</f>
        <v/>
      </c>
      <c r="M11" s="2">
        <f>IFERROR(__xludf.DUMMYFUNCTION("""COMPUTED_VALUE"""),"Product")</f>
        <v/>
      </c>
      <c r="N11" s="2">
        <f>IFERROR(__xludf.DUMMYFUNCTION("""COMPUTED_VALUE"""),"ข้อ 22 Pharma Plus เล่มม่วง (เฉลยข้อ จ)")</f>
        <v/>
      </c>
      <c r="O11" s="2">
        <f>IFERROR(__xludf.DUMMYFUNCTION("""COMPUTED_VALUE"""),"Mock")</f>
        <v/>
      </c>
      <c r="P11" s="2">
        <f>IFERROR(__xludf.DUMMYFUNCTION("""COMPUTED_VALUE"""),"Pharma Plus เล่มม่วง")</f>
        <v/>
      </c>
    </row>
    <row r="12" ht="13.2" customHeight="1" s="49">
      <c r="A12" s="2">
        <f>IFERROR(__xludf.DUMMYFUNCTION("""COMPUTED_VALUE"""),"23")</f>
        <v/>
      </c>
      <c r="B12" s="2">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2" t="n"/>
      <c r="D12" s="2">
        <f>IFERROR(__xludf.DUMMYFUNCTION("""COMPUTED_VALUE"""),"เพิ่มการละลายของ Neomycin")</f>
        <v/>
      </c>
      <c r="E12" s="2">
        <f>IFERROR(__xludf.DUMMYFUNCTION("""COMPUTED_VALUE"""),"ป้องกันการตกตะกอนขุ่นของสารละลาย")</f>
        <v/>
      </c>
      <c r="F12" s="2">
        <f>IFERROR(__xludf.DUMMYFUNCTION("""COMPUTED_VALUE"""),"เพิ่มฤทธิ์ฆ่าเชื้อแบคทีเรีย")</f>
        <v/>
      </c>
      <c r="G12" s="2">
        <f>IFERROR(__xludf.DUMMYFUNCTION("""COMPUTED_VALUE"""),"ลดการแสบระคายเคืองตา")</f>
        <v/>
      </c>
      <c r="H12" s="2">
        <f>IFERROR(__xludf.DUMMYFUNCTION("""COMPUTED_VALUE"""),"เพิ่มการติดของสารละลายกับดวงตา")</f>
        <v/>
      </c>
      <c r="I12" s="2">
        <f>IFERROR(__xludf.DUMMYFUNCTION("""COMPUTED_VALUE"""),"5")</f>
        <v/>
      </c>
      <c r="J12" s="2">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2" t="n"/>
      <c r="L12" s="2">
        <f>IFERROR(__xludf.DUMMYFUNCTION("""COMPUTED_VALUE"""),"Tablet Manufacturing")</f>
        <v/>
      </c>
      <c r="M12" s="2">
        <f>IFERROR(__xludf.DUMMYFUNCTION("""COMPUTED_VALUE"""),"Product")</f>
        <v/>
      </c>
      <c r="N12" s="2">
        <f>IFERROR(__xludf.DUMMYFUNCTION("""COMPUTED_VALUE"""),"ข้อ 23 Pharma Plus เล่มม่วง (เฉลยข้อ จ)")</f>
        <v/>
      </c>
      <c r="O12" s="2">
        <f>IFERROR(__xludf.DUMMYFUNCTION("""COMPUTED_VALUE"""),"Mock")</f>
        <v/>
      </c>
      <c r="P12" s="2">
        <f>IFERROR(__xludf.DUMMYFUNCTION("""COMPUTED_VALUE"""),"Pharma Plus เล่มม่วง")</f>
        <v/>
      </c>
    </row>
    <row r="13" ht="13.2" customHeight="1" s="49">
      <c r="A13" s="2">
        <f>IFERROR(__xludf.DUMMYFUNCTION("""COMPUTED_VALUE"""),"24")</f>
        <v/>
      </c>
      <c r="B13" s="2">
        <f>IFERROR(__xludf.DUMMYFUNCTION("""COMPUTED_VALUE"""),"คุณสมบัติที่สำคัญที่สุดของยาตา")</f>
        <v/>
      </c>
      <c r="C13" s="2" t="n"/>
      <c r="D13" s="2">
        <f>IFERROR(__xludf.DUMMYFUNCTION("""COMPUTED_VALUE"""),"Isotonic")</f>
        <v/>
      </c>
      <c r="E13" s="2">
        <f>IFERROR(__xludf.DUMMYFUNCTION("""COMPUTED_VALUE"""),"Sterile")</f>
        <v/>
      </c>
      <c r="F13" s="2">
        <f>IFERROR(__xludf.DUMMYFUNCTION("""COMPUTED_VALUE"""),"pH")</f>
        <v/>
      </c>
      <c r="G13" s="2">
        <f>IFERROR(__xludf.DUMMYFUNCTION("""COMPUTED_VALUE"""),"Preservative")</f>
        <v/>
      </c>
      <c r="H13" s="2">
        <f>IFERROR(__xludf.DUMMYFUNCTION("""COMPUTED_VALUE"""),"ต้องเป็นสารละลาย")</f>
        <v/>
      </c>
      <c r="I13" s="2">
        <f>IFERROR(__xludf.DUMMYFUNCTION("""COMPUTED_VALUE"""),"2")</f>
        <v/>
      </c>
      <c r="J13" s="2">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2" t="n"/>
      <c r="L13" s="2">
        <f>IFERROR(__xludf.DUMMYFUNCTION("""COMPUTED_VALUE"""),"Tablet Manufacturing")</f>
        <v/>
      </c>
      <c r="M13" s="2">
        <f>IFERROR(__xludf.DUMMYFUNCTION("""COMPUTED_VALUE"""),"Product")</f>
        <v/>
      </c>
      <c r="N13" s="2">
        <f>IFERROR(__xludf.DUMMYFUNCTION("""COMPUTED_VALUE"""),"ข้อ 24 Pharma Plus เล่มม่วง (เฉลยข้อ ข)")</f>
        <v/>
      </c>
      <c r="O13" s="2">
        <f>IFERROR(__xludf.DUMMYFUNCTION("""COMPUTED_VALUE"""),"Mock")</f>
        <v/>
      </c>
      <c r="P13" s="2">
        <f>IFERROR(__xludf.DUMMYFUNCTION("""COMPUTED_VALUE"""),"Pharma Plus เล่มม่วง")</f>
        <v/>
      </c>
    </row>
    <row r="14" ht="13.2" customHeight="1" s="49">
      <c r="A14" s="2">
        <f>IFERROR(__xludf.DUMMYFUNCTION("""COMPUTED_VALUE"""),"25")</f>
        <v/>
      </c>
      <c r="B14" s="2">
        <f>IFERROR(__xludf.DUMMYFUNCTION("""COMPUTED_VALUE"""),"Norfloxacin มีค่าการละลายต่ำจึงนำมาใช้ร่วมกับ B-cyclodextrin ข้อใดคือกลไกของ B-cyclodextrin")</f>
        <v/>
      </c>
      <c r="C14" s="2" t="n"/>
      <c r="D14" s="2">
        <f>IFERROR(__xludf.DUMMYFUNCTION("""COMPUTED_VALUE"""),"pH")</f>
        <v/>
      </c>
      <c r="E14" s="2">
        <f>IFERROR(__xludf.DUMMYFUNCTION("""COMPUTED_VALUE"""),"ลดค่า dielectric constant")</f>
        <v/>
      </c>
      <c r="F14" s="2">
        <f>IFERROR(__xludf.DUMMYFUNCTION("""COMPUTED_VALUE"""),"Micelle")</f>
        <v/>
      </c>
      <c r="G14" s="2">
        <f>IFERROR(__xludf.DUMMYFUNCTION("""COMPUTED_VALUE"""),"Co-solvent")</f>
        <v/>
      </c>
      <c r="H14" s="2">
        <f>IFERROR(__xludf.DUMMYFUNCTION("""COMPUTED_VALUE"""),"Complexation")</f>
        <v/>
      </c>
      <c r="I14" s="2">
        <f>IFERROR(__xludf.DUMMYFUNCTION("""COMPUTED_VALUE"""),"5")</f>
        <v/>
      </c>
      <c r="J14" s="2">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2" t="n"/>
      <c r="L14" s="2">
        <f>IFERROR(__xludf.DUMMYFUNCTION("""COMPUTED_VALUE"""),"Tablet Manufacturing")</f>
        <v/>
      </c>
      <c r="M14" s="2">
        <f>IFERROR(__xludf.DUMMYFUNCTION("""COMPUTED_VALUE"""),"Product")</f>
        <v/>
      </c>
      <c r="N14" s="2">
        <f>IFERROR(__xludf.DUMMYFUNCTION("""COMPUTED_VALUE"""),"ข้อ 25 Pharma Plus เล่มม่วง (เฉลยข้อ จ)")</f>
        <v/>
      </c>
      <c r="O14" s="2">
        <f>IFERROR(__xludf.DUMMYFUNCTION("""COMPUTED_VALUE"""),"Mock")</f>
        <v/>
      </c>
      <c r="P14" s="2">
        <f>IFERROR(__xludf.DUMMYFUNCTION("""COMPUTED_VALUE"""),"Pharma Plus เล่มม่วง")</f>
        <v/>
      </c>
    </row>
    <row r="15" ht="13.2" customHeight="1" s="49">
      <c r="A15" s="2">
        <f>IFERROR(__xludf.DUMMYFUNCTION("""COMPUTED_VALUE"""),"26")</f>
        <v/>
      </c>
      <c r="B15" s="2">
        <f>IFERROR(__xludf.DUMMYFUNCTION("""COMPUTED_VALUE"""),"หากต้องการพัฒนาสูตรตำรับยาคุมกำเนิดปัญหาใดที่มีความสำคัญที่สุดและต้องแก้ไข")</f>
        <v/>
      </c>
      <c r="C15" s="2" t="n"/>
      <c r="D15" s="2">
        <f>IFERROR(__xludf.DUMMYFUNCTION("""COMPUTED_VALUE"""),"ความหนาของเม็ดยาต้องเท่ากัน")</f>
        <v/>
      </c>
      <c r="E15" s="2">
        <f>IFERROR(__xludf.DUMMYFUNCTION("""COMPUTED_VALUE"""),"ความแข็งของเม็ดยา เนื่องจากต้องพกติดตัว")</f>
        <v/>
      </c>
      <c r="F15" s="2">
        <f>IFERROR(__xludf.DUMMYFUNCTION("""COMPUTED_VALUE"""),"ความสม่ำเสมอของตัวยาสำคัญ")</f>
        <v/>
      </c>
      <c r="G15" s="2">
        <f>IFERROR(__xludf.DUMMYFUNCTION("""COMPUTED_VALUE"""),"ความกร่อน")</f>
        <v/>
      </c>
      <c r="H15" s="2">
        <f>IFERROR(__xludf.DUMMYFUNCTION("""COMPUTED_VALUE"""),"การละลายของยา")</f>
        <v/>
      </c>
      <c r="I15" s="2">
        <f>IFERROR(__xludf.DUMMYFUNCTION("""COMPUTED_VALUE"""),"3")</f>
        <v/>
      </c>
      <c r="J15" s="2">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2" t="n"/>
      <c r="L15" s="2">
        <f>IFERROR(__xludf.DUMMYFUNCTION("""COMPUTED_VALUE"""),"Tablet Manufacturing")</f>
        <v/>
      </c>
      <c r="M15" s="2">
        <f>IFERROR(__xludf.DUMMYFUNCTION("""COMPUTED_VALUE"""),"Product")</f>
        <v/>
      </c>
      <c r="N15" s="2">
        <f>IFERROR(__xludf.DUMMYFUNCTION("""COMPUTED_VALUE"""),"ข้อ 26 Pharma Plus เล่มม่วง (เฉลยข้อ ค)")</f>
        <v/>
      </c>
      <c r="O15" s="2">
        <f>IFERROR(__xludf.DUMMYFUNCTION("""COMPUTED_VALUE"""),"Mock")</f>
        <v/>
      </c>
      <c r="P15" s="2">
        <f>IFERROR(__xludf.DUMMYFUNCTION("""COMPUTED_VALUE"""),"Pharma Plus เล่มม่วง")</f>
        <v/>
      </c>
    </row>
    <row r="16" ht="13.2" customHeight="1" s="49">
      <c r="A16" s="2">
        <f>IFERROR(__xludf.DUMMYFUNCTION("""COMPUTED_VALUE"""),"72")</f>
        <v/>
      </c>
      <c r="B16" s="2">
        <f>IFERROR(__xludf.DUMMYFUNCTION("""COMPUTED_VALUE"""),"สาเหตุความไม่คงตัวดังข้อ 71 คือ")</f>
        <v/>
      </c>
      <c r="C16" s="2" t="n"/>
      <c r="D16" s="2">
        <f>IFERROR(__xludf.DUMMYFUNCTION("""COMPUTED_VALUE"""),"อนุภาคมีขนาดใหญ่เกินไป")</f>
        <v/>
      </c>
      <c r="E16" s="2">
        <f>IFERROR(__xludf.DUMMYFUNCTION("""COMPUTED_VALUE"""),"วัตภาคน้ำมันมีปริมาณมากเกินไป")</f>
        <v/>
      </c>
      <c r="F16" s="2">
        <f>IFERROR(__xludf.DUMMYFUNCTION("""COMPUTED_VALUE"""),"ความหนืดของวัตภาคภายนอกสูงเกินไป")</f>
        <v/>
      </c>
      <c r="G16" s="2">
        <f>IFERROR(__xludf.DUMMYFUNCTION("""COMPUTED_VALUE"""),"ไม่มีสารก่ออิมัลชัน (emulsifier) ในตำรับ")</f>
        <v/>
      </c>
      <c r="H16" s="2">
        <f>IFERROR(__xludf.DUMMYFUNCTION("""COMPUTED_VALUE"""),"ความหนาแน่นของวัตภาคในและนอกมีค่าใกล้เคียงกัน")</f>
        <v/>
      </c>
      <c r="I16" s="2">
        <f>IFERROR(__xludf.DUMMYFUNCTION("""COMPUTED_VALUE"""),"4")</f>
        <v/>
      </c>
      <c r="J16" s="2">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2" t="n"/>
      <c r="L16" s="2">
        <f>IFERROR(__xludf.DUMMYFUNCTION("""COMPUTED_VALUE"""),"Tablet Manufacturing")</f>
        <v/>
      </c>
      <c r="M16" s="2">
        <f>IFERROR(__xludf.DUMMYFUNCTION("""COMPUTED_VALUE"""),"Product")</f>
        <v/>
      </c>
      <c r="N16" s="2">
        <f>IFERROR(__xludf.DUMMYFUNCTION("""COMPUTED_VALUE"""),"ข้อ 72 Pharma Plus เล่มม่วง (เฉลยข้อ ง)")</f>
        <v/>
      </c>
      <c r="O16" s="2">
        <f>IFERROR(__xludf.DUMMYFUNCTION("""COMPUTED_VALUE"""),"Mock")</f>
        <v/>
      </c>
      <c r="P16" s="2">
        <f>IFERROR(__xludf.DUMMYFUNCTION("""COMPUTED_VALUE"""),"Pharma Plus เล่มม่วง")</f>
        <v/>
      </c>
    </row>
    <row r="17" ht="13.2" customHeight="1" s="49">
      <c r="A17" s="2">
        <f>IFERROR(__xludf.DUMMYFUNCTION("""COMPUTED_VALUE"""),"73")</f>
        <v/>
      </c>
      <c r="B17" s="2">
        <f>IFERROR(__xludf.DUMMYFUNCTION("""COMPUTED_VALUE"""),"ค่า required HLB ในการเกิดเป็น o/w emulsion ของวัตภาคน้ำมัน stearic acid และ liquid paraffin ในตำรับข้อ 71 มีค่าเท่ากับ")</f>
        <v/>
      </c>
      <c r="C17" s="2" t="n"/>
      <c r="D17" s="2">
        <f>IFERROR(__xludf.DUMMYFUNCTION("""COMPUTED_VALUE"""),"9.5")</f>
        <v/>
      </c>
      <c r="E17" s="2">
        <f>IFERROR(__xludf.DUMMYFUNCTION("""COMPUTED_VALUE"""),"10.75")</f>
        <v/>
      </c>
      <c r="F17" s="2">
        <f>IFERROR(__xludf.DUMMYFUNCTION("""COMPUTED_VALUE"""),"11.04")</f>
        <v/>
      </c>
      <c r="G17" s="2">
        <f>IFERROR(__xludf.DUMMYFUNCTION("""COMPUTED_VALUE"""),"12.13")</f>
        <v/>
      </c>
      <c r="H17" s="2">
        <f>IFERROR(__xludf.DUMMYFUNCTION("""COMPUTED_VALUE"""),"14")</f>
        <v/>
      </c>
      <c r="I17" s="2">
        <f>IFERROR(__xludf.DUMMYFUNCTION("""COMPUTED_VALUE"""),"1")</f>
        <v/>
      </c>
      <c r="J17" s="2">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2" t="n"/>
      <c r="L17" s="2">
        <f>IFERROR(__xludf.DUMMYFUNCTION("""COMPUTED_VALUE"""),"Tablet Manufacturing")</f>
        <v/>
      </c>
      <c r="M17" s="2">
        <f>IFERROR(__xludf.DUMMYFUNCTION("""COMPUTED_VALUE"""),"Product")</f>
        <v/>
      </c>
      <c r="N17" s="2">
        <f>IFERROR(__xludf.DUMMYFUNCTION("""COMPUTED_VALUE"""),"ข้อ 73 Pharma Plus เล่มม่วง (เฉลยข้อ )")</f>
        <v/>
      </c>
      <c r="O17" s="2">
        <f>IFERROR(__xludf.DUMMYFUNCTION("""COMPUTED_VALUE"""),"Mock")</f>
        <v/>
      </c>
      <c r="P17" s="2">
        <f>IFERROR(__xludf.DUMMYFUNCTION("""COMPUTED_VALUE"""),"Pharma Plus เล่มม่วง")</f>
        <v/>
      </c>
    </row>
    <row r="18" ht="13.2" customHeight="1" s="49">
      <c r="A18" s="2">
        <f>IFERROR(__xludf.DUMMYFUNCTION("""COMPUTED_VALUE"""),"74")</f>
        <v/>
      </c>
      <c r="B18" s="2">
        <f>IFERROR(__xludf.DUMMYFUNCTION("""COMPUTED_VALUE"""),"สัดส่วนที่เหมาะสมของสารก่ออิมัลชันที่ใช้สำหรับตำรับข้อ 71 เพื่อให้เกิดเป็น o/w")</f>
        <v/>
      </c>
      <c r="C18" s="2" t="n"/>
      <c r="D18" s="2">
        <f>IFERROR(__xludf.DUMMYFUNCTION("""COMPUTED_VALUE"""),"Tween 80 : Span 80 = 8.43 : 2.87")</f>
        <v/>
      </c>
      <c r="E18" s="2">
        <f>IFERROR(__xludf.DUMMYFUNCTION("""COMPUTED_VALUE"""),"Tween 80 : Span 80 = 2.87 : 8.43")</f>
        <v/>
      </c>
      <c r="F18" s="2">
        <f>IFERROR(__xludf.DUMMYFUNCTION("""COMPUTED_VALUE"""),"Tween 80 : Span 80 = 15.0 : 3.7")</f>
        <v/>
      </c>
      <c r="G18" s="2">
        <f>IFERROR(__xludf.DUMMYFUNCTION("""COMPUTED_VALUE"""),"Tween 80 : Span 80 = 3.7 : 15.0")</f>
        <v/>
      </c>
      <c r="H18" s="2">
        <f>IFERROR(__xludf.DUMMYFUNCTION("""COMPUTED_VALUE"""),"Tween 80 : Span 80 = 1.5 : 2.5")</f>
        <v/>
      </c>
      <c r="I18" s="2">
        <f>IFERROR(__xludf.DUMMYFUNCTION("""COMPUTED_VALUE"""),"1")</f>
        <v/>
      </c>
      <c r="J18" s="2">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2" t="n"/>
      <c r="L18" s="2">
        <f>IFERROR(__xludf.DUMMYFUNCTION("""COMPUTED_VALUE"""),"Tablet Manufacturing")</f>
        <v/>
      </c>
      <c r="M18" s="2">
        <f>IFERROR(__xludf.DUMMYFUNCTION("""COMPUTED_VALUE"""),"Product")</f>
        <v/>
      </c>
      <c r="N18" s="2">
        <f>IFERROR(__xludf.DUMMYFUNCTION("""COMPUTED_VALUE"""),"ข้อ 74 Pharma Plus เล่มม่วง (เฉลยข้อ )")</f>
        <v/>
      </c>
      <c r="O18" s="2">
        <f>IFERROR(__xludf.DUMMYFUNCTION("""COMPUTED_VALUE"""),"Mock")</f>
        <v/>
      </c>
      <c r="P18" s="2">
        <f>IFERROR(__xludf.DUMMYFUNCTION("""COMPUTED_VALUE"""),"Pharma Plus เล่มม่วง")</f>
        <v/>
      </c>
    </row>
    <row r="19" ht="13.2" customHeight="1" s="49">
      <c r="A19" s="2">
        <f>IFERROR(__xludf.DUMMYFUNCTION("""COMPUTED_VALUE"""),"75")</f>
        <v/>
      </c>
      <c r="B19" s="2">
        <f>IFERROR(__xludf.DUMMYFUNCTION("""COMPUTED_VALUE"""),"เพราะเหตุใดอิมัลชันที่เตรียมได้ตามสูตรข้างต้นเป็นอิมัลชันชนิด o/w")</f>
        <v/>
      </c>
      <c r="C19" s="2" t="n"/>
      <c r="D19" s="2">
        <f>IFERROR(__xludf.DUMMYFUNCTION("""COMPUTED_VALUE"""),"มีปริมาตรวัตภาคบ้า(น้ำ)สูงกว่าวัตภาคน้ำมัน และระบบสารก่ออิมัลชัน (emulsifier system) มีค่า HLB ที่สูง")</f>
        <v/>
      </c>
      <c r="E19" s="2">
        <f>IFERROR(__xludf.DUMMYFUNCTION("""COMPUTED_VALUE"""),"มีปริมาตรวัตภาคบ้า(น้ำ)สูงกว่าวัตภาคน้ำมัน และระบบสารก่ออิมัลชัน (emulsifier system) มีค่า HLB ที่ต่ำ")</f>
        <v/>
      </c>
      <c r="F19" s="2">
        <f>IFERROR(__xludf.DUMMYFUNCTION("""COMPUTED_VALUE"""),"มีปริมาตรวัตภาคน้ำมันสูงกว่าวัตภาคบ้า(น้ำ) และระบบสารก่ออิมัลชัน (emulsifier system) มีค่า HLB ที่สูง")</f>
        <v/>
      </c>
      <c r="G19" s="2">
        <f>IFERROR(__xludf.DUMMYFUNCTION("""COMPUTED_VALUE"""),"มีปริมาตรวัตภาคน้ำมันสูงกว่าวัตภาคบ้า(น้ำ) และระบบสารก่ออิมัลชัน (emulsifier system) มีค่า HLB ที่ต่ำ")</f>
        <v/>
      </c>
      <c r="H19" s="2">
        <f>IFERROR(__xludf.DUMMYFUNCTION("""COMPUTED_VALUE"""),"มีปริมาตรวัตภาคน้ำมันและวัตภาคน้ำเท่าๆกัน และระบบสารก่ออิมัลชัน (emulsifier system) มีค่า HLB ที่สูง")</f>
        <v/>
      </c>
      <c r="I19" s="2">
        <f>IFERROR(__xludf.DUMMYFUNCTION("""COMPUTED_VALUE"""),"1")</f>
        <v/>
      </c>
      <c r="J19" s="2">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2" t="n"/>
      <c r="L19" s="2">
        <f>IFERROR(__xludf.DUMMYFUNCTION("""COMPUTED_VALUE"""),"Tablet Manufacturing")</f>
        <v/>
      </c>
      <c r="M19" s="2">
        <f>IFERROR(__xludf.DUMMYFUNCTION("""COMPUTED_VALUE"""),"Product")</f>
        <v/>
      </c>
      <c r="N19" s="2">
        <f>IFERROR(__xludf.DUMMYFUNCTION("""COMPUTED_VALUE"""),"ข้อ 75 Pharma Plus เล่มม่วง (เฉลยข้อ ก)")</f>
        <v/>
      </c>
      <c r="O19" s="2">
        <f>IFERROR(__xludf.DUMMYFUNCTION("""COMPUTED_VALUE"""),"Mock")</f>
        <v/>
      </c>
      <c r="P19" s="2">
        <f>IFERROR(__xludf.DUMMYFUNCTION("""COMPUTED_VALUE"""),"Pharma Plus เล่มม่วง")</f>
        <v/>
      </c>
    </row>
    <row r="20" ht="13.2" customHeight="1" s="49">
      <c r="A20" s="2">
        <f>IFERROR(__xludf.DUMMYFUNCTION("""COMPUTED_VALUE"""),"76")</f>
        <v/>
      </c>
      <c r="B20" s="2">
        <f>IFERROR(__xludf.DUMMYFUNCTION("""COMPUTED_VALUE"""),"ในการผลิตยาเม็ด gemfibrozil พบว่าเมื่อตอกแล้วยาเม็ดติดสาก แก้ไขโดยการเติมสารใด")</f>
        <v/>
      </c>
      <c r="C20" s="2" t="n"/>
      <c r="D20" s="2">
        <f>IFERROR(__xludf.DUMMYFUNCTION("""COMPUTED_VALUE"""),"Lactose")</f>
        <v/>
      </c>
      <c r="E20" s="2">
        <f>IFERROR(__xludf.DUMMYFUNCTION("""COMPUTED_VALUE"""),"Calcium carbonate")</f>
        <v/>
      </c>
      <c r="F20" s="2">
        <f>IFERROR(__xludf.DUMMYFUNCTION("""COMPUTED_VALUE"""),"HPMC")</f>
        <v/>
      </c>
      <c r="G20" s="2">
        <f>IFERROR(__xludf.DUMMYFUNCTION("""COMPUTED_VALUE"""),"Magnesium stearate")</f>
        <v/>
      </c>
      <c r="H20" s="2">
        <f>IFERROR(__xludf.DUMMYFUNCTION("""COMPUTED_VALUE"""),"Alcohol")</f>
        <v/>
      </c>
      <c r="I20" s="2">
        <f>IFERROR(__xludf.DUMMYFUNCTION("""COMPUTED_VALUE"""),"4")</f>
        <v/>
      </c>
      <c r="J20" s="2">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2" t="n"/>
      <c r="L20" s="2">
        <f>IFERROR(__xludf.DUMMYFUNCTION("""COMPUTED_VALUE"""),"Tablet Defects")</f>
        <v/>
      </c>
      <c r="M20" s="2">
        <f>IFERROR(__xludf.DUMMYFUNCTION("""COMPUTED_VALUE"""),"Product")</f>
        <v/>
      </c>
      <c r="N20" s="2">
        <f>IFERROR(__xludf.DUMMYFUNCTION("""COMPUTED_VALUE"""),"ข้อ 76 Pharma Plus เล่มม่วง (เฉลยข้อ ง)")</f>
        <v/>
      </c>
      <c r="O20" s="2">
        <f>IFERROR(__xludf.DUMMYFUNCTION("""COMPUTED_VALUE"""),"Mock")</f>
        <v/>
      </c>
      <c r="P20" s="2">
        <f>IFERROR(__xludf.DUMMYFUNCTION("""COMPUTED_VALUE"""),"Pharma Plus เล่มม่วง")</f>
        <v/>
      </c>
    </row>
    <row r="21" ht="13.2" customHeight="1" s="49">
      <c r="A21" s="2">
        <f>IFERROR(__xludf.DUMMYFUNCTION("""COMPUTED_VALUE"""),"77")</f>
        <v/>
      </c>
      <c r="B21" s="2">
        <f>IFERROR(__xludf.DUMMYFUNCTION("""COMPUTED_VALUE"""),"หากต้องการเพิ่มความสามารถในการแตกตัวของยาเม็ด colchicine ควรใช้สารใด")</f>
        <v/>
      </c>
      <c r="C21" s="2" t="n"/>
      <c r="D21" s="2">
        <f>IFERROR(__xludf.DUMMYFUNCTION("""COMPUTED_VALUE"""),"Lactose")</f>
        <v/>
      </c>
      <c r="E21" s="2">
        <f>IFERROR(__xludf.DUMMYFUNCTION("""COMPUTED_VALUE"""),"Starch paste")</f>
        <v/>
      </c>
      <c r="F21" s="2">
        <f>IFERROR(__xludf.DUMMYFUNCTION("""COMPUTED_VALUE"""),"Microcrystalline cellulose")</f>
        <v/>
      </c>
      <c r="G21" s="2">
        <f>IFERROR(__xludf.DUMMYFUNCTION("""COMPUTED_VALUE"""),"Magnesium stearate")</f>
        <v/>
      </c>
      <c r="H21" s="2">
        <f>IFERROR(__xludf.DUMMYFUNCTION("""COMPUTED_VALUE"""),"Dicalcium phosphate")</f>
        <v/>
      </c>
      <c r="I21" s="2">
        <f>IFERROR(__xludf.DUMMYFUNCTION("""COMPUTED_VALUE"""),"3")</f>
        <v/>
      </c>
      <c r="J21" s="2">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2" t="n"/>
      <c r="L21" s="2">
        <f>IFERROR(__xludf.DUMMYFUNCTION("""COMPUTED_VALUE"""),"Tablet Manufacturing")</f>
        <v/>
      </c>
      <c r="M21" s="2">
        <f>IFERROR(__xludf.DUMMYFUNCTION("""COMPUTED_VALUE"""),"Product")</f>
        <v/>
      </c>
      <c r="N21" s="2">
        <f>IFERROR(__xludf.DUMMYFUNCTION("""COMPUTED_VALUE"""),"ข้อ 77 Pharma Plus เล่มม่วง (เฉลยข้อ ค)")</f>
        <v/>
      </c>
      <c r="O21" s="2">
        <f>IFERROR(__xludf.DUMMYFUNCTION("""COMPUTED_VALUE"""),"Mock")</f>
        <v/>
      </c>
      <c r="P21" s="2">
        <f>IFERROR(__xludf.DUMMYFUNCTION("""COMPUTED_VALUE"""),"Pharma Plus เล่มม่วง")</f>
        <v/>
      </c>
    </row>
    <row r="22" ht="13.2" customHeight="1" s="49">
      <c r="A22" s="2">
        <f>IFERROR(__xludf.DUMMYFUNCTION("""COMPUTED_VALUE"""),"78")</f>
        <v/>
      </c>
      <c r="B22" s="2">
        <f>IFERROR(__xludf.DUMMYFUNCTION("""COMPUTED_VALUE"""),"ในการควบคุมคุณภาพของยาเม็ด colchicine tablet 0.6 mg ตามข้อกำหนดใน USP สิ่งที่ไม่ต้องทำคือ")</f>
        <v/>
      </c>
      <c r="C22" s="2" t="n"/>
      <c r="D22" s="2">
        <f>IFERROR(__xludf.DUMMYFUNCTION("""COMPUTED_VALUE"""),"Friability test")</f>
        <v/>
      </c>
      <c r="E22" s="2">
        <f>IFERROR(__xludf.DUMMYFUNCTION("""COMPUTED_VALUE"""),"Content uniformity")</f>
        <v/>
      </c>
      <c r="F22" s="2">
        <f>IFERROR(__xludf.DUMMYFUNCTION("""COMPUTED_VALUE"""),"Weight variation")</f>
        <v/>
      </c>
      <c r="G22" s="2">
        <f>IFERROR(__xludf.DUMMYFUNCTION("""COMPUTED_VALUE"""),"Dissolution test")</f>
        <v/>
      </c>
      <c r="H22" s="2">
        <f>IFERROR(__xludf.DUMMYFUNCTION("""COMPUTED_VALUE"""),"Disintegration test")</f>
        <v/>
      </c>
      <c r="I22" s="2">
        <f>IFERROR(__xludf.DUMMYFUNCTION("""COMPUTED_VALUE"""),"1")</f>
        <v/>
      </c>
      <c r="J22"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2" t="n"/>
      <c r="L22" s="2">
        <f>IFERROR(__xludf.DUMMYFUNCTION("""COMPUTED_VALUE"""),"Tablet Manufacturing")</f>
        <v/>
      </c>
      <c r="M22" s="2">
        <f>IFERROR(__xludf.DUMMYFUNCTION("""COMPUTED_VALUE"""),"Product")</f>
        <v/>
      </c>
      <c r="N22" s="2">
        <f>IFERROR(__xludf.DUMMYFUNCTION("""COMPUTED_VALUE"""),"ข้อ 78 Pharma Plus เล่มม่วง (เฉลยข้อ ก)")</f>
        <v/>
      </c>
      <c r="O22" s="2">
        <f>IFERROR(__xludf.DUMMYFUNCTION("""COMPUTED_VALUE"""),"Mock")</f>
        <v/>
      </c>
      <c r="P22" s="2">
        <f>IFERROR(__xludf.DUMMYFUNCTION("""COMPUTED_VALUE"""),"Pharma Plus เล่มม่วง")</f>
        <v/>
      </c>
    </row>
    <row r="23" ht="13.2" customHeight="1" s="49">
      <c r="A23" s="2">
        <f>IFERROR(__xludf.DUMMYFUNCTION("""COMPUTED_VALUE"""),"79")</f>
        <v/>
      </c>
      <c r="B23" s="2">
        <f>IFERROR(__xludf.DUMMYFUNCTION("""COMPUTED_VALUE"""),"ถ้าต้องการเตรียมยา Intra-arthricular corticosteroids (ampule) ต้องผ่านการควบคุมคุณภาพต่อไปนี้ ยกเว้นข้อใด")</f>
        <v/>
      </c>
      <c r="C23" s="2" t="n"/>
      <c r="D23" s="2">
        <f>IFERROR(__xludf.DUMMYFUNCTION("""COMPUTED_VALUE"""),"Sterility test")</f>
        <v/>
      </c>
      <c r="E23" s="2">
        <f>IFERROR(__xludf.DUMMYFUNCTION("""COMPUTED_VALUE"""),"Clarity test")</f>
        <v/>
      </c>
      <c r="F23" s="2">
        <f>IFERROR(__xludf.DUMMYFUNCTION("""COMPUTED_VALUE"""),"Pyrogen test")</f>
        <v/>
      </c>
      <c r="G23" s="2">
        <f>IFERROR(__xludf.DUMMYFUNCTION("""COMPUTED_VALUE"""),"Compatibility test")</f>
        <v/>
      </c>
      <c r="H23" s="2">
        <f>IFERROR(__xludf.DUMMYFUNCTION("""COMPUTED_VALUE"""),"Leaker test")</f>
        <v/>
      </c>
      <c r="I23" s="2">
        <f>IFERROR(__xludf.DUMMYFUNCTION("""COMPUTED_VALUE"""),"4")</f>
        <v/>
      </c>
      <c r="J23" s="2">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2" t="n"/>
      <c r="L23" s="2">
        <f>IFERROR(__xludf.DUMMYFUNCTION("""COMPUTED_VALUE"""),"Tablet Manufacturing")</f>
        <v/>
      </c>
      <c r="M23" s="2">
        <f>IFERROR(__xludf.DUMMYFUNCTION("""COMPUTED_VALUE"""),"Product")</f>
        <v/>
      </c>
      <c r="N23" s="2">
        <f>IFERROR(__xludf.DUMMYFUNCTION("""COMPUTED_VALUE"""),"ข้อ 79 Pharma Plus เล่มม่วง (เฉลยข้อ ง)")</f>
        <v/>
      </c>
      <c r="O23" s="2">
        <f>IFERROR(__xludf.DUMMYFUNCTION("""COMPUTED_VALUE"""),"Mock")</f>
        <v/>
      </c>
      <c r="P23" s="2">
        <f>IFERROR(__xludf.DUMMYFUNCTION("""COMPUTED_VALUE"""),"Pharma Plus เล่มม่วง")</f>
        <v/>
      </c>
    </row>
    <row r="24" ht="13.2" customHeight="1" s="49">
      <c r="A24" s="2">
        <f>IFERROR(__xludf.DUMMYFUNCTION("""COMPUTED_VALUE"""),"80")</f>
        <v/>
      </c>
      <c r="B24" s="2">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2" t="n"/>
      <c r="D24" s="2">
        <f>IFERROR(__xludf.DUMMYFUNCTION("""COMPUTED_VALUE"""),"0.8 g")</f>
        <v/>
      </c>
      <c r="E24" s="2">
        <f>IFERROR(__xludf.DUMMYFUNCTION("""COMPUTED_VALUE"""),"1.2 g")</f>
        <v/>
      </c>
      <c r="F24" s="2">
        <f>IFERROR(__xludf.DUMMYFUNCTION("""COMPUTED_VALUE"""),"1.5 g")</f>
        <v/>
      </c>
      <c r="G24" s="2">
        <f>IFERROR(__xludf.DUMMYFUNCTION("""COMPUTED_VALUE"""),"2.2 g")</f>
        <v/>
      </c>
      <c r="H24" s="2">
        <f>IFERROR(__xludf.DUMMYFUNCTION("""COMPUTED_VALUE"""),"3.0 g")</f>
        <v/>
      </c>
      <c r="I24" s="2">
        <f>IFERROR(__xludf.DUMMYFUNCTION("""COMPUTED_VALUE"""),"4")</f>
        <v/>
      </c>
      <c r="J24" s="2">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2" t="n"/>
      <c r="L24" s="2">
        <f>IFERROR(__xludf.DUMMYFUNCTION("""COMPUTED_VALUE"""),"Tablet Manufacturing")</f>
        <v/>
      </c>
      <c r="M24" s="2">
        <f>IFERROR(__xludf.DUMMYFUNCTION("""COMPUTED_VALUE"""),"Product")</f>
        <v/>
      </c>
      <c r="N24" s="2">
        <f>IFERROR(__xludf.DUMMYFUNCTION("""COMPUTED_VALUE"""),"ข้อ 80 Pharma Plus เล่มม่วง (เฉลยข้อ ง)")</f>
        <v/>
      </c>
      <c r="O24" s="2">
        <f>IFERROR(__xludf.DUMMYFUNCTION("""COMPUTED_VALUE"""),"Mock")</f>
        <v/>
      </c>
      <c r="P24" s="2">
        <f>IFERROR(__xludf.DUMMYFUNCTION("""COMPUTED_VALUE"""),"Pharma Plus เล่มม่วง")</f>
        <v/>
      </c>
    </row>
    <row r="25" ht="13.2" customHeight="1" s="49">
      <c r="A25" s="2">
        <f>IFERROR(__xludf.DUMMYFUNCTION("""COMPUTED_VALUE"""),"81")</f>
        <v/>
      </c>
      <c r="B25" s="2">
        <f>IFERROR(__xludf.DUMMYFUNCTION("""COMPUTED_VALUE"""),"ผู้ป่วยควรเก็บ insulin ที่ภาวะใด")</f>
        <v/>
      </c>
      <c r="C25" s="2" t="n"/>
      <c r="D25" s="2">
        <f>IFERROR(__xludf.DUMMYFUNCTION("""COMPUTED_VALUE"""),"Cold")</f>
        <v/>
      </c>
      <c r="E25" s="2">
        <f>IFERROR(__xludf.DUMMYFUNCTION("""COMPUTED_VALUE"""),"Refrigerator")</f>
        <v/>
      </c>
      <c r="F25" s="2">
        <f>IFERROR(__xludf.DUMMYFUNCTION("""COMPUTED_VALUE"""),"Cool")</f>
        <v/>
      </c>
      <c r="G25" s="2">
        <f>IFERROR(__xludf.DUMMYFUNCTION("""COMPUTED_VALUE"""),"Room temperature")</f>
        <v/>
      </c>
      <c r="H25" s="2">
        <f>IFERROR(__xludf.DUMMYFUNCTION("""COMPUTED_VALUE"""),"Warm")</f>
        <v/>
      </c>
      <c r="I25" s="2">
        <f>IFERROR(__xludf.DUMMYFUNCTION("""COMPUTED_VALUE"""),"2")</f>
        <v/>
      </c>
      <c r="J25" s="2">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2" t="n"/>
      <c r="L25" s="2">
        <f>IFERROR(__xludf.DUMMYFUNCTION("""COMPUTED_VALUE"""),"Tablet Manufacturing")</f>
        <v/>
      </c>
      <c r="M25" s="2">
        <f>IFERROR(__xludf.DUMMYFUNCTION("""COMPUTED_VALUE"""),"Product")</f>
        <v/>
      </c>
      <c r="N25" s="2">
        <f>IFERROR(__xludf.DUMMYFUNCTION("""COMPUTED_VALUE"""),"ข้อ 81 Pharma Plus เล่มม่วง (เฉลยข้อ ข)")</f>
        <v/>
      </c>
      <c r="O25" s="2">
        <f>IFERROR(__xludf.DUMMYFUNCTION("""COMPUTED_VALUE"""),"Mock")</f>
        <v/>
      </c>
      <c r="P25" s="2">
        <f>IFERROR(__xludf.DUMMYFUNCTION("""COMPUTED_VALUE"""),"Pharma Plus เล่มม่วง")</f>
        <v/>
      </c>
    </row>
    <row r="26" ht="13.2" customHeight="1" s="49">
      <c r="A26" s="2">
        <f>IFERROR(__xludf.DUMMYFUNCTION("""COMPUTED_VALUE"""),"82")</f>
        <v/>
      </c>
      <c r="B26" s="2">
        <f>IFERROR(__xludf.DUMMYFUNCTION("""COMPUTED_VALUE"""),"ท่านคิดว่า metformin tablet ไม่จำเป็นต้องทำ finished product quality control ข้อใด")</f>
        <v/>
      </c>
      <c r="C26" s="2" t="n"/>
      <c r="D26" s="2">
        <f>IFERROR(__xludf.DUMMYFUNCTION("""COMPUTED_VALUE"""),"Friability test")</f>
        <v/>
      </c>
      <c r="E26" s="2">
        <f>IFERROR(__xludf.DUMMYFUNCTION("""COMPUTED_VALUE"""),"Disintegration test")</f>
        <v/>
      </c>
      <c r="F26" s="2">
        <f>IFERROR(__xludf.DUMMYFUNCTION("""COMPUTED_VALUE"""),"Dissolution test")</f>
        <v/>
      </c>
      <c r="G26" s="2">
        <f>IFERROR(__xludf.DUMMYFUNCTION("""COMPUTED_VALUE"""),"Freeze-thaw cycle")</f>
        <v/>
      </c>
      <c r="H26" s="2">
        <f>IFERROR(__xludf.DUMMYFUNCTION("""COMPUTED_VALUE"""),"Weight variation")</f>
        <v/>
      </c>
      <c r="I26" s="2">
        <f>IFERROR(__xludf.DUMMYFUNCTION("""COMPUTED_VALUE"""),"1")</f>
        <v/>
      </c>
      <c r="J26"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2" t="n"/>
      <c r="L26" s="2">
        <f>IFERROR(__xludf.DUMMYFUNCTION("""COMPUTED_VALUE"""),"Tablet Manufacturing")</f>
        <v/>
      </c>
      <c r="M26" s="2">
        <f>IFERROR(__xludf.DUMMYFUNCTION("""COMPUTED_VALUE"""),"Product")</f>
        <v/>
      </c>
      <c r="N26" s="2">
        <f>IFERROR(__xludf.DUMMYFUNCTION("""COMPUTED_VALUE"""),"ข้อ 82 Pharma Plus เล่มม่วง (เฉลยข้อ ก)")</f>
        <v/>
      </c>
      <c r="O26" s="2">
        <f>IFERROR(__xludf.DUMMYFUNCTION("""COMPUTED_VALUE"""),"Mock")</f>
        <v/>
      </c>
      <c r="P26" s="2">
        <f>IFERROR(__xludf.DUMMYFUNCTION("""COMPUTED_VALUE"""),"Pharma Plus เล่มม่วง")</f>
        <v/>
      </c>
    </row>
    <row r="27" ht="13.2" customHeight="1" s="49">
      <c r="A27" s="2">
        <f>IFERROR(__xludf.DUMMYFUNCTION("""COMPUTED_VALUE"""),"83")</f>
        <v/>
      </c>
      <c r="B27" s="2">
        <f>IFERROR(__xludf.DUMMYFUNCTION("""COMPUTED_VALUE"""),"ข้อใดไม่ใช่ข้อดีของการทำ film coated tablet ที่เหนือกว่า sugar coated tablet")</f>
        <v/>
      </c>
      <c r="C27" s="2" t="n"/>
      <c r="D27" s="2">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2">
        <f>IFERROR(__xludf.DUMMYFUNCTION("""COMPUTED_VALUE"""),"พื้นผิวเม็ดยามีความเรียบและ สีสม่ำเสมอกว่า sugar coated tablet")</f>
        <v/>
      </c>
      <c r="F27" s="2">
        <f>IFERROR(__xludf.DUMMYFUNCTION("""COMPUTED_VALUE"""),"กระบวนการทำ film coated tablet รวดเร็วกว่า sugar coated tablet")</f>
        <v/>
      </c>
      <c r="G27" s="2">
        <f>IFERROR(__xludf.DUMMYFUNCTION("""COMPUTED_VALUE"""),"กระบวนการทำ film coated tablet ไม่เกิดปัญหา dead spot")</f>
        <v/>
      </c>
      <c r="H27" s="2">
        <f>IFERROR(__xludf.DUMMYFUNCTION("""COMPUTED_VALUE"""),"film coated tabletไม่มีการทำ polishing ด้วย wax จึงไม่เกิดปัญหาที่เรียกว่า marbled เหมือน sugar coated tablet")</f>
        <v/>
      </c>
      <c r="I27" s="2">
        <f>IFERROR(__xludf.DUMMYFUNCTION("""COMPUTED_VALUE"""),"1")</f>
        <v/>
      </c>
      <c r="J27" s="2">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2" t="n"/>
      <c r="L27" s="2">
        <f>IFERROR(__xludf.DUMMYFUNCTION("""COMPUTED_VALUE"""),"Tablet Coating")</f>
        <v/>
      </c>
      <c r="M27" s="2">
        <f>IFERROR(__xludf.DUMMYFUNCTION("""COMPUTED_VALUE"""),"Product")</f>
        <v/>
      </c>
      <c r="N27" s="2">
        <f>IFERROR(__xludf.DUMMYFUNCTION("""COMPUTED_VALUE"""),"ข้อ 83 Pharma Plus เล่มม่วง (เฉลยข้อ ก)")</f>
        <v/>
      </c>
      <c r="O27" s="2">
        <f>IFERROR(__xludf.DUMMYFUNCTION("""COMPUTED_VALUE"""),"Mock")</f>
        <v/>
      </c>
      <c r="P27" s="2">
        <f>IFERROR(__xludf.DUMMYFUNCTION("""COMPUTED_VALUE"""),"Pharma Plus เล่มม่วง")</f>
        <v/>
      </c>
    </row>
    <row r="28" ht="13.2" customHeight="1" s="49">
      <c r="A28" s="2">
        <f>IFERROR(__xludf.DUMMYFUNCTION("""COMPUTED_VALUE"""),"96")</f>
        <v/>
      </c>
      <c r="B28" s="2">
        <f>IFERROR(__xludf.DUMMYFUNCTION("""COMPUTED_VALUE"""),"Antacid เป็นยาเตรียมประเภทใด")</f>
        <v/>
      </c>
      <c r="C28" s="2" t="n"/>
      <c r="D28" s="2">
        <f>IFERROR(__xludf.DUMMYFUNCTION("""COMPUTED_VALUE"""),"Gel")</f>
        <v/>
      </c>
      <c r="E28" s="2">
        <f>IFERROR(__xludf.DUMMYFUNCTION("""COMPUTED_VALUE"""),"Emulsion")</f>
        <v/>
      </c>
      <c r="F28" s="2">
        <f>IFERROR(__xludf.DUMMYFUNCTION("""COMPUTED_VALUE"""),"Suspension")</f>
        <v/>
      </c>
      <c r="G28" s="2">
        <f>IFERROR(__xludf.DUMMYFUNCTION("""COMPUTED_VALUE"""),"Solution")</f>
        <v/>
      </c>
      <c r="H28" s="2">
        <f>IFERROR(__xludf.DUMMYFUNCTION("""COMPUTED_VALUE"""),"Elixir")</f>
        <v/>
      </c>
      <c r="I28" s="2">
        <f>IFERROR(__xludf.DUMMYFUNCTION("""COMPUTED_VALUE"""),"3")</f>
        <v/>
      </c>
      <c r="J28" s="2">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2" t="n"/>
      <c r="L28" s="2">
        <f>IFERROR(__xludf.DUMMYFUNCTION("""COMPUTED_VALUE"""),"Tablet Manufacturing")</f>
        <v/>
      </c>
      <c r="M28" s="2">
        <f>IFERROR(__xludf.DUMMYFUNCTION("""COMPUTED_VALUE"""),"Product")</f>
        <v/>
      </c>
      <c r="N28" s="2">
        <f>IFERROR(__xludf.DUMMYFUNCTION("""COMPUTED_VALUE"""),"ข้อ 96 Pharma Plus เล่มม่วง (เฉลยข้อ ค)")</f>
        <v/>
      </c>
      <c r="O28" s="2">
        <f>IFERROR(__xludf.DUMMYFUNCTION("""COMPUTED_VALUE"""),"Mock")</f>
        <v/>
      </c>
      <c r="P28" s="2">
        <f>IFERROR(__xludf.DUMMYFUNCTION("""COMPUTED_VALUE"""),"Pharma Plus เล่มม่วง")</f>
        <v/>
      </c>
    </row>
    <row r="29" ht="13.2" customHeight="1" s="49">
      <c r="A29" s="2">
        <f>IFERROR(__xludf.DUMMYFUNCTION("""COMPUTED_VALUE"""),"97")</f>
        <v/>
      </c>
      <c r="B29" s="2">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2" t="n"/>
      <c r="D29" s="2">
        <f>IFERROR(__xludf.DUMMYFUNCTION("""COMPUTED_VALUE"""),"Hard Gelatin Capsule filling")</f>
        <v/>
      </c>
      <c r="E29" s="2">
        <f>IFERROR(__xludf.DUMMYFUNCTION("""COMPUTED_VALUE"""),"Soft Gelatin Capsule encapsulation")</f>
        <v/>
      </c>
      <c r="F29" s="2">
        <f>IFERROR(__xludf.DUMMYFUNCTION("""COMPUTED_VALUE"""),"1 และ 3")</f>
        <v/>
      </c>
      <c r="G29" s="2">
        <f>IFERROR(__xludf.DUMMYFUNCTION("""COMPUTED_VALUE"""),"2 และ 3")</f>
        <v/>
      </c>
      <c r="H29" s="2">
        <f>IFERROR(__xludf.DUMMYFUNCTION("""COMPUTED_VALUE"""),"ไม่มีข้อใดถูก")</f>
        <v/>
      </c>
      <c r="I29" s="2">
        <f>IFERROR(__xludf.DUMMYFUNCTION("""COMPUTED_VALUE"""),"3")</f>
        <v/>
      </c>
      <c r="J29" s="2">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2" t="n"/>
      <c r="L29" s="2">
        <f>IFERROR(__xludf.DUMMYFUNCTION("""COMPUTED_VALUE"""),"Tablet Manufacturing")</f>
        <v/>
      </c>
      <c r="M29" s="2">
        <f>IFERROR(__xludf.DUMMYFUNCTION("""COMPUTED_VALUE"""),"Product")</f>
        <v/>
      </c>
      <c r="N29" s="2">
        <f>IFERROR(__xludf.DUMMYFUNCTION("""COMPUTED_VALUE"""),"ข้อ 97 Pharma Plus เล่มม่วง (เฉลยข้อ ค)")</f>
        <v/>
      </c>
      <c r="O29" s="2">
        <f>IFERROR(__xludf.DUMMYFUNCTION("""COMPUTED_VALUE"""),"Mock")</f>
        <v/>
      </c>
      <c r="P29" s="2">
        <f>IFERROR(__xludf.DUMMYFUNCTION("""COMPUTED_VALUE"""),"Pharma Plus เล่มม่วง")</f>
        <v/>
      </c>
    </row>
    <row r="30" ht="13.2" customHeight="1" s="49">
      <c r="A30" s="2">
        <f>IFERROR(__xludf.DUMMYFUNCTION("""COMPUTED_VALUE"""),"98")</f>
        <v/>
      </c>
      <c r="B30" s="2">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2" t="n"/>
      <c r="D30" s="2">
        <f>IFERROR(__xludf.DUMMYFUNCTION("""COMPUTED_VALUE"""),"Very soluble")</f>
        <v/>
      </c>
      <c r="E30" s="2">
        <f>IFERROR(__xludf.DUMMYFUNCTION("""COMPUTED_VALUE"""),"Sparingly soluble")</f>
        <v/>
      </c>
      <c r="F30" s="2">
        <f>IFERROR(__xludf.DUMMYFUNCTION("""COMPUTED_VALUE"""),"Soluble")</f>
        <v/>
      </c>
      <c r="G30" s="2">
        <f>IFERROR(__xludf.DUMMYFUNCTION("""COMPUTED_VALUE"""),"Freely soluble")</f>
        <v/>
      </c>
      <c r="H30" s="2">
        <f>IFERROR(__xludf.DUMMYFUNCTION("""COMPUTED_VALUE"""),"Insoluble")</f>
        <v/>
      </c>
      <c r="I30" s="2">
        <f>IFERROR(__xludf.DUMMYFUNCTION("""COMPUTED_VALUE"""),"3")</f>
        <v/>
      </c>
      <c r="J30" s="2">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2" t="n"/>
      <c r="L30" s="2">
        <f>IFERROR(__xludf.DUMMYFUNCTION("""COMPUTED_VALUE"""),"Tablet Manufacturing")</f>
        <v/>
      </c>
      <c r="M30" s="2">
        <f>IFERROR(__xludf.DUMMYFUNCTION("""COMPUTED_VALUE"""),"Product")</f>
        <v/>
      </c>
      <c r="N30" s="2">
        <f>IFERROR(__xludf.DUMMYFUNCTION("""COMPUTED_VALUE"""),"ข้อ 98 Pharma Plus เล่มม่วง (เฉลยข้อ ค)")</f>
        <v/>
      </c>
      <c r="O30" s="2">
        <f>IFERROR(__xludf.DUMMYFUNCTION("""COMPUTED_VALUE"""),"Mock")</f>
        <v/>
      </c>
      <c r="P30" s="2">
        <f>IFERROR(__xludf.DUMMYFUNCTION("""COMPUTED_VALUE"""),"Pharma Plus เล่มม่วง")</f>
        <v/>
      </c>
    </row>
    <row r="31" ht="13.2" customHeight="1" s="49">
      <c r="A31" s="2">
        <f>IFERROR(__xludf.DUMMYFUNCTION("""COMPUTED_VALUE"""),"99")</f>
        <v/>
      </c>
      <c r="B31" s="2">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2" t="n"/>
      <c r="D31" s="2">
        <f>IFERROR(__xludf.DUMMYFUNCTION("""COMPUTED_VALUE"""),"เปลี่ยนสูตรตำรับเป็นยาน้ำ")</f>
        <v/>
      </c>
      <c r="E31" s="2">
        <f>IFERROR(__xludf.DUMMYFUNCTION("""COMPUTED_VALUE"""),"ทำ wet granulation")</f>
        <v/>
      </c>
      <c r="F31" s="2">
        <f>IFERROR(__xludf.DUMMYFUNCTION("""COMPUTED_VALUE"""),"นำไปผ่าน sieve เพื่อคัดขนาดอนุภาค")</f>
        <v/>
      </c>
      <c r="G31" s="2">
        <f>IFERROR(__xludf.DUMMYFUNCTION("""COMPUTED_VALUE"""),"เพิ่มแรงตอก")</f>
        <v/>
      </c>
      <c r="H31" s="2">
        <f>IFERROR(__xludf.DUMMYFUNCTION("""COMPUTED_VALUE"""),"เพิ่ม diluent")</f>
        <v/>
      </c>
      <c r="I31" s="2">
        <f>IFERROR(__xludf.DUMMYFUNCTION("""COMPUTED_VALUE"""),"2")</f>
        <v/>
      </c>
      <c r="J31" s="2">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2" t="n"/>
      <c r="L31" s="2">
        <f>IFERROR(__xludf.DUMMYFUNCTION("""COMPUTED_VALUE"""),"Powders &amp; Granules")</f>
        <v/>
      </c>
      <c r="M31" s="2">
        <f>IFERROR(__xludf.DUMMYFUNCTION("""COMPUTED_VALUE"""),"Product")</f>
        <v/>
      </c>
      <c r="N31" s="2">
        <f>IFERROR(__xludf.DUMMYFUNCTION("""COMPUTED_VALUE"""),"ข้อ 99 Pharma Plus เล่มม่วง (เฉลยข้อ ข)")</f>
        <v/>
      </c>
      <c r="O31" s="2">
        <f>IFERROR(__xludf.DUMMYFUNCTION("""COMPUTED_VALUE"""),"Mock")</f>
        <v/>
      </c>
      <c r="P31" s="2">
        <f>IFERROR(__xludf.DUMMYFUNCTION("""COMPUTED_VALUE"""),"Pharma Plus เล่มม่วง")</f>
        <v/>
      </c>
    </row>
    <row r="32" ht="13.2" customHeight="1" s="49">
      <c r="A32" s="2">
        <f>IFERROR(__xludf.DUMMYFUNCTION("""COMPUTED_VALUE"""),"100")</f>
        <v/>
      </c>
      <c r="B32" s="2">
        <f>IFERROR(__xludf.DUMMYFUNCTION("""COMPUTED_VALUE"""),"เภสัชกรผู้หนึ่งทำการสุ่ม atenolol tablets ระหว่างการผลิตพบว่ายาเม็ดเกิดการแยกฝา เรียกปรากฏการณ์นี้ว่า")</f>
        <v/>
      </c>
      <c r="C32" s="2" t="n"/>
      <c r="D32" s="2">
        <f>IFERROR(__xludf.DUMMYFUNCTION("""COMPUTED_VALUE"""),"Breaking")</f>
        <v/>
      </c>
      <c r="E32" s="2">
        <f>IFERROR(__xludf.DUMMYFUNCTION("""COMPUTED_VALUE"""),"Cracking")</f>
        <v/>
      </c>
      <c r="F32" s="2">
        <f>IFERROR(__xludf.DUMMYFUNCTION("""COMPUTED_VALUE"""),"Capping")</f>
        <v/>
      </c>
      <c r="G32" s="2">
        <f>IFERROR(__xludf.DUMMYFUNCTION("""COMPUTED_VALUE"""),"Segregation")</f>
        <v/>
      </c>
      <c r="H32" s="2">
        <f>IFERROR(__xludf.DUMMYFUNCTION("""COMPUTED_VALUE"""),"Sticking")</f>
        <v/>
      </c>
      <c r="I32" s="2">
        <f>IFERROR(__xludf.DUMMYFUNCTION("""COMPUTED_VALUE"""),"3")</f>
        <v/>
      </c>
      <c r="J32" s="2">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2" t="n"/>
      <c r="L32" s="2">
        <f>IFERROR(__xludf.DUMMYFUNCTION("""COMPUTED_VALUE"""),"Tablet Defects")</f>
        <v/>
      </c>
      <c r="M32" s="2">
        <f>IFERROR(__xludf.DUMMYFUNCTION("""COMPUTED_VALUE"""),"Product")</f>
        <v/>
      </c>
      <c r="N32" s="2">
        <f>IFERROR(__xludf.DUMMYFUNCTION("""COMPUTED_VALUE"""),"ข้อ 100 Pharma Plus เล่มม่วง (เฉลยข้อ ค)")</f>
        <v/>
      </c>
      <c r="O32" s="2">
        <f>IFERROR(__xludf.DUMMYFUNCTION("""COMPUTED_VALUE"""),"Mock")</f>
        <v/>
      </c>
      <c r="P32" s="2">
        <f>IFERROR(__xludf.DUMMYFUNCTION("""COMPUTED_VALUE"""),"Pharma Plus เล่มม่วง")</f>
        <v/>
      </c>
    </row>
    <row r="33" ht="13.2" customHeight="1" s="49">
      <c r="A33" s="2">
        <f>IFERROR(__xludf.DUMMYFUNCTION("""COMPUTED_VALUE"""),"101")</f>
        <v/>
      </c>
      <c r="B33" s="2">
        <f>IFERROR(__xludf.DUMMYFUNCTION("""COMPUTED_VALUE"""),"จะแก้ไขปรากฏการณ์ข้อ 100 ได้อย่างไร")</f>
        <v/>
      </c>
      <c r="C33" s="2" t="n"/>
      <c r="D33" s="2">
        <f>IFERROR(__xludf.DUMMYFUNCTION("""COMPUTED_VALUE"""),"เติม anti-adherent")</f>
        <v/>
      </c>
      <c r="E33" s="2">
        <f>IFERROR(__xludf.DUMMYFUNCTION("""COMPUTED_VALUE"""),"เติม binder")</f>
        <v/>
      </c>
      <c r="F33" s="2">
        <f>IFERROR(__xludf.DUMMYFUNCTION("""COMPUTED_VALUE"""),"ลดขนาดอนุภาคให้ใกล้เคียงกัน")</f>
        <v/>
      </c>
      <c r="G33" s="2">
        <f>IFERROR(__xludf.DUMMYFUNCTION("""COMPUTED_VALUE"""),"ปรับความเร็วในการตอกให้ลดลง")</f>
        <v/>
      </c>
      <c r="H33" s="2">
        <f>IFERROR(__xludf.DUMMYFUNCTION("""COMPUTED_VALUE"""),"ข. และ ง. ถูก")</f>
        <v/>
      </c>
      <c r="I33" s="2">
        <f>IFERROR(__xludf.DUMMYFUNCTION("""COMPUTED_VALUE"""),"5")</f>
        <v/>
      </c>
      <c r="J33" s="2">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2" t="n"/>
      <c r="L33" s="2">
        <f>IFERROR(__xludf.DUMMYFUNCTION("""COMPUTED_VALUE"""),"Tablet Manufacturing")</f>
        <v/>
      </c>
      <c r="M33" s="2">
        <f>IFERROR(__xludf.DUMMYFUNCTION("""COMPUTED_VALUE"""),"Product")</f>
        <v/>
      </c>
      <c r="N33" s="2">
        <f>IFERROR(__xludf.DUMMYFUNCTION("""COMPUTED_VALUE"""),"ข้อ 101 Pharma Plus เล่มม่วง (เฉลยข้อ จ)")</f>
        <v/>
      </c>
      <c r="O33" s="2">
        <f>IFERROR(__xludf.DUMMYFUNCTION("""COMPUTED_VALUE"""),"Mock")</f>
        <v/>
      </c>
      <c r="P33" s="2">
        <f>IFERROR(__xludf.DUMMYFUNCTION("""COMPUTED_VALUE"""),"Pharma Plus เล่มม่วง")</f>
        <v/>
      </c>
    </row>
    <row r="34" ht="13.2" customHeight="1" s="49">
      <c r="A34" s="2">
        <f>IFERROR(__xludf.DUMMYFUNCTION("""COMPUTED_VALUE"""),"105")</f>
        <v/>
      </c>
      <c r="B34" s="2">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2" t="n"/>
      <c r="D34" s="2">
        <f>IFERROR(__xludf.DUMMYFUNCTION("""COMPUTED_VALUE"""),"44.44")</f>
        <v/>
      </c>
      <c r="E34" s="2">
        <f>IFERROR(__xludf.DUMMYFUNCTION("""COMPUTED_VALUE"""),"75.88")</f>
        <v/>
      </c>
      <c r="F34" s="2">
        <f>IFERROR(__xludf.DUMMYFUNCTION("""COMPUTED_VALUE"""),"80.58")</f>
        <v/>
      </c>
      <c r="G34" s="2">
        <f>IFERROR(__xludf.DUMMYFUNCTION("""COMPUTED_VALUE"""),"85")</f>
        <v/>
      </c>
      <c r="H34" s="2">
        <f>IFERROR(__xludf.DUMMYFUNCTION("""COMPUTED_VALUE"""),"88.89")</f>
        <v/>
      </c>
      <c r="I34" s="2">
        <f>IFERROR(__xludf.DUMMYFUNCTION("""COMPUTED_VALUE"""),"5")</f>
        <v/>
      </c>
      <c r="J34" s="2">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2" t="n"/>
      <c r="L34" s="2">
        <f>IFERROR(__xludf.DUMMYFUNCTION("""COMPUTED_VALUE"""),"Tablet Manufacturing")</f>
        <v/>
      </c>
      <c r="M34" s="2">
        <f>IFERROR(__xludf.DUMMYFUNCTION("""COMPUTED_VALUE"""),"Product")</f>
        <v/>
      </c>
      <c r="N34" s="2">
        <f>IFERROR(__xludf.DUMMYFUNCTION("""COMPUTED_VALUE"""),"ข้อ 105 Pharma Plus เล่มม่วง (เฉลยข้อ จ)")</f>
        <v/>
      </c>
      <c r="O34" s="2">
        <f>IFERROR(__xludf.DUMMYFUNCTION("""COMPUTED_VALUE"""),"Mock")</f>
        <v/>
      </c>
      <c r="P34" s="2">
        <f>IFERROR(__xludf.DUMMYFUNCTION("""COMPUTED_VALUE"""),"Pharma Plus เล่มม่วง")</f>
        <v/>
      </c>
    </row>
    <row r="35" ht="13.2" customHeight="1" s="49">
      <c r="A35" s="2">
        <f>IFERROR(__xludf.DUMMYFUNCTION("""COMPUTED_VALUE"""),"106")</f>
        <v/>
      </c>
      <c r="B35" s="2">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2" t="n"/>
      <c r="D35" s="2">
        <f>IFERROR(__xludf.DUMMYFUNCTION("""COMPUTED_VALUE"""),"Preservatives")</f>
        <v/>
      </c>
      <c r="E35" s="2">
        <f>IFERROR(__xludf.DUMMYFUNCTION("""COMPUTED_VALUE"""),"Suspending agent")</f>
        <v/>
      </c>
      <c r="F35" s="2">
        <f>IFERROR(__xludf.DUMMYFUNCTION("""COMPUTED_VALUE"""),"Sweetening agent")</f>
        <v/>
      </c>
      <c r="G35" s="2">
        <f>IFERROR(__xludf.DUMMYFUNCTION("""COMPUTED_VALUE"""),"Coloring agent")</f>
        <v/>
      </c>
      <c r="H35" s="2">
        <f>IFERROR(__xludf.DUMMYFUNCTION("""COMPUTED_VALUE"""),"Active ingredient")</f>
        <v/>
      </c>
      <c r="I35" s="2">
        <f>IFERROR(__xludf.DUMMYFUNCTION("""COMPUTED_VALUE"""),"2")</f>
        <v/>
      </c>
      <c r="J35" s="2">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2" t="n"/>
      <c r="L35" s="2">
        <f>IFERROR(__xludf.DUMMYFUNCTION("""COMPUTED_VALUE"""),"Tablet Manufacturing")</f>
        <v/>
      </c>
      <c r="M35" s="2">
        <f>IFERROR(__xludf.DUMMYFUNCTION("""COMPUTED_VALUE"""),"Product")</f>
        <v/>
      </c>
      <c r="N35" s="2">
        <f>IFERROR(__xludf.DUMMYFUNCTION("""COMPUTED_VALUE"""),"ข้อ 106 Pharma Plus เล่มม่วง (เฉลยข้อ ข)")</f>
        <v/>
      </c>
      <c r="O35" s="2">
        <f>IFERROR(__xludf.DUMMYFUNCTION("""COMPUTED_VALUE"""),"Mock")</f>
        <v/>
      </c>
      <c r="P35" s="2">
        <f>IFERROR(__xludf.DUMMYFUNCTION("""COMPUTED_VALUE"""),"Pharma Plus เล่มม่วง")</f>
        <v/>
      </c>
    </row>
    <row r="36" ht="13.2" customHeight="1" s="49">
      <c r="A36" s="2">
        <f>IFERROR(__xludf.DUMMYFUNCTION("""COMPUTED_VALUE"""),"107")</f>
        <v/>
      </c>
      <c r="B36" s="2">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2" t="n"/>
      <c r="D36" s="2">
        <f>IFERROR(__xludf.DUMMYFUNCTION("""COMPUTED_VALUE"""),"155 g")</f>
        <v/>
      </c>
      <c r="E36" s="2">
        <f>IFERROR(__xludf.DUMMYFUNCTION("""COMPUTED_VALUE"""),"175 g")</f>
        <v/>
      </c>
      <c r="F36" s="2">
        <f>IFERROR(__xludf.DUMMYFUNCTION("""COMPUTED_VALUE"""),"180 g")</f>
        <v/>
      </c>
      <c r="G36" s="2">
        <f>IFERROR(__xludf.DUMMYFUNCTION("""COMPUTED_VALUE"""),"197 g")</f>
        <v/>
      </c>
      <c r="H36" s="2">
        <f>IFERROR(__xludf.DUMMYFUNCTION("""COMPUTED_VALUE"""),"200 g")</f>
        <v/>
      </c>
      <c r="I36" s="2">
        <f>IFERROR(__xludf.DUMMYFUNCTION("""COMPUTED_VALUE"""),"3")</f>
        <v/>
      </c>
      <c r="J36" s="2">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2" t="n"/>
      <c r="L36" s="2">
        <f>IFERROR(__xludf.DUMMYFUNCTION("""COMPUTED_VALUE"""),"Tablet Manufacturing")</f>
        <v/>
      </c>
      <c r="M36" s="2">
        <f>IFERROR(__xludf.DUMMYFUNCTION("""COMPUTED_VALUE"""),"Product")</f>
        <v/>
      </c>
      <c r="N36" s="2">
        <f>IFERROR(__xludf.DUMMYFUNCTION("""COMPUTED_VALUE"""),"ข้อ 107 Pharma Plus เล่มม่วง (เฉลยข้อ ค)")</f>
        <v/>
      </c>
      <c r="O36" s="2">
        <f>IFERROR(__xludf.DUMMYFUNCTION("""COMPUTED_VALUE"""),"Mock")</f>
        <v/>
      </c>
      <c r="P36" s="2">
        <f>IFERROR(__xludf.DUMMYFUNCTION("""COMPUTED_VALUE"""),"Pharma Plus เล่มม่วง")</f>
        <v/>
      </c>
    </row>
    <row r="37" ht="13.2" customHeight="1" s="49">
      <c r="A37" s="2">
        <f>IFERROR(__xludf.DUMMYFUNCTION("""COMPUTED_VALUE"""),"108")</f>
        <v/>
      </c>
      <c r="B37" s="2">
        <f>IFERROR(__xludf.DUMMYFUNCTION("""COMPUTED_VALUE"""),"ในการเตรียม D-5-S จำนวน 100 ขวด (ขวดละ 1000 mL) จะต้องใช้ NaCl หนักเท่าใด")</f>
        <v/>
      </c>
      <c r="C37" s="2" t="n"/>
      <c r="D37" s="2">
        <f>IFERROR(__xludf.DUMMYFUNCTION("""COMPUTED_VALUE"""),"45 กรัม")</f>
        <v/>
      </c>
      <c r="E37" s="2">
        <f>IFERROR(__xludf.DUMMYFUNCTION("""COMPUTED_VALUE"""),"450 กรัม")</f>
        <v/>
      </c>
      <c r="F37" s="2">
        <f>IFERROR(__xludf.DUMMYFUNCTION("""COMPUTED_VALUE"""),"90 กรัม")</f>
        <v/>
      </c>
      <c r="G37" s="2">
        <f>IFERROR(__xludf.DUMMYFUNCTION("""COMPUTED_VALUE"""),"900 กรัม")</f>
        <v/>
      </c>
      <c r="H37" s="2">
        <f>IFERROR(__xludf.DUMMYFUNCTION("""COMPUTED_VALUE"""),"ไม่มีคำตอบใดถูก")</f>
        <v/>
      </c>
      <c r="I37" s="2">
        <f>IFERROR(__xludf.DUMMYFUNCTION("""COMPUTED_VALUE"""),"4")</f>
        <v/>
      </c>
      <c r="J37" s="2">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2" t="n"/>
      <c r="L37" s="2">
        <f>IFERROR(__xludf.DUMMYFUNCTION("""COMPUTED_VALUE"""),"Tablet Manufacturing")</f>
        <v/>
      </c>
      <c r="M37" s="2">
        <f>IFERROR(__xludf.DUMMYFUNCTION("""COMPUTED_VALUE"""),"Product")</f>
        <v/>
      </c>
      <c r="N37" s="2">
        <f>IFERROR(__xludf.DUMMYFUNCTION("""COMPUTED_VALUE"""),"ข้อ 108 Pharma Plus เล่มม่วง (เฉลยข้อ ง)")</f>
        <v/>
      </c>
      <c r="O37" s="2">
        <f>IFERROR(__xludf.DUMMYFUNCTION("""COMPUTED_VALUE"""),"Mock")</f>
        <v/>
      </c>
      <c r="P37" s="2">
        <f>IFERROR(__xludf.DUMMYFUNCTION("""COMPUTED_VALUE"""),"Pharma Plus เล่มม่วง")</f>
        <v/>
      </c>
    </row>
    <row r="38" ht="13.2" customHeight="1" s="49">
      <c r="A38" s="2">
        <f>IFERROR(__xludf.DUMMYFUNCTION("""COMPUTED_VALUE"""),"109")</f>
        <v/>
      </c>
      <c r="B38" s="2">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2" t="n"/>
      <c r="D38" s="2">
        <f>IFERROR(__xludf.DUMMYFUNCTION("""COMPUTED_VALUE"""),"Hot air oven 160 องศาเซลเซียส นาน 3 ชั่วโมง")</f>
        <v/>
      </c>
      <c r="E38" s="2">
        <f>IFERROR(__xludf.DUMMYFUNCTION("""COMPUTED_VALUE"""),"Hot air oven 121 องศาเซลเซียส นาน 20-30 นาที")</f>
        <v/>
      </c>
      <c r="F38" s="2">
        <f>IFERROR(__xludf.DUMMYFUNCTION("""COMPUTED_VALUE"""),"Autoclave 121 องศาเซลเซียส นาน 20-30 นาที")</f>
        <v/>
      </c>
      <c r="G38" s="2">
        <f>IFERROR(__xludf.DUMMYFUNCTION("""COMPUTED_VALUE"""),"Autoclave 160 องศาเซลเซียส นาน 3 ชั่วโมง")</f>
        <v/>
      </c>
      <c r="H38" s="2">
        <f>IFERROR(__xludf.DUMMYFUNCTION("""COMPUTED_VALUE"""),"Autoclave 100 องศาเซลเซียส นาน 30 นาที")</f>
        <v/>
      </c>
      <c r="I38" s="2">
        <f>IFERROR(__xludf.DUMMYFUNCTION("""COMPUTED_VALUE"""),"3")</f>
        <v/>
      </c>
      <c r="J38" s="2">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2" t="n"/>
      <c r="L38" s="2">
        <f>IFERROR(__xludf.DUMMYFUNCTION("""COMPUTED_VALUE"""),"Tablet Manufacturing")</f>
        <v/>
      </c>
      <c r="M38" s="2">
        <f>IFERROR(__xludf.DUMMYFUNCTION("""COMPUTED_VALUE"""),"Product")</f>
        <v/>
      </c>
      <c r="N38" s="2">
        <f>IFERROR(__xludf.DUMMYFUNCTION("""COMPUTED_VALUE"""),"ข้อ 109 Pharma Plus เล่มม่วง (เฉลยข้อ ค)")</f>
        <v/>
      </c>
      <c r="O38" s="2">
        <f>IFERROR(__xludf.DUMMYFUNCTION("""COMPUTED_VALUE"""),"Mock")</f>
        <v/>
      </c>
      <c r="P38" s="2">
        <f>IFERROR(__xludf.DUMMYFUNCTION("""COMPUTED_VALUE"""),"Pharma Plus เล่มม่วง")</f>
        <v/>
      </c>
    </row>
    <row r="39" ht="13.2" customHeight="1" s="49">
      <c r="A39" s="2">
        <f>IFERROR(__xludf.DUMMYFUNCTION("""COMPUTED_VALUE"""),"122")</f>
        <v/>
      </c>
      <c r="B39" s="2">
        <f>IFERROR(__xludf.DUMMYFUNCTION("""COMPUTED_VALUE"""),"ยา ISDN เหมาะกับอาการขณะกำเริบ คือ dosage form ใด")</f>
        <v/>
      </c>
      <c r="C39" s="2" t="n"/>
      <c r="D39" s="2">
        <f>IFERROR(__xludf.DUMMYFUNCTION("""COMPUTED_VALUE"""),"Extent release")</f>
        <v/>
      </c>
      <c r="E39" s="2">
        <f>IFERROR(__xludf.DUMMYFUNCTION("""COMPUTED_VALUE"""),"Ointment")</f>
        <v/>
      </c>
      <c r="F39" s="2">
        <f>IFERROR(__xludf.DUMMYFUNCTION("""COMPUTED_VALUE"""),"Solution")</f>
        <v/>
      </c>
      <c r="G39" s="2">
        <f>IFERROR(__xludf.DUMMYFUNCTION("""COMPUTED_VALUE"""),"Sublingual tablet")</f>
        <v/>
      </c>
      <c r="H39" s="2">
        <f>IFERROR(__xludf.DUMMYFUNCTION("""COMPUTED_VALUE"""),"Transdermal")</f>
        <v/>
      </c>
      <c r="I39" s="2">
        <f>IFERROR(__xludf.DUMMYFUNCTION("""COMPUTED_VALUE"""),"4")</f>
        <v/>
      </c>
      <c r="J39" s="2">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2" t="n"/>
      <c r="L39" s="2">
        <f>IFERROR(__xludf.DUMMYFUNCTION("""COMPUTED_VALUE"""),"Tablet Manufacturing")</f>
        <v/>
      </c>
      <c r="M39" s="2">
        <f>IFERROR(__xludf.DUMMYFUNCTION("""COMPUTED_VALUE"""),"Product")</f>
        <v/>
      </c>
      <c r="N39" s="2">
        <f>IFERROR(__xludf.DUMMYFUNCTION("""COMPUTED_VALUE"""),"ข้อ 122 Pharma Plus เล่มม่วง (เฉลยข้อ ง)")</f>
        <v/>
      </c>
      <c r="O39" s="2">
        <f>IFERROR(__xludf.DUMMYFUNCTION("""COMPUTED_VALUE"""),"Mock")</f>
        <v/>
      </c>
      <c r="P39" s="2">
        <f>IFERROR(__xludf.DUMMYFUNCTION("""COMPUTED_VALUE"""),"Pharma Plus เล่มม่วง")</f>
        <v/>
      </c>
    </row>
    <row r="40" ht="13.2" customHeight="1" s="49">
      <c r="A40" s="2">
        <f>IFERROR(__xludf.DUMMYFUNCTION("""COMPUTED_VALUE"""),"123")</f>
        <v/>
      </c>
      <c r="B40" s="2">
        <f>IFERROR(__xludf.DUMMYFUNCTION("""COMPUTED_VALUE"""),"ยาที่ผู้ป่วยได้รับก่อนมารพ. คือ nifedipine SR เป็นการปลดยารูปแบบใด")</f>
        <v/>
      </c>
      <c r="C40" s="2" t="n"/>
      <c r="D40" s="2">
        <f>IFERROR(__xludf.DUMMYFUNCTION("""COMPUTED_VALUE"""),"ปลดปล่อยยาทันทีหลังรับประทานอาหาร")</f>
        <v/>
      </c>
      <c r="E40" s="2">
        <f>IFERROR(__xludf.DUMMYFUNCTION("""COMPUTED_VALUE"""),"ปลดปล่อยยาอย่างเร็ว")</f>
        <v/>
      </c>
      <c r="F40" s="2">
        <f>IFERROR(__xludf.DUMMYFUNCTION("""COMPUTED_VALUE"""),"ปลดปล่อยยาในปริมาณที่แน่นอน")</f>
        <v/>
      </c>
      <c r="G40" s="2">
        <f>IFERROR(__xludf.DUMMYFUNCTION("""COMPUTED_VALUE"""),"ค่อย ๆ ปล่อยยาออกมาอย่าง ช้า ๆ")</f>
        <v/>
      </c>
      <c r="H40" s="2">
        <f>IFERROR(__xludf.DUMMYFUNCTION("""COMPUTED_VALUE"""),"ค่อย ๆปลดปล่อยยาออกมาในปริมาณน้อย")</f>
        <v/>
      </c>
      <c r="I40" s="2">
        <f>IFERROR(__xludf.DUMMYFUNCTION("""COMPUTED_VALUE"""),"4")</f>
        <v/>
      </c>
      <c r="J40" s="2">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2" t="n"/>
      <c r="L40" s="2">
        <f>IFERROR(__xludf.DUMMYFUNCTION("""COMPUTED_VALUE"""),"Tablet Manufacturing")</f>
        <v/>
      </c>
      <c r="M40" s="2">
        <f>IFERROR(__xludf.DUMMYFUNCTION("""COMPUTED_VALUE"""),"Product")</f>
        <v/>
      </c>
      <c r="N40" s="2">
        <f>IFERROR(__xludf.DUMMYFUNCTION("""COMPUTED_VALUE"""),"ข้อ 123 Pharma Plus เล่มม่วง (เฉลยข้อ ง)")</f>
        <v/>
      </c>
      <c r="O40" s="2">
        <f>IFERROR(__xludf.DUMMYFUNCTION("""COMPUTED_VALUE"""),"Mock")</f>
        <v/>
      </c>
      <c r="P40" s="2">
        <f>IFERROR(__xludf.DUMMYFUNCTION("""COMPUTED_VALUE"""),"Pharma Plus เล่มม่วง")</f>
        <v/>
      </c>
    </row>
    <row r="41" ht="13.2" customHeight="1" s="49">
      <c r="A41" s="2">
        <f>IFERROR(__xludf.DUMMYFUNCTION("""COMPUTED_VALUE"""),"124")</f>
        <v/>
      </c>
      <c r="B41" s="2">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2" t="n"/>
      <c r="D41" s="2">
        <f>IFERROR(__xludf.DUMMYFUNCTION("""COMPUTED_VALUE"""),"นำไปปั่นเหวี่ยงที่ความเร็วรอบ 3,750 รอบ/นาที เป็นเวลา 5 ชั่วโมง")</f>
        <v/>
      </c>
      <c r="E41" s="2">
        <f>IFERROR(__xludf.DUMMYFUNCTION("""COMPUTED_VALUE"""),"นำไปเก็บไว้ที่อุณหภูมิ 180 C เป็นเวลา 12 ชั่วโมง")</f>
        <v/>
      </c>
      <c r="F41" s="2">
        <f>IFERROR(__xludf.DUMMYFUNCTION("""COMPUTED_VALUE"""),"นำไปเก็บไว้ที่อุณหภูมิ -5 C สลับกับ 40 C ทุก ๆ 24 ชั่วโมง เป็นจำนวน 24 รอบ")</f>
        <v/>
      </c>
      <c r="G41" s="2">
        <f>IFERROR(__xludf.DUMMYFUNCTION("""COMPUTED_VALUE"""),"นำไปเก็บไว้ที่อุณหภูมิ 4 C, 25 C และ 45 Cเป็นเวลา 6 เดือน")</f>
        <v/>
      </c>
      <c r="H41" s="2">
        <f>IFERROR(__xludf.DUMMYFUNCTION("""COMPUTED_VALUE"""),"นำไปเก็บไว้ที่อุณหภูมิ 25 C เป็นเวลา 2 ปี")</f>
        <v/>
      </c>
      <c r="I41" s="2">
        <f>IFERROR(__xludf.DUMMYFUNCTION("""COMPUTED_VALUE"""),"2")</f>
        <v/>
      </c>
      <c r="J41" s="2">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2" t="n"/>
      <c r="L41" s="2">
        <f>IFERROR(__xludf.DUMMYFUNCTION("""COMPUTED_VALUE"""),"Tablet Manufacturing")</f>
        <v/>
      </c>
      <c r="M41" s="2">
        <f>IFERROR(__xludf.DUMMYFUNCTION("""COMPUTED_VALUE"""),"Product")</f>
        <v/>
      </c>
      <c r="N41" s="2">
        <f>IFERROR(__xludf.DUMMYFUNCTION("""COMPUTED_VALUE"""),"ข้อ 124 Pharma Plus เล่มม่วง (เฉลยข้อ ข)")</f>
        <v/>
      </c>
      <c r="O41" s="2">
        <f>IFERROR(__xludf.DUMMYFUNCTION("""COMPUTED_VALUE"""),"Mock")</f>
        <v/>
      </c>
      <c r="P41" s="2">
        <f>IFERROR(__xludf.DUMMYFUNCTION("""COMPUTED_VALUE"""),"Pharma Plus เล่มม่วง")</f>
        <v/>
      </c>
    </row>
    <row r="42" ht="13.2" customHeight="1" s="49">
      <c r="A42" s="2">
        <f>IFERROR(__xludf.DUMMYFUNCTION("""COMPUTED_VALUE"""),"125")</f>
        <v/>
      </c>
      <c r="B42" s="2">
        <f>IFERROR(__xludf.DUMMYFUNCTION("""COMPUTED_VALUE"""),"ข้อมูลข้อมีความจำเป็นน้อยที่สุดในการนำพริกมาบรรจุในแคปซูลเพื่อรับประทาน")</f>
        <v/>
      </c>
      <c r="C42" s="2" t="n"/>
      <c r="D42" s="2">
        <f>IFERROR(__xludf.DUMMYFUNCTION("""COMPUTED_VALUE"""),"Solubility")</f>
        <v/>
      </c>
      <c r="E42" s="2">
        <f>IFERROR(__xludf.DUMMYFUNCTION("""COMPUTED_VALUE"""),"Angle of repose")</f>
        <v/>
      </c>
      <c r="F42" s="2">
        <f>IFERROR(__xludf.DUMMYFUNCTION("""COMPUTED_VALUE"""),"Capsule's size and volume")</f>
        <v/>
      </c>
      <c r="G42" s="2">
        <f>IFERROR(__xludf.DUMMYFUNCTION("""COMPUTED_VALUE"""),"Tap density")</f>
        <v/>
      </c>
      <c r="H42" s="2">
        <f>IFERROR(__xludf.DUMMYFUNCTION("""COMPUTED_VALUE"""),"Therapeutic dose")</f>
        <v/>
      </c>
      <c r="I42" s="2">
        <f>IFERROR(__xludf.DUMMYFUNCTION("""COMPUTED_VALUE"""),"1")</f>
        <v/>
      </c>
      <c r="J42" s="2">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2" t="n"/>
      <c r="L42" s="2">
        <f>IFERROR(__xludf.DUMMYFUNCTION("""COMPUTED_VALUE"""),"Hard &amp; Soft Gelatin Capsules")</f>
        <v/>
      </c>
      <c r="M42" s="2">
        <f>IFERROR(__xludf.DUMMYFUNCTION("""COMPUTED_VALUE"""),"Product")</f>
        <v/>
      </c>
      <c r="N42" s="2">
        <f>IFERROR(__xludf.DUMMYFUNCTION("""COMPUTED_VALUE"""),"ข้อ 125 Pharma Plus เล่มม่วง (เฉลยข้อ ก)")</f>
        <v/>
      </c>
      <c r="O42" s="2">
        <f>IFERROR(__xludf.DUMMYFUNCTION("""COMPUTED_VALUE"""),"Mock")</f>
        <v/>
      </c>
      <c r="P42" s="2">
        <f>IFERROR(__xludf.DUMMYFUNCTION("""COMPUTED_VALUE"""),"Pharma Plus เล่มม่วง")</f>
        <v/>
      </c>
    </row>
    <row r="43" ht="13.2" customHeight="1" s="49">
      <c r="A43" s="2">
        <f>IFERROR(__xludf.DUMMYFUNCTION("""COMPUTED_VALUE"""),"126")</f>
        <v/>
      </c>
      <c r="B43" s="2">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2" t="n"/>
      <c r="D43" s="2">
        <f>IFERROR(__xludf.DUMMYFUNCTION("""COMPUTED_VALUE"""),"ใช้ 25% NaHCO3 6 mL และปรับปริมาตรให้ได้ 100 mL")</f>
        <v/>
      </c>
      <c r="E43" s="2">
        <f>IFERROR(__xludf.DUMMYFUNCTION("""COMPUTED_VALUE"""),"ใช้ 25% NaHCO3 6 mL และปรับปริมาตรให้ได้ 30 mL")</f>
        <v/>
      </c>
      <c r="F43" s="2">
        <f>IFERROR(__xludf.DUMMYFUNCTION("""COMPUTED_VALUE"""),"ใช้ 25% NaHCO3 20 mL และปรับปริมาตรให้ได้ 100 mL")</f>
        <v/>
      </c>
      <c r="G43" s="2">
        <f>IFERROR(__xludf.DUMMYFUNCTION("""COMPUTED_VALUE"""),"ใช้ 25% NaHCO3 20 mL และปรับปริมาตรให้ได้ 30 mL")</f>
        <v/>
      </c>
      <c r="H43" s="2">
        <f>IFERROR(__xludf.DUMMYFUNCTION("""COMPUTED_VALUE"""),"ใช้ 25% NaHCO3 10 mL และปรับปริมาตรให้ได้ 100 mL")</f>
        <v/>
      </c>
      <c r="I43" s="2">
        <f>IFERROR(__xludf.DUMMYFUNCTION("""COMPUTED_VALUE"""),"2")</f>
        <v/>
      </c>
      <c r="J43" s="2">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2" t="n"/>
      <c r="L43" s="2">
        <f>IFERROR(__xludf.DUMMYFUNCTION("""COMPUTED_VALUE"""),"Tablet Manufacturing")</f>
        <v/>
      </c>
      <c r="M43" s="2">
        <f>IFERROR(__xludf.DUMMYFUNCTION("""COMPUTED_VALUE"""),"Product")</f>
        <v/>
      </c>
      <c r="N43" s="2">
        <f>IFERROR(__xludf.DUMMYFUNCTION("""COMPUTED_VALUE"""),"ข้อ 126 Pharma Plus เล่มม่วง (เฉลยข้อ ข)")</f>
        <v/>
      </c>
      <c r="O43" s="2">
        <f>IFERROR(__xludf.DUMMYFUNCTION("""COMPUTED_VALUE"""),"Mock")</f>
        <v/>
      </c>
      <c r="P43" s="2">
        <f>IFERROR(__xludf.DUMMYFUNCTION("""COMPUTED_VALUE"""),"Pharma Plus เล่มม่วง")</f>
        <v/>
      </c>
    </row>
    <row r="44" ht="13.2" customHeight="1" s="49">
      <c r="A44" s="2">
        <f>IFERROR(__xludf.DUMMYFUNCTION("""COMPUTED_VALUE"""),"127")</f>
        <v/>
      </c>
      <c r="B44" s="2">
        <f>IFERROR(__xludf.DUMMYFUNCTION("""COMPUTED_VALUE"""),"เมื่อเตรียมตำรับยาข้างต้นในข้อ 126 ส่วนประกอบใดไม่จำเป็นในการเตรียมยาใช้ในช่องหู")</f>
        <v/>
      </c>
      <c r="C44" s="2" t="n"/>
      <c r="D44" s="2">
        <f>IFERROR(__xludf.DUMMYFUNCTION("""COMPUTED_VALUE"""),"Antioxidant")</f>
        <v/>
      </c>
      <c r="E44" s="2">
        <f>IFERROR(__xludf.DUMMYFUNCTION("""COMPUTED_VALUE"""),"Buffering agent")</f>
        <v/>
      </c>
      <c r="F44" s="2">
        <f>IFERROR(__xludf.DUMMYFUNCTION("""COMPUTED_VALUE"""),"Structure vehicle")</f>
        <v/>
      </c>
      <c r="G44" s="2">
        <f>IFERROR(__xludf.DUMMYFUNCTION("""COMPUTED_VALUE"""),"Preservative")</f>
        <v/>
      </c>
      <c r="H44" s="2">
        <f>IFERROR(__xludf.DUMMYFUNCTION("""COMPUTED_VALUE"""),"Viscosity agent")</f>
        <v/>
      </c>
      <c r="I44" s="2">
        <f>IFERROR(__xludf.DUMMYFUNCTION("""COMPUTED_VALUE"""),"2")</f>
        <v/>
      </c>
      <c r="J44" s="2">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2" t="n"/>
      <c r="L44" s="2">
        <f>IFERROR(__xludf.DUMMYFUNCTION("""COMPUTED_VALUE"""),"Tablet Manufacturing")</f>
        <v/>
      </c>
      <c r="M44" s="2">
        <f>IFERROR(__xludf.DUMMYFUNCTION("""COMPUTED_VALUE"""),"Product")</f>
        <v/>
      </c>
      <c r="N44" s="2">
        <f>IFERROR(__xludf.DUMMYFUNCTION("""COMPUTED_VALUE"""),"ข้อ 127 Pharma Plus เล่มม่วง (เฉลยข้อ ข)")</f>
        <v/>
      </c>
      <c r="O44" s="2">
        <f>IFERROR(__xludf.DUMMYFUNCTION("""COMPUTED_VALUE"""),"Mock")</f>
        <v/>
      </c>
      <c r="P44" s="2">
        <f>IFERROR(__xludf.DUMMYFUNCTION("""COMPUTED_VALUE"""),"Pharma Plus เล่มม่วง")</f>
        <v/>
      </c>
    </row>
    <row r="45" ht="13.2" customHeight="1" s="49">
      <c r="A45" s="2">
        <f>IFERROR(__xludf.DUMMYFUNCTION("""COMPUTED_VALUE"""),"152")</f>
        <v/>
      </c>
      <c r="B45" s="2">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2" t="n"/>
      <c r="D45" s="2">
        <f>IFERROR(__xludf.DUMMYFUNCTION("""COMPUTED_VALUE"""),"0.27 g")</f>
        <v/>
      </c>
      <c r="E45" s="2">
        <f>IFERROR(__xludf.DUMMYFUNCTION("""COMPUTED_VALUE"""),"0.18 g")</f>
        <v/>
      </c>
      <c r="F45" s="2">
        <f>IFERROR(__xludf.DUMMYFUNCTION("""COMPUTED_VALUE"""),"0.09 g")</f>
        <v/>
      </c>
      <c r="G45" s="2">
        <f>IFERROR(__xludf.DUMMYFUNCTION("""COMPUTED_VALUE"""),"0.04 g")</f>
        <v/>
      </c>
      <c r="H45" s="2">
        <f>IFERROR(__xludf.DUMMYFUNCTION("""COMPUTED_VALUE"""),"0.12 g")</f>
        <v/>
      </c>
      <c r="I45" s="2">
        <f>IFERROR(__xludf.DUMMYFUNCTION("""COMPUTED_VALUE"""),"3")</f>
        <v/>
      </c>
      <c r="J45" s="2">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2" t="n"/>
      <c r="L45" s="2">
        <f>IFERROR(__xludf.DUMMYFUNCTION("""COMPUTED_VALUE"""),"Tablet Manufacturing")</f>
        <v/>
      </c>
      <c r="M45" s="2">
        <f>IFERROR(__xludf.DUMMYFUNCTION("""COMPUTED_VALUE"""),"Product")</f>
        <v/>
      </c>
      <c r="N45" s="2">
        <f>IFERROR(__xludf.DUMMYFUNCTION("""COMPUTED_VALUE"""),"ข้อ 152 Pharma Plus เล่มม่วง (เฉลยข้อ ค)")</f>
        <v/>
      </c>
      <c r="O45" s="2">
        <f>IFERROR(__xludf.DUMMYFUNCTION("""COMPUTED_VALUE"""),"Mock")</f>
        <v/>
      </c>
      <c r="P45" s="2">
        <f>IFERROR(__xludf.DUMMYFUNCTION("""COMPUTED_VALUE"""),"Pharma Plus เล่มม่วง")</f>
        <v/>
      </c>
    </row>
    <row r="46" ht="13.2" customHeight="1" s="49">
      <c r="A46" s="2">
        <f>IFERROR(__xludf.DUMMYFUNCTION("""COMPUTED_VALUE"""),"153")</f>
        <v/>
      </c>
      <c r="B46" s="2">
        <f>IFERROR(__xludf.DUMMYFUNCTION("""COMPUTED_VALUE"""),"ข้อใดไม่เกี่ยวกับการควบคุมคุณภาพ ยาเม็ด norfloxacin")</f>
        <v/>
      </c>
      <c r="C46" s="2" t="n"/>
      <c r="D46" s="2">
        <f>IFERROR(__xludf.DUMMYFUNCTION("""COMPUTED_VALUE"""),"Content Uniformity")</f>
        <v/>
      </c>
      <c r="E46" s="2">
        <f>IFERROR(__xludf.DUMMYFUNCTION("""COMPUTED_VALUE"""),"Dissolution test")</f>
        <v/>
      </c>
      <c r="F46" s="2">
        <f>IFERROR(__xludf.DUMMYFUNCTION("""COMPUTED_VALUE"""),"Disintegration")</f>
        <v/>
      </c>
      <c r="G46" s="2">
        <f>IFERROR(__xludf.DUMMYFUNCTION("""COMPUTED_VALUE"""),"Weight Variation")</f>
        <v/>
      </c>
      <c r="H46" s="2">
        <f>IFERROR(__xludf.DUMMYFUNCTION("""COMPUTED_VALUE"""),"Limulus Amoebocyte Lysate test")</f>
        <v/>
      </c>
      <c r="I46" s="2">
        <f>IFERROR(__xludf.DUMMYFUNCTION("""COMPUTED_VALUE"""),"5")</f>
        <v/>
      </c>
      <c r="J46" s="2">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2" t="n"/>
      <c r="L46" s="2">
        <f>IFERROR(__xludf.DUMMYFUNCTION("""COMPUTED_VALUE"""),"Tablet Manufacturing")</f>
        <v/>
      </c>
      <c r="M46" s="2">
        <f>IFERROR(__xludf.DUMMYFUNCTION("""COMPUTED_VALUE"""),"Product")</f>
        <v/>
      </c>
      <c r="N46" s="2">
        <f>IFERROR(__xludf.DUMMYFUNCTION("""COMPUTED_VALUE"""),"ข้อ 153 Pharma Plus เล่มม่วง (เฉลยข้อ จ)")</f>
        <v/>
      </c>
      <c r="O46" s="2">
        <f>IFERROR(__xludf.DUMMYFUNCTION("""COMPUTED_VALUE"""),"Mock")</f>
        <v/>
      </c>
      <c r="P46" s="2">
        <f>IFERROR(__xludf.DUMMYFUNCTION("""COMPUTED_VALUE"""),"Pharma Plus เล่มม่วง")</f>
        <v/>
      </c>
    </row>
    <row r="47" ht="13.2" customHeight="1" s="49">
      <c r="A47" s="2">
        <f>IFERROR(__xludf.DUMMYFUNCTION("""COMPUTED_VALUE"""),"154")</f>
        <v/>
      </c>
      <c r="B47" s="2">
        <f>IFERROR(__xludf.DUMMYFUNCTION("""COMPUTED_VALUE"""),"สารทำ emulsion ที่ดีของยาครีม isotretinoin ควรมีคุณสมบัติ")</f>
        <v/>
      </c>
      <c r="C47" s="2" t="n"/>
      <c r="D47" s="2">
        <f>IFERROR(__xludf.DUMMYFUNCTION("""COMPUTED_VALUE"""),"ลดแรงตึงผิว")</f>
        <v/>
      </c>
      <c r="E47" s="2">
        <f>IFERROR(__xludf.DUMMYFUNCTION("""COMPUTED_VALUE"""),"เพิ่มความหนืดให้กับครีม")</f>
        <v/>
      </c>
      <c r="F47" s="2">
        <f>IFERROR(__xludf.DUMMYFUNCTION("""COMPUTED_VALUE"""),"ให้ศักย์ไฟฟ้าที่เหมาะสมเพื่อให้เกิดแรงผลักของหยด")</f>
        <v/>
      </c>
      <c r="G47" s="2">
        <f>IFERROR(__xludf.DUMMYFUNCTION("""COMPUTED_VALUE"""),"มีประสิทธิภาพความเข้มข้นต่ำ")</f>
        <v/>
      </c>
      <c r="H47" s="2">
        <f>IFERROR(__xludf.DUMMYFUNCTION("""COMPUTED_VALUE"""),"ถูกทุกข้อ")</f>
        <v/>
      </c>
      <c r="I47" s="2">
        <f>IFERROR(__xludf.DUMMYFUNCTION("""COMPUTED_VALUE"""),"5")</f>
        <v/>
      </c>
      <c r="J47" s="2">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2" t="n"/>
      <c r="L47" s="2">
        <f>IFERROR(__xludf.DUMMYFUNCTION("""COMPUTED_VALUE"""),"Tablet Manufacturing")</f>
        <v/>
      </c>
      <c r="M47" s="2">
        <f>IFERROR(__xludf.DUMMYFUNCTION("""COMPUTED_VALUE"""),"Product")</f>
        <v/>
      </c>
      <c r="N47" s="2">
        <f>IFERROR(__xludf.DUMMYFUNCTION("""COMPUTED_VALUE"""),"ข้อ 154 Pharma Plus เล่มม่วง (เฉลยข้อ จ)")</f>
        <v/>
      </c>
      <c r="O47" s="2">
        <f>IFERROR(__xludf.DUMMYFUNCTION("""COMPUTED_VALUE"""),"Mock")</f>
        <v/>
      </c>
      <c r="P47" s="2">
        <f>IFERROR(__xludf.DUMMYFUNCTION("""COMPUTED_VALUE"""),"Pharma Plus เล่มม่วง")</f>
        <v/>
      </c>
    </row>
    <row r="48" ht="13.2" customHeight="1" s="49">
      <c r="A48" s="2">
        <f>IFERROR(__xludf.DUMMYFUNCTION("""COMPUTED_VALUE"""),"155")</f>
        <v/>
      </c>
      <c r="B48" s="2">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2" t="n"/>
      <c r="D48" s="2">
        <f>IFERROR(__xludf.DUMMYFUNCTION("""COMPUTED_VALUE"""),"Sodium alginate, bentonite, methylcellulose")</f>
        <v/>
      </c>
      <c r="E48" s="2">
        <f>IFERROR(__xludf.DUMMYFUNCTION("""COMPUTED_VALUE"""),"Tragacanth, carbomer, methylcellulose")</f>
        <v/>
      </c>
      <c r="F48" s="2">
        <f>IFERROR(__xludf.DUMMYFUNCTION("""COMPUTED_VALUE"""),"Carbomer, methylcellulose, hydroxypropyl cellulose")</f>
        <v/>
      </c>
      <c r="G48" s="2">
        <f>IFERROR(__xludf.DUMMYFUNCTION("""COMPUTED_VALUE"""),"Pectin, guar gum, carbomer")</f>
        <v/>
      </c>
      <c r="H48" s="2">
        <f>IFERROR(__xludf.DUMMYFUNCTION("""COMPUTED_VALUE"""),"Tragacanth, carboxymethylcellulose, carbomer")</f>
        <v/>
      </c>
      <c r="I48" s="2">
        <f>IFERROR(__xludf.DUMMYFUNCTION("""COMPUTED_VALUE"""),"5")</f>
        <v/>
      </c>
      <c r="J48" s="2">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2" t="n"/>
      <c r="L48" s="2">
        <f>IFERROR(__xludf.DUMMYFUNCTION("""COMPUTED_VALUE"""),"Tablet Manufacturing")</f>
        <v/>
      </c>
      <c r="M48" s="2">
        <f>IFERROR(__xludf.DUMMYFUNCTION("""COMPUTED_VALUE"""),"Product")</f>
        <v/>
      </c>
      <c r="N48" s="2">
        <f>IFERROR(__xludf.DUMMYFUNCTION("""COMPUTED_VALUE"""),"ข้อ 155 Pharma Plus เล่มม่วง (เฉลยข้อ จ)")</f>
        <v/>
      </c>
      <c r="O48" s="2">
        <f>IFERROR(__xludf.DUMMYFUNCTION("""COMPUTED_VALUE"""),"Mock")</f>
        <v/>
      </c>
      <c r="P48" s="2">
        <f>IFERROR(__xludf.DUMMYFUNCTION("""COMPUTED_VALUE"""),"Pharma Plus เล่มม่วง")</f>
        <v/>
      </c>
    </row>
    <row r="49" ht="13.2" customHeight="1" s="49">
      <c r="A49" s="2">
        <f>IFERROR(__xludf.DUMMYFUNCTION("""COMPUTED_VALUE"""),"156")</f>
        <v/>
      </c>
      <c r="B49" s="2">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2" t="n"/>
      <c r="D49" s="2">
        <f>IFERROR(__xludf.DUMMYFUNCTION("""COMPUTED_VALUE"""),"Mineral oil")</f>
        <v/>
      </c>
      <c r="E49" s="2">
        <f>IFERROR(__xludf.DUMMYFUNCTION("""COMPUTED_VALUE"""),"Carbopol")</f>
        <v/>
      </c>
      <c r="F49" s="2">
        <f>IFERROR(__xludf.DUMMYFUNCTION("""COMPUTED_VALUE"""),"White beeswax")</f>
        <v/>
      </c>
      <c r="G49" s="2">
        <f>IFERROR(__xludf.DUMMYFUNCTION("""COMPUTED_VALUE"""),"PEG 4000")</f>
        <v/>
      </c>
      <c r="H49" s="2">
        <f>IFERROR(__xludf.DUMMYFUNCTION("""COMPUTED_VALUE"""),"Glycerin")</f>
        <v/>
      </c>
      <c r="I49" s="2">
        <f>IFERROR(__xludf.DUMMYFUNCTION("""COMPUTED_VALUE"""),"3")</f>
        <v/>
      </c>
      <c r="J49" s="2">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2" t="n"/>
      <c r="L49" s="2">
        <f>IFERROR(__xludf.DUMMYFUNCTION("""COMPUTED_VALUE"""),"Tablet Manufacturing")</f>
        <v/>
      </c>
      <c r="M49" s="2">
        <f>IFERROR(__xludf.DUMMYFUNCTION("""COMPUTED_VALUE"""),"Product")</f>
        <v/>
      </c>
      <c r="N49" s="2">
        <f>IFERROR(__xludf.DUMMYFUNCTION("""COMPUTED_VALUE"""),"ข้อ 156 Pharma Plus เล่มม่วง (เฉลยข้อ ค)")</f>
        <v/>
      </c>
      <c r="O49" s="2">
        <f>IFERROR(__xludf.DUMMYFUNCTION("""COMPUTED_VALUE"""),"Mock")</f>
        <v/>
      </c>
      <c r="P49" s="2">
        <f>IFERROR(__xludf.DUMMYFUNCTION("""COMPUTED_VALUE"""),"Pharma Plus เล่มม่วง")</f>
        <v/>
      </c>
    </row>
    <row r="50" ht="13.2" customHeight="1" s="49">
      <c r="A50" s="2">
        <f>IFERROR(__xludf.DUMMYFUNCTION("""COMPUTED_VALUE"""),"163")</f>
        <v/>
      </c>
      <c r="B50" s="2">
        <f>IFERROR(__xludf.DUMMYFUNCTION("""COMPUTED_VALUE"""),"สาร polymer ตัวใดนิยมใช้ในการทำ film coat tablet")</f>
        <v/>
      </c>
      <c r="C50" s="2" t="n"/>
      <c r="D50" s="2">
        <f>IFERROR(__xludf.DUMMYFUNCTION("""COMPUTED_VALUE"""),"HPMC")</f>
        <v/>
      </c>
      <c r="E50" s="2">
        <f>IFERROR(__xludf.DUMMYFUNCTION("""COMPUTED_VALUE"""),"CMC")</f>
        <v/>
      </c>
      <c r="F50" s="2">
        <f>IFERROR(__xludf.DUMMYFUNCTION("""COMPUTED_VALUE"""),"Polymeric methacrylates")</f>
        <v/>
      </c>
      <c r="G50" s="2">
        <f>IFERROR(__xludf.DUMMYFUNCTION("""COMPUTED_VALUE"""),"Carbopol")</f>
        <v/>
      </c>
      <c r="H50" s="2">
        <f>IFERROR(__xludf.DUMMYFUNCTION("""COMPUTED_VALUE"""),"Veegum")</f>
        <v/>
      </c>
      <c r="I50" s="2">
        <f>IFERROR(__xludf.DUMMYFUNCTION("""COMPUTED_VALUE"""),"1")</f>
        <v/>
      </c>
      <c r="J50" s="2">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2" t="n"/>
      <c r="L50" s="2">
        <f>IFERROR(__xludf.DUMMYFUNCTION("""COMPUTED_VALUE"""),"Tablet Coating")</f>
        <v/>
      </c>
      <c r="M50" s="2">
        <f>IFERROR(__xludf.DUMMYFUNCTION("""COMPUTED_VALUE"""),"Product")</f>
        <v/>
      </c>
      <c r="N50" s="2">
        <f>IFERROR(__xludf.DUMMYFUNCTION("""COMPUTED_VALUE"""),"ข้อ 163 Pharma Plus เล่มม่วง (เฉลยข้อ ก)")</f>
        <v/>
      </c>
      <c r="O50" s="2">
        <f>IFERROR(__xludf.DUMMYFUNCTION("""COMPUTED_VALUE"""),"Mock")</f>
        <v/>
      </c>
      <c r="P50" s="2">
        <f>IFERROR(__xludf.DUMMYFUNCTION("""COMPUTED_VALUE"""),"Pharma Plus เล่มม่วง")</f>
        <v/>
      </c>
    </row>
    <row r="51" ht="13.2" customHeight="1" s="49">
      <c r="A51" s="2">
        <f>IFERROR(__xludf.DUMMYFUNCTION("""COMPUTED_VALUE"""),"164")</f>
        <v/>
      </c>
      <c r="B51" s="2">
        <f>IFERROR(__xludf.DUMMYFUNCTION("""COMPUTED_VALUE"""),"ข้อใดกล่าวผิดเกี่ยวกับยารูปแบบเม็ด")</f>
        <v/>
      </c>
      <c r="C51" s="2" t="n"/>
      <c r="D51" s="2">
        <f>IFERROR(__xludf.DUMMYFUNCTION("""COMPUTED_VALUE"""),"การเตรียมยา solution ทำได้โดยการใช้ตัวทำละลายร่วมที่เป็น organic solvent เพื่อช่วยละลาย")</f>
        <v/>
      </c>
      <c r="E51" s="2">
        <f>IFERROR(__xludf.DUMMYFUNCTION("""COMPUTED_VALUE"""),"ยารูปแบบ solution มักมีค่าความต้านทานการไหลและแรงตึงผิวภายในสารละลายใกล้เคียงกับน้ำ")</f>
        <v/>
      </c>
      <c r="F51" s="2">
        <f>IFERROR(__xludf.DUMMYFUNCTION("""COMPUTED_VALUE"""),"Suspension ใช้เป็นยาฉีดเข้าหลอดเลือดได้ ถ้าขนาดอนุภาคเล็กมากๆ")</f>
        <v/>
      </c>
      <c r="G51" s="2">
        <f>IFERROR(__xludf.DUMMYFUNCTION("""COMPUTED_VALUE"""),"Emulsion ใช้เป็นอาหารทางหลอดเลือดดำได้แต่ควรเป็นการเตรียมใหม่ๆ")</f>
        <v/>
      </c>
      <c r="H51" s="2">
        <f>IFERROR(__xludf.DUMMYFUNCTION("""COMPUTED_VALUE"""),"การลดความเจ็บปวดเมื่อฉีดทำได้โดยเติมสารบางชนิดเช่น buffer")</f>
        <v/>
      </c>
      <c r="I51" s="2">
        <f>IFERROR(__xludf.DUMMYFUNCTION("""COMPUTED_VALUE"""),"1")</f>
        <v/>
      </c>
      <c r="J51" s="2">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2" t="n"/>
      <c r="L51" s="2">
        <f>IFERROR(__xludf.DUMMYFUNCTION("""COMPUTED_VALUE"""),"Tablet Manufacturing")</f>
        <v/>
      </c>
      <c r="M51" s="2">
        <f>IFERROR(__xludf.DUMMYFUNCTION("""COMPUTED_VALUE"""),"Product")</f>
        <v/>
      </c>
      <c r="N51" s="2">
        <f>IFERROR(__xludf.DUMMYFUNCTION("""COMPUTED_VALUE"""),"ข้อ 164 Pharma Plus เล่มม่วง (เฉลยข้อ ไมมีคำตอบ)")</f>
        <v/>
      </c>
      <c r="O51" s="2">
        <f>IFERROR(__xludf.DUMMYFUNCTION("""COMPUTED_VALUE"""),"Mock")</f>
        <v/>
      </c>
      <c r="P51" s="2">
        <f>IFERROR(__xludf.DUMMYFUNCTION("""COMPUTED_VALUE"""),"Pharma Plus เล่มม่วง")</f>
        <v/>
      </c>
    </row>
    <row r="52" ht="13.2" customHeight="1" s="49">
      <c r="A52" s="2">
        <f>IFERROR(__xludf.DUMMYFUNCTION("""COMPUTED_VALUE"""),"165")</f>
        <v/>
      </c>
      <c r="B52" s="2">
        <f>IFERROR(__xludf.DUMMYFUNCTION("""COMPUTED_VALUE"""),"ข้อใดถูกต้องที่สุดเกี่ยวกับ tonicity ของยาฉีด")</f>
        <v/>
      </c>
      <c r="C52" s="2" t="n"/>
      <c r="D52" s="2">
        <f>IFERROR(__xludf.DUMMYFUNCTION("""COMPUTED_VALUE"""),"จัดเป็น colligative property")</f>
        <v/>
      </c>
      <c r="E52" s="2">
        <f>IFERROR(__xludf.DUMMYFUNCTION("""COMPUTED_VALUE"""),"สามารถปรับได้โดยเติมสารบางชนิด เช่น phosphate acetate ซึ่งนิยมมาก")</f>
        <v/>
      </c>
      <c r="F52" s="2">
        <f>IFERROR(__xludf.DUMMYFUNCTION("""COMPUTED_VALUE"""),"การฉีด hypertonic solution ก่อให้เกิด cell lysis ได้")</f>
        <v/>
      </c>
      <c r="G52" s="2">
        <f>IFERROR(__xludf.DUMMYFUNCTION("""COMPUTED_VALUE"""),"การฉีดยา isotonic ต่อระบบเลือด มักเป็น isotonic ต่อเนื้อเยื่ออื่นด้วย")</f>
        <v/>
      </c>
      <c r="H52" s="2">
        <f>IFERROR(__xludf.DUMMYFUNCTION("""COMPUTED_VALUE"""),"Normal saline เป็นทั้ง isotonic และ iso-osmotic")</f>
        <v/>
      </c>
      <c r="I52" s="2">
        <f>IFERROR(__xludf.DUMMYFUNCTION("""COMPUTED_VALUE"""),"5")</f>
        <v/>
      </c>
      <c r="J52" s="2">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2" t="n"/>
      <c r="L52" s="2">
        <f>IFERROR(__xludf.DUMMYFUNCTION("""COMPUTED_VALUE"""),"Tablet Manufacturing")</f>
        <v/>
      </c>
      <c r="M52" s="2">
        <f>IFERROR(__xludf.DUMMYFUNCTION("""COMPUTED_VALUE"""),"Product")</f>
        <v/>
      </c>
      <c r="N52" s="2">
        <f>IFERROR(__xludf.DUMMYFUNCTION("""COMPUTED_VALUE"""),"ข้อ 165 Pharma Plus เล่มม่วง (เฉลยข้อ จ)")</f>
        <v/>
      </c>
      <c r="O52" s="2">
        <f>IFERROR(__xludf.DUMMYFUNCTION("""COMPUTED_VALUE"""),"Mock")</f>
        <v/>
      </c>
      <c r="P52" s="2">
        <f>IFERROR(__xludf.DUMMYFUNCTION("""COMPUTED_VALUE"""),"Pharma Plus เล่มม่วง")</f>
        <v/>
      </c>
    </row>
    <row r="53" ht="13.2" customHeight="1" s="49">
      <c r="A53" s="2">
        <f>IFERROR(__xludf.DUMMYFUNCTION("""COMPUTED_VALUE"""),"166")</f>
        <v/>
      </c>
      <c r="B53" s="2">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2" t="n"/>
      <c r="D53" s="2">
        <f>IFERROR(__xludf.DUMMYFUNCTION("""COMPUTED_VALUE"""),"Spray dried lactose")</f>
        <v/>
      </c>
      <c r="E53" s="2">
        <f>IFERROR(__xludf.DUMMYFUNCTION("""COMPUTED_VALUE"""),"Microcrystalline cellulose")</f>
        <v/>
      </c>
      <c r="F53" s="2">
        <f>IFERROR(__xludf.DUMMYFUNCTION("""COMPUTED_VALUE"""),"Tapioca starch")</f>
        <v/>
      </c>
      <c r="G53" s="2">
        <f>IFERROR(__xludf.DUMMYFUNCTION("""COMPUTED_VALUE"""),"Dibasic calcium phosphate")</f>
        <v/>
      </c>
      <c r="H53" s="2">
        <f>IFERROR(__xludf.DUMMYFUNCTION("""COMPUTED_VALUE"""),"Mannitol")</f>
        <v/>
      </c>
      <c r="I53" s="2">
        <f>IFERROR(__xludf.DUMMYFUNCTION("""COMPUTED_VALUE"""),"1")</f>
        <v/>
      </c>
      <c r="J53" s="2">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2" t="n"/>
      <c r="L53" s="2">
        <f>IFERROR(__xludf.DUMMYFUNCTION("""COMPUTED_VALUE"""),"Hard &amp; Soft Gelatin Capsules")</f>
        <v/>
      </c>
      <c r="M53" s="2">
        <f>IFERROR(__xludf.DUMMYFUNCTION("""COMPUTED_VALUE"""),"Product")</f>
        <v/>
      </c>
      <c r="N53" s="2">
        <f>IFERROR(__xludf.DUMMYFUNCTION("""COMPUTED_VALUE"""),"ข้อ 166 Pharma Plus เล่มม่วง (เฉลยข้อ ก)")</f>
        <v/>
      </c>
      <c r="O53" s="2">
        <f>IFERROR(__xludf.DUMMYFUNCTION("""COMPUTED_VALUE"""),"Mock")</f>
        <v/>
      </c>
      <c r="P53" s="2">
        <f>IFERROR(__xludf.DUMMYFUNCTION("""COMPUTED_VALUE"""),"Pharma Plus เล่มม่วง")</f>
        <v/>
      </c>
    </row>
    <row r="54" ht="13.2" customHeight="1" s="49">
      <c r="A54" s="2">
        <f>IFERROR(__xludf.DUMMYFUNCTION("""COMPUTED_VALUE"""),"167")</f>
        <v/>
      </c>
      <c r="B54" s="2">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2" t="n"/>
      <c r="D54" s="2">
        <f>IFERROR(__xludf.DUMMYFUNCTION("""COMPUTED_VALUE"""),"ผงยามีการกระจายขนาดอนุภาคในช่วงแคบ")</f>
        <v/>
      </c>
      <c r="E54" s="2">
        <f>IFERROR(__xludf.DUMMYFUNCTION("""COMPUTED_VALUE"""),"ผงยามีค่า angle of repose ต่ำ")</f>
        <v/>
      </c>
      <c r="F54" s="2">
        <f>IFERROR(__xludf.DUMMYFUNCTION("""COMPUTED_VALUE"""),"สารเจือจางมีความหนาแน่นใกล้เคียงตัวยาสำคัญ")</f>
        <v/>
      </c>
      <c r="G54" s="2">
        <f>IFERROR(__xludf.DUMMYFUNCTION("""COMPUTED_VALUE"""),"ปริมาณของตัวยาและสารช่วยรวมกัน ควรบรรจุขอบ body ของเปลือก capsule ได้เต็มหรือเกือบเต็ม")</f>
        <v/>
      </c>
      <c r="H54" s="2">
        <f>IFERROR(__xludf.DUMMYFUNCTION("""COMPUTED_VALUE"""),"สารช่วยการไหลที่ใช้มีคุณสมบัติเป็น true lubricant มากกว่า glidant")</f>
        <v/>
      </c>
      <c r="I54" s="2">
        <f>IFERROR(__xludf.DUMMYFUNCTION("""COMPUTED_VALUE"""),"5")</f>
        <v/>
      </c>
      <c r="J54" s="2">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2" t="n"/>
      <c r="L54" s="2">
        <f>IFERROR(__xludf.DUMMYFUNCTION("""COMPUTED_VALUE"""),"Hard &amp; Soft Gelatin Capsules")</f>
        <v/>
      </c>
      <c r="M54" s="2">
        <f>IFERROR(__xludf.DUMMYFUNCTION("""COMPUTED_VALUE"""),"Product")</f>
        <v/>
      </c>
      <c r="N54" s="2">
        <f>IFERROR(__xludf.DUMMYFUNCTION("""COMPUTED_VALUE"""),"ข้อ 167 Pharma Plus เล่มม่วง (เฉลยข้อ จ)")</f>
        <v/>
      </c>
      <c r="O54" s="2">
        <f>IFERROR(__xludf.DUMMYFUNCTION("""COMPUTED_VALUE"""),"Mock")</f>
        <v/>
      </c>
      <c r="P54" s="2">
        <f>IFERROR(__xludf.DUMMYFUNCTION("""COMPUTED_VALUE"""),"Pharma Plus เล่มม่วง")</f>
        <v/>
      </c>
    </row>
    <row r="55" ht="13.2" customHeight="1" s="49">
      <c r="A55" s="2">
        <f>IFERROR(__xludf.DUMMYFUNCTION("""COMPUTED_VALUE"""),"168")</f>
        <v/>
      </c>
      <c r="B55" s="2">
        <f>IFERROR(__xludf.DUMMYFUNCTION("""COMPUTED_VALUE"""),"ตำรับ aspirin suspension ที่เตรียมแล้วพบว่า เมื่อตั้งทิ้งไว้เป็นก้อนแข็ง เรียกปรากฏการณ์นี้ว่า")</f>
        <v/>
      </c>
      <c r="C55" s="2" t="n"/>
      <c r="D55" s="2">
        <f>IFERROR(__xludf.DUMMYFUNCTION("""COMPUTED_VALUE"""),"Flocculation")</f>
        <v/>
      </c>
      <c r="E55" s="2">
        <f>IFERROR(__xludf.DUMMYFUNCTION("""COMPUTED_VALUE"""),"Lamination")</f>
        <v/>
      </c>
      <c r="F55" s="2">
        <f>IFERROR(__xludf.DUMMYFUNCTION("""COMPUTED_VALUE"""),"Creaming")</f>
        <v/>
      </c>
      <c r="G55" s="2">
        <f>IFERROR(__xludf.DUMMYFUNCTION("""COMPUTED_VALUE"""),"Coalescence")</f>
        <v/>
      </c>
      <c r="H55" s="2">
        <f>IFERROR(__xludf.DUMMYFUNCTION("""COMPUTED_VALUE"""),"Caking")</f>
        <v/>
      </c>
      <c r="I55" s="2">
        <f>IFERROR(__xludf.DUMMYFUNCTION("""COMPUTED_VALUE"""),"5")</f>
        <v/>
      </c>
      <c r="J55"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2" t="n"/>
      <c r="L55" s="2">
        <f>IFERROR(__xludf.DUMMYFUNCTION("""COMPUTED_VALUE"""),"Tablet Manufacturing")</f>
        <v/>
      </c>
      <c r="M55" s="2">
        <f>IFERROR(__xludf.DUMMYFUNCTION("""COMPUTED_VALUE"""),"Product")</f>
        <v/>
      </c>
      <c r="N55" s="2">
        <f>IFERROR(__xludf.DUMMYFUNCTION("""COMPUTED_VALUE"""),"ข้อ 168 Pharma Plus เล่มม่วง (เฉลยข้อ จ)")</f>
        <v/>
      </c>
      <c r="O55" s="2">
        <f>IFERROR(__xludf.DUMMYFUNCTION("""COMPUTED_VALUE"""),"Mock")</f>
        <v/>
      </c>
      <c r="P55" s="2">
        <f>IFERROR(__xludf.DUMMYFUNCTION("""COMPUTED_VALUE"""),"Pharma Plus เล่มม่วง")</f>
        <v/>
      </c>
    </row>
    <row r="56" ht="13.2" customHeight="1" s="49">
      <c r="A56" s="2">
        <f>IFERROR(__xludf.DUMMYFUNCTION("""COMPUTED_VALUE"""),"180")</f>
        <v/>
      </c>
      <c r="B56" s="2">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2" t="n"/>
      <c r="D56" s="2">
        <f>IFERROR(__xludf.DUMMYFUNCTION("""COMPUTED_VALUE"""),"ผ่านการทดสอบใน S1 ทั้งหกเม็ด")</f>
        <v/>
      </c>
      <c r="E56" s="2">
        <f>IFERROR(__xludf.DUMMYFUNCTION("""COMPUTED_VALUE"""),"มี 3 เม็ดไม่ผ่านการทดสอบใน S1")</f>
        <v/>
      </c>
      <c r="F56" s="2">
        <f>IFERROR(__xludf.DUMMYFUNCTION("""COMPUTED_VALUE"""),"มี 1 เม็ดไม่ผ่านการทดสอบใน S1")</f>
        <v/>
      </c>
      <c r="G56" s="2">
        <f>IFERROR(__xludf.DUMMYFUNCTION("""COMPUTED_VALUE"""),"ต้องทำการทดสอบเพิ่มอีก 12 เม็ด")</f>
        <v/>
      </c>
      <c r="H56" s="2">
        <f>IFERROR(__xludf.DUMMYFUNCTION("""COMPUTED_VALUE"""),"มี 4 เม็ดไม่ผ่านการทดสอบ")</f>
        <v/>
      </c>
      <c r="I56" s="2">
        <f>IFERROR(__xludf.DUMMYFUNCTION("""COMPUTED_VALUE"""),"1")</f>
        <v/>
      </c>
      <c r="J56" s="2">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2" t="n"/>
      <c r="L56" s="2">
        <f>IFERROR(__xludf.DUMMYFUNCTION("""COMPUTED_VALUE"""),"Tablet Manufacturing")</f>
        <v/>
      </c>
      <c r="M56" s="2">
        <f>IFERROR(__xludf.DUMMYFUNCTION("""COMPUTED_VALUE"""),"Product")</f>
        <v/>
      </c>
      <c r="N56" s="2">
        <f>IFERROR(__xludf.DUMMYFUNCTION("""COMPUTED_VALUE"""),"ข้อ 180 Pharma Plus เล่มม่วง (เฉลยข้อ )")</f>
        <v/>
      </c>
      <c r="O56" s="2">
        <f>IFERROR(__xludf.DUMMYFUNCTION("""COMPUTED_VALUE"""),"Mock")</f>
        <v/>
      </c>
      <c r="P56" s="2">
        <f>IFERROR(__xludf.DUMMYFUNCTION("""COMPUTED_VALUE"""),"Pharma Plus เล่มม่วง")</f>
        <v/>
      </c>
    </row>
    <row r="57" ht="13.2" customHeight="1" s="49">
      <c r="A57" s="2">
        <f>IFERROR(__xludf.DUMMYFUNCTION("""COMPUTED_VALUE"""),"181")</f>
        <v/>
      </c>
      <c r="B57" s="2">
        <f>IFERROR(__xludf.DUMMYFUNCTION("""COMPUTED_VALUE"""),"ยาของบริษัทใดมีความสามารถในการละลายน้ำที่ดีกว่ากัน")</f>
        <v/>
      </c>
      <c r="C57" s="2" t="n"/>
      <c r="D57" s="2">
        <f>IFERROR(__xludf.DUMMYFUNCTION("""COMPUTED_VALUE"""),"ยาของบริษัท A ละลายน้ำได้ดีกว่า บริษัท B เนื่องจากมี lactose ทำให้ละลายน้ำได้ดีกว่า")</f>
        <v/>
      </c>
      <c r="E57" s="2">
        <f>IFERROR(__xludf.DUMMYFUNCTION("""COMPUTED_VALUE"""),"ยาของบริษัท A ละลายน้ำได้ดีกว่า บริษัท B เนื่องจากมีปริมาณ magnesium stearate มากกว่า")</f>
        <v/>
      </c>
      <c r="F57" s="2">
        <f>IFERROR(__xludf.DUMMYFUNCTION("""COMPUTED_VALUE"""),"ยาของบริษัท B ละลายน้ำได้ดีกว่า บริษัท A เนื่องจากมี microcrystalline cellulose ช่วยในการละลาย")</f>
        <v/>
      </c>
      <c r="G57" s="2">
        <f>IFERROR(__xludf.DUMMYFUNCTION("""COMPUTED_VALUE"""),"ยาของบริษัท B ละลายน้ำได้ดีกว่า บริษัท A เนื่องจากมี sodium lauryl sulfate เป็น wetting agent")</f>
        <v/>
      </c>
      <c r="H57" s="2">
        <f>IFERROR(__xludf.DUMMYFUNCTION("""COMPUTED_VALUE"""),"ยาของบริษัท A และ B ละลายน้ำได้เท่ากันเนื่องจากยา allopurinol มีคุณสมบัติละลายน้ำได้น้อยอยู่แล้ว")</f>
        <v/>
      </c>
      <c r="I57" s="2">
        <f>IFERROR(__xludf.DUMMYFUNCTION("""COMPUTED_VALUE"""),"1")</f>
        <v/>
      </c>
      <c r="J57" s="2">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2" t="n"/>
      <c r="L57" s="2">
        <f>IFERROR(__xludf.DUMMYFUNCTION("""COMPUTED_VALUE"""),"Tablet Manufacturing")</f>
        <v/>
      </c>
      <c r="M57" s="2">
        <f>IFERROR(__xludf.DUMMYFUNCTION("""COMPUTED_VALUE"""),"Product")</f>
        <v/>
      </c>
      <c r="N57" s="2">
        <f>IFERROR(__xludf.DUMMYFUNCTION("""COMPUTED_VALUE"""),"ข้อ 181 Pharma Plus เล่มม่วง (เฉลยข้อ )")</f>
        <v/>
      </c>
      <c r="O57" s="2">
        <f>IFERROR(__xludf.DUMMYFUNCTION("""COMPUTED_VALUE"""),"Mock")</f>
        <v/>
      </c>
      <c r="P57" s="2">
        <f>IFERROR(__xludf.DUMMYFUNCTION("""COMPUTED_VALUE"""),"Pharma Plus เล่มม่วง")</f>
        <v/>
      </c>
    </row>
    <row r="58" ht="13.2" customHeight="1" s="49">
      <c r="A58" s="2">
        <f>IFERROR(__xludf.DUMMYFUNCTION("""COMPUTED_VALUE"""),"182")</f>
        <v/>
      </c>
      <c r="B58" s="2">
        <f>IFERROR(__xludf.DUMMYFUNCTION("""COMPUTED_VALUE"""),"ยาเม็ดคุมกำเนิด ไม่ต้องทำการทดสอบตัวข้อใด (ตามมาตรฐานของ USP)")</f>
        <v/>
      </c>
      <c r="C58" s="2" t="n"/>
      <c r="D58" s="2">
        <f>IFERROR(__xludf.DUMMYFUNCTION("""COMPUTED_VALUE"""),"Dissolution")</f>
        <v/>
      </c>
      <c r="E58" s="2">
        <f>IFERROR(__xludf.DUMMYFUNCTION("""COMPUTED_VALUE"""),"Hardness")</f>
        <v/>
      </c>
      <c r="F58" s="2">
        <f>IFERROR(__xludf.DUMMYFUNCTION("""COMPUTED_VALUE"""),"Disintegration")</f>
        <v/>
      </c>
      <c r="G58" s="2">
        <f>IFERROR(__xludf.DUMMYFUNCTION("""COMPUTED_VALUE"""),"Content of Uniformity")</f>
        <v/>
      </c>
      <c r="H58" s="2">
        <f>IFERROR(__xludf.DUMMYFUNCTION("""COMPUTED_VALUE"""),"Percent labeled amount")</f>
        <v/>
      </c>
      <c r="I58" s="2">
        <f>IFERROR(__xludf.DUMMYFUNCTION("""COMPUTED_VALUE"""),"2")</f>
        <v/>
      </c>
      <c r="J58" s="2">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2" t="n"/>
      <c r="L58" s="2">
        <f>IFERROR(__xludf.DUMMYFUNCTION("""COMPUTED_VALUE"""),"Tablet Manufacturing")</f>
        <v/>
      </c>
      <c r="M58" s="2">
        <f>IFERROR(__xludf.DUMMYFUNCTION("""COMPUTED_VALUE"""),"Product")</f>
        <v/>
      </c>
      <c r="N58" s="2">
        <f>IFERROR(__xludf.DUMMYFUNCTION("""COMPUTED_VALUE"""),"ข้อ 182 Pharma Plus เล่มม่วง (เฉลยข้อ ข)")</f>
        <v/>
      </c>
      <c r="O58" s="2">
        <f>IFERROR(__xludf.DUMMYFUNCTION("""COMPUTED_VALUE"""),"Mock")</f>
        <v/>
      </c>
      <c r="P58" s="2">
        <f>IFERROR(__xludf.DUMMYFUNCTION("""COMPUTED_VALUE"""),"Pharma Plus เล่มม่วง")</f>
        <v/>
      </c>
    </row>
    <row r="59" ht="13.2" customHeight="1" s="49">
      <c r="A59" s="2">
        <f>IFERROR(__xludf.DUMMYFUNCTION("""COMPUTED_VALUE"""),"183")</f>
        <v/>
      </c>
      <c r="B59" s="2">
        <f>IFERROR(__xludf.DUMMYFUNCTION("""COMPUTED_VALUE"""),"ข้อใดผิดเกี่ยวกับการเตรียมยาเม็ดด้วยวิธีตอกอัดโดยตรง")</f>
        <v/>
      </c>
      <c r="C59" s="2" t="n"/>
      <c r="D59" s="2">
        <f>IFERROR(__xludf.DUMMYFUNCTION("""COMPUTED_VALUE"""),"เป็นวิธีที่สะดวกรวดเร็ว")</f>
        <v/>
      </c>
      <c r="E59" s="2">
        <f>IFERROR(__xludf.DUMMYFUNCTION("""COMPUTED_VALUE"""),"ไม่ใช้น้ำและความร้อนในการตอก")</f>
        <v/>
      </c>
      <c r="F59" s="2">
        <f>IFERROR(__xludf.DUMMYFUNCTION("""COMPUTED_VALUE"""),"ยาเม็ดที่ได้มีการกระจายของสีที่สม่ำเสมอกว่าการทำแกรนูลเปียก")</f>
        <v/>
      </c>
      <c r="G59" s="2">
        <f>IFERROR(__xludf.DUMMYFUNCTION("""COMPUTED_VALUE"""),"ยาที่ตอกควรมีคุณสมบัติในการไหลและยึดเกาะกันได้ดี")</f>
        <v/>
      </c>
      <c r="H59" s="2">
        <f>IFERROR(__xludf.DUMMYFUNCTION("""COMPUTED_VALUE"""),"สารช่วยควรไหลได้ดีและตอกอัดได้")</f>
        <v/>
      </c>
      <c r="I59" s="2">
        <f>IFERROR(__xludf.DUMMYFUNCTION("""COMPUTED_VALUE"""),"3")</f>
        <v/>
      </c>
      <c r="J59" s="2">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2" t="n"/>
      <c r="L59" s="2">
        <f>IFERROR(__xludf.DUMMYFUNCTION("""COMPUTED_VALUE"""),"Tablet Manufacturing")</f>
        <v/>
      </c>
      <c r="M59" s="2">
        <f>IFERROR(__xludf.DUMMYFUNCTION("""COMPUTED_VALUE"""),"Product")</f>
        <v/>
      </c>
      <c r="N59" s="2">
        <f>IFERROR(__xludf.DUMMYFUNCTION("""COMPUTED_VALUE"""),"ข้อ 183 Pharma Plus เล่มม่วง (เฉลยข้อ ค)")</f>
        <v/>
      </c>
      <c r="O59" s="2">
        <f>IFERROR(__xludf.DUMMYFUNCTION("""COMPUTED_VALUE"""),"Mock")</f>
        <v/>
      </c>
      <c r="P59" s="2">
        <f>IFERROR(__xludf.DUMMYFUNCTION("""COMPUTED_VALUE"""),"Pharma Plus เล่มม่วง")</f>
        <v/>
      </c>
    </row>
    <row r="60" ht="13.2" customHeight="1" s="49">
      <c r="A60" s="2">
        <f>IFERROR(__xludf.DUMMYFUNCTION("""COMPUTED_VALUE"""),"184")</f>
        <v/>
      </c>
      <c r="B60" s="2">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2" t="n"/>
      <c r="D60" s="2">
        <f>IFERROR(__xludf.DUMMYFUNCTION("""COMPUTED_VALUE"""),"Cosolvency")</f>
        <v/>
      </c>
      <c r="E60" s="2">
        <f>IFERROR(__xludf.DUMMYFUNCTION("""COMPUTED_VALUE"""),"Complexation")</f>
        <v/>
      </c>
      <c r="F60" s="2">
        <f>IFERROR(__xludf.DUMMYFUNCTION("""COMPUTED_VALUE"""),"Micelle")</f>
        <v/>
      </c>
      <c r="G60" s="2">
        <f>IFERROR(__xludf.DUMMYFUNCTION("""COMPUTED_VALUE"""),"Liposome")</f>
        <v/>
      </c>
      <c r="H60" s="2">
        <f>IFERROR(__xludf.DUMMYFUNCTION("""COMPUTED_VALUE"""),"Crystallization")</f>
        <v/>
      </c>
      <c r="I60" s="2">
        <f>IFERROR(__xludf.DUMMYFUNCTION("""COMPUTED_VALUE"""),"1")</f>
        <v/>
      </c>
      <c r="J60"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2" t="n"/>
      <c r="L60" s="2">
        <f>IFERROR(__xludf.DUMMYFUNCTION("""COMPUTED_VALUE"""),"Tablet Manufacturing")</f>
        <v/>
      </c>
      <c r="M60" s="2">
        <f>IFERROR(__xludf.DUMMYFUNCTION("""COMPUTED_VALUE"""),"Product")</f>
        <v/>
      </c>
      <c r="N60" s="2">
        <f>IFERROR(__xludf.DUMMYFUNCTION("""COMPUTED_VALUE"""),"ข้อ 184 Pharma Plus เล่มม่วง (เฉลยข้อ ก)")</f>
        <v/>
      </c>
      <c r="O60" s="2">
        <f>IFERROR(__xludf.DUMMYFUNCTION("""COMPUTED_VALUE"""),"Mock")</f>
        <v/>
      </c>
      <c r="P60" s="2">
        <f>IFERROR(__xludf.DUMMYFUNCTION("""COMPUTED_VALUE"""),"Pharma Plus เล่มม่วง")</f>
        <v/>
      </c>
    </row>
    <row r="61" ht="13.2" customHeight="1" s="49">
      <c r="A61" s="2">
        <f>IFERROR(__xludf.DUMMYFUNCTION("""COMPUTED_VALUE"""),"185")</f>
        <v/>
      </c>
      <c r="B61" s="2">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2" t="n"/>
      <c r="D61" s="2">
        <f>IFERROR(__xludf.DUMMYFUNCTION("""COMPUTED_VALUE"""),"Cosolvency")</f>
        <v/>
      </c>
      <c r="E61" s="2">
        <f>IFERROR(__xludf.DUMMYFUNCTION("""COMPUTED_VALUE"""),"pH adjustment")</f>
        <v/>
      </c>
      <c r="F61" s="2">
        <f>IFERROR(__xludf.DUMMYFUNCTION("""COMPUTED_VALUE"""),"Complexation")</f>
        <v/>
      </c>
      <c r="G61" s="2">
        <f>IFERROR(__xludf.DUMMYFUNCTION("""COMPUTED_VALUE"""),"Prodrug formation")</f>
        <v/>
      </c>
      <c r="H61" s="2">
        <f>IFERROR(__xludf.DUMMYFUNCTION("""COMPUTED_VALUE"""),"Micelle solubilization")</f>
        <v/>
      </c>
      <c r="I61" s="2">
        <f>IFERROR(__xludf.DUMMYFUNCTION("""COMPUTED_VALUE"""),"1")</f>
        <v/>
      </c>
      <c r="J61"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2" t="n"/>
      <c r="L61" s="2">
        <f>IFERROR(__xludf.DUMMYFUNCTION("""COMPUTED_VALUE"""),"Tablet Manufacturing")</f>
        <v/>
      </c>
      <c r="M61" s="2">
        <f>IFERROR(__xludf.DUMMYFUNCTION("""COMPUTED_VALUE"""),"Product")</f>
        <v/>
      </c>
      <c r="N61" s="2">
        <f>IFERROR(__xludf.DUMMYFUNCTION("""COMPUTED_VALUE"""),"ข้อ 185 Pharma Plus เล่มม่วง (เฉลยข้อ ก)")</f>
        <v/>
      </c>
      <c r="O61" s="2">
        <f>IFERROR(__xludf.DUMMYFUNCTION("""COMPUTED_VALUE"""),"Mock")</f>
        <v/>
      </c>
      <c r="P61" s="2">
        <f>IFERROR(__xludf.DUMMYFUNCTION("""COMPUTED_VALUE"""),"Pharma Plus เล่มม่วง")</f>
        <v/>
      </c>
    </row>
    <row r="62" ht="13.2" customHeight="1" s="49">
      <c r="A62" s="2">
        <f>IFERROR(__xludf.DUMMYFUNCTION("""COMPUTED_VALUE"""),"186")</f>
        <v/>
      </c>
      <c r="B62" s="2">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2" t="n"/>
      <c r="D62" s="2">
        <f>IFERROR(__xludf.DUMMYFUNCTION("""COMPUTED_VALUE"""),"Caking")</f>
        <v/>
      </c>
      <c r="E62" s="2">
        <f>IFERROR(__xludf.DUMMYFUNCTION("""COMPUTED_VALUE"""),"Cracking")</f>
        <v/>
      </c>
      <c r="F62" s="2">
        <f>IFERROR(__xludf.DUMMYFUNCTION("""COMPUTED_VALUE"""),"Bleeding")</f>
        <v/>
      </c>
      <c r="G62" s="2">
        <f>IFERROR(__xludf.DUMMYFUNCTION("""COMPUTED_VALUE"""),"Creaming")</f>
        <v/>
      </c>
      <c r="H62" s="2">
        <f>IFERROR(__xludf.DUMMYFUNCTION("""COMPUTED_VALUE"""),"Phase inversion")</f>
        <v/>
      </c>
      <c r="I62" s="2">
        <f>IFERROR(__xludf.DUMMYFUNCTION("""COMPUTED_VALUE"""),"2")</f>
        <v/>
      </c>
      <c r="J62" s="2">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2" t="n"/>
      <c r="L62" s="2">
        <f>IFERROR(__xludf.DUMMYFUNCTION("""COMPUTED_VALUE"""),"Tablet Manufacturing")</f>
        <v/>
      </c>
      <c r="M62" s="2">
        <f>IFERROR(__xludf.DUMMYFUNCTION("""COMPUTED_VALUE"""),"Product")</f>
        <v/>
      </c>
      <c r="N62" s="2">
        <f>IFERROR(__xludf.DUMMYFUNCTION("""COMPUTED_VALUE"""),"ข้อ 186 Pharma Plus เล่มม่วง (เฉลยข้อ ข)")</f>
        <v/>
      </c>
      <c r="O62" s="2">
        <f>IFERROR(__xludf.DUMMYFUNCTION("""COMPUTED_VALUE"""),"Mock")</f>
        <v/>
      </c>
      <c r="P62" s="2">
        <f>IFERROR(__xludf.DUMMYFUNCTION("""COMPUTED_VALUE"""),"Pharma Plus เล่มม่วง")</f>
        <v/>
      </c>
    </row>
    <row r="63" ht="13.2" customHeight="1" s="49">
      <c r="A63" s="2">
        <f>IFERROR(__xludf.DUMMYFUNCTION("""COMPUTED_VALUE"""),"187")</f>
        <v/>
      </c>
      <c r="B63" s="2">
        <f>IFERROR(__xludf.DUMMYFUNCTION("""COMPUTED_VALUE"""),"มีสูตรตำรับโลชั่นพริก เกิดแยกตัว เขย่าไม่กลับคืนเกิดจากสาเหตุใดได้")</f>
        <v/>
      </c>
      <c r="C63" s="2" t="n"/>
      <c r="D63" s="2">
        <f>IFERROR(__xludf.DUMMYFUNCTION("""COMPUTED_VALUE"""),"เฟสน้ำมันมีมากไป")</f>
        <v/>
      </c>
      <c r="E63" s="2">
        <f>IFERROR(__xludf.DUMMYFUNCTION("""COMPUTED_VALUE"""),"สัดส่วนระหว่างวัดภาคน้ำและน้ำมันต่างกันมาก")</f>
        <v/>
      </c>
      <c r="F63" s="2">
        <f>IFERROR(__xludf.DUMMYFUNCTION("""COMPUTED_VALUE"""),"ไม่มี emulsifier")</f>
        <v/>
      </c>
      <c r="G63" s="2">
        <f>IFERROR(__xludf.DUMMYFUNCTION("""COMPUTED_VALUE"""),"Emulsifier ไม่เพียงพอ")</f>
        <v/>
      </c>
      <c r="H63" s="2">
        <f>IFERROR(__xludf.DUMMYFUNCTION("""COMPUTED_VALUE"""),"ความหนาแน่นเฟสน้ำกับน้ำมันมีความแตกต่างกันมาก")</f>
        <v/>
      </c>
      <c r="I63" s="2">
        <f>IFERROR(__xludf.DUMMYFUNCTION("""COMPUTED_VALUE"""),"4")</f>
        <v/>
      </c>
      <c r="J63" s="2">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2" t="n"/>
      <c r="L63" s="2">
        <f>IFERROR(__xludf.DUMMYFUNCTION("""COMPUTED_VALUE"""),"Tablet Manufacturing")</f>
        <v/>
      </c>
      <c r="M63" s="2">
        <f>IFERROR(__xludf.DUMMYFUNCTION("""COMPUTED_VALUE"""),"Product")</f>
        <v/>
      </c>
      <c r="N63" s="2">
        <f>IFERROR(__xludf.DUMMYFUNCTION("""COMPUTED_VALUE"""),"ข้อ 187 Pharma Plus เล่มม่วง (เฉลยข้อ ง)")</f>
        <v/>
      </c>
      <c r="O63" s="2">
        <f>IFERROR(__xludf.DUMMYFUNCTION("""COMPUTED_VALUE"""),"Mock")</f>
        <v/>
      </c>
      <c r="P63" s="2">
        <f>IFERROR(__xludf.DUMMYFUNCTION("""COMPUTED_VALUE"""),"Pharma Plus เล่มม่วง")</f>
        <v/>
      </c>
    </row>
    <row r="64" ht="13.2" customHeight="1" s="49">
      <c r="A64" s="2">
        <f>IFERROR(__xludf.DUMMYFUNCTION("""COMPUTED_VALUE"""),"188")</f>
        <v/>
      </c>
      <c r="B64" s="2">
        <f>IFERROR(__xludf.DUMMYFUNCTION("""COMPUTED_VALUE"""),"ถ้าจะเตรียมยาเพื่อให้ไม่ผ่านกระบวนการ metabolite ที่ตับ เราควรจะเตรียมในรูปแบบใด")</f>
        <v/>
      </c>
      <c r="C64" s="2" t="n"/>
      <c r="D64" s="2">
        <f>IFERROR(__xludf.DUMMYFUNCTION("""COMPUTED_VALUE"""),"Film coated tablets")</f>
        <v/>
      </c>
      <c r="E64" s="2">
        <f>IFERROR(__xludf.DUMMYFUNCTION("""COMPUTED_VALUE"""),"Enteric coated tablets")</f>
        <v/>
      </c>
      <c r="F64" s="2">
        <f>IFERROR(__xludf.DUMMYFUNCTION("""COMPUTED_VALUE"""),"Osmotic pump tablets")</f>
        <v/>
      </c>
      <c r="G64" s="2">
        <f>IFERROR(__xludf.DUMMYFUNCTION("""COMPUTED_VALUE"""),"Matrix tablets")</f>
        <v/>
      </c>
      <c r="H64" s="2">
        <f>IFERROR(__xludf.DUMMYFUNCTION("""COMPUTED_VALUE"""),"Rectal suppositories")</f>
        <v/>
      </c>
      <c r="I64" s="2">
        <f>IFERROR(__xludf.DUMMYFUNCTION("""COMPUTED_VALUE"""),"4")</f>
        <v/>
      </c>
      <c r="J64" s="2">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2" t="n"/>
      <c r="L64" s="2">
        <f>IFERROR(__xludf.DUMMYFUNCTION("""COMPUTED_VALUE"""),"Tablet Manufacturing")</f>
        <v/>
      </c>
      <c r="M64" s="2">
        <f>IFERROR(__xludf.DUMMYFUNCTION("""COMPUTED_VALUE"""),"Product")</f>
        <v/>
      </c>
      <c r="N64" s="2">
        <f>IFERROR(__xludf.DUMMYFUNCTION("""COMPUTED_VALUE"""),"ข้อ 188 Pharma Plus เล่มม่วง (เฉลยข้อ ง)")</f>
        <v/>
      </c>
      <c r="O64" s="2">
        <f>IFERROR(__xludf.DUMMYFUNCTION("""COMPUTED_VALUE"""),"Mock")</f>
        <v/>
      </c>
      <c r="P64" s="2">
        <f>IFERROR(__xludf.DUMMYFUNCTION("""COMPUTED_VALUE"""),"Pharma Plus เล่มม่วง")</f>
        <v/>
      </c>
    </row>
    <row r="65" ht="13.2" customHeight="1" s="49">
      <c r="A65" s="2">
        <f>IFERROR(__xludf.DUMMYFUNCTION("""COMPUTED_VALUE"""),"189")</f>
        <v/>
      </c>
      <c r="B65" s="2">
        <f>IFERROR(__xludf.DUMMYFUNCTION("""COMPUTED_VALUE"""),"ระบบควบคุมการปลดปล่อยยาแบบใดสามารถหักแบ่งครึ่งเม็ดได้")</f>
        <v/>
      </c>
      <c r="C65" s="2" t="n"/>
      <c r="D65" s="2">
        <f>IFERROR(__xludf.DUMMYFUNCTION("""COMPUTED_VALUE"""),"Enteric coated")</f>
        <v/>
      </c>
      <c r="E65" s="2">
        <f>IFERROR(__xludf.DUMMYFUNCTION("""COMPUTED_VALUE"""),"Reservoir")</f>
        <v/>
      </c>
      <c r="F65" s="2">
        <f>IFERROR(__xludf.DUMMYFUNCTION("""COMPUTED_VALUE"""),"Osmotic control")</f>
        <v/>
      </c>
      <c r="G65" s="2">
        <f>IFERROR(__xludf.DUMMYFUNCTION("""COMPUTED_VALUE"""),"Matrix control")</f>
        <v/>
      </c>
      <c r="H65" s="2">
        <f>IFERROR(__xludf.DUMMYFUNCTION("""COMPUTED_VALUE"""),"Film diffuse control")</f>
        <v/>
      </c>
      <c r="I65" s="2">
        <f>IFERROR(__xludf.DUMMYFUNCTION("""COMPUTED_VALUE"""),"5")</f>
        <v/>
      </c>
      <c r="J65" s="2">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2" t="n"/>
      <c r="L65" s="2">
        <f>IFERROR(__xludf.DUMMYFUNCTION("""COMPUTED_VALUE"""),"Tablet Manufacturing")</f>
        <v/>
      </c>
      <c r="M65" s="2">
        <f>IFERROR(__xludf.DUMMYFUNCTION("""COMPUTED_VALUE"""),"Product")</f>
        <v/>
      </c>
      <c r="N65" s="2">
        <f>IFERROR(__xludf.DUMMYFUNCTION("""COMPUTED_VALUE"""),"ข้อ 189 Pharma Plus เล่มม่วง (เฉลยข้อ จ)")</f>
        <v/>
      </c>
      <c r="O65" s="2">
        <f>IFERROR(__xludf.DUMMYFUNCTION("""COMPUTED_VALUE"""),"Mock")</f>
        <v/>
      </c>
      <c r="P65" s="2">
        <f>IFERROR(__xludf.DUMMYFUNCTION("""COMPUTED_VALUE"""),"Pharma Plus เล่มม่วง")</f>
        <v/>
      </c>
    </row>
    <row r="66" ht="13.2" customHeight="1" s="49">
      <c r="A66" s="2">
        <f>IFERROR(__xludf.DUMMYFUNCTION("""COMPUTED_VALUE"""),"190")</f>
        <v/>
      </c>
      <c r="B66" s="2">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2" t="n"/>
      <c r="D66" s="2">
        <f>IFERROR(__xludf.DUMMYFUNCTION("""COMPUTED_VALUE"""),"Titanium dioxide เป็น binder")</f>
        <v/>
      </c>
      <c r="E66" s="2">
        <f>IFERROR(__xludf.DUMMYFUNCTION("""COMPUTED_VALUE"""),"Microcrystalline cellulose เป็น filler")</f>
        <v/>
      </c>
      <c r="F66" s="2">
        <f>IFERROR(__xludf.DUMMYFUNCTION("""COMPUTED_VALUE"""),"Sodium starch glycolate เป็น superdisintegrant")</f>
        <v/>
      </c>
      <c r="G66" s="2">
        <f>IFERROR(__xludf.DUMMYFUNCTION("""COMPUTED_VALUE"""),"Magnesium stearate เป็น glidant")</f>
        <v/>
      </c>
      <c r="H66" s="2">
        <f>IFERROR(__xludf.DUMMYFUNCTION("""COMPUTED_VALUE"""),"Corn starch เป็น disintegrant")</f>
        <v/>
      </c>
      <c r="I66" s="2">
        <f>IFERROR(__xludf.DUMMYFUNCTION("""COMPUTED_VALUE"""),"5")</f>
        <v/>
      </c>
      <c r="J66" s="2">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2" t="n"/>
      <c r="L66" s="2">
        <f>IFERROR(__xludf.DUMMYFUNCTION("""COMPUTED_VALUE"""),"Powders &amp; Granules")</f>
        <v/>
      </c>
      <c r="M66" s="2">
        <f>IFERROR(__xludf.DUMMYFUNCTION("""COMPUTED_VALUE"""),"Product")</f>
        <v/>
      </c>
      <c r="N66" s="2">
        <f>IFERROR(__xludf.DUMMYFUNCTION("""COMPUTED_VALUE"""),"ข้อ 190 Pharma Plus เล่มม่วง (เฉลยข้อ จ)")</f>
        <v/>
      </c>
      <c r="O66" s="2">
        <f>IFERROR(__xludf.DUMMYFUNCTION("""COMPUTED_VALUE"""),"Mock")</f>
        <v/>
      </c>
      <c r="P66" s="2">
        <f>IFERROR(__xludf.DUMMYFUNCTION("""COMPUTED_VALUE"""),"Pharma Plus เล่มม่วง")</f>
        <v/>
      </c>
    </row>
    <row r="67" ht="13.2" customHeight="1" s="49">
      <c r="A67" s="2">
        <f>IFERROR(__xludf.DUMMYFUNCTION("""COMPUTED_VALUE"""),"191")</f>
        <v/>
      </c>
      <c r="B67" s="2">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2" t="n"/>
      <c r="D67" s="2">
        <f>IFERROR(__xludf.DUMMYFUNCTION("""COMPUTED_VALUE"""),"มีสารก่อเจล 2 ชนิด")</f>
        <v/>
      </c>
      <c r="E67" s="2">
        <f>IFERROR(__xludf.DUMMYFUNCTION("""COMPUTED_VALUE"""),"Carbopol ละลายในน้ำเดือด แล้วเติมน้ำเย็นละลายทันที")</f>
        <v/>
      </c>
      <c r="F67" s="2">
        <f>IFERROR(__xludf.DUMMYFUNCTION("""COMPUTED_VALUE"""),"Triclosan ช่วยให้เจลแข็งตัวจากการปรับ pH")</f>
        <v/>
      </c>
      <c r="G67" s="2">
        <f>IFERROR(__xludf.DUMMYFUNCTION("""COMPUTED_VALUE"""),"Triethanolamine เป็น preservative ของตำรับ")</f>
        <v/>
      </c>
      <c r="H67" s="2">
        <f>IFERROR(__xludf.DUMMYFUNCTION("""COMPUTED_VALUE"""),"Carbopol ละลายได้ดีใน alcohol")</f>
        <v/>
      </c>
      <c r="I67" s="2">
        <f>IFERROR(__xludf.DUMMYFUNCTION("""COMPUTED_VALUE"""),"4")</f>
        <v/>
      </c>
      <c r="J67" s="2">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2" t="n"/>
      <c r="L67" s="2">
        <f>IFERROR(__xludf.DUMMYFUNCTION("""COMPUTED_VALUE"""),"Tablet Manufacturing")</f>
        <v/>
      </c>
      <c r="M67" s="2">
        <f>IFERROR(__xludf.DUMMYFUNCTION("""COMPUTED_VALUE"""),"Product")</f>
        <v/>
      </c>
      <c r="N67" s="2">
        <f>IFERROR(__xludf.DUMMYFUNCTION("""COMPUTED_VALUE"""),"ข้อ 191 Pharma Plus เล่มม่วง (เฉลยข้อ ง)")</f>
        <v/>
      </c>
      <c r="O67" s="2">
        <f>IFERROR(__xludf.DUMMYFUNCTION("""COMPUTED_VALUE"""),"Mock")</f>
        <v/>
      </c>
      <c r="P67" s="2">
        <f>IFERROR(__xludf.DUMMYFUNCTION("""COMPUTED_VALUE"""),"Pharma Plus เล่มม่วง")</f>
        <v/>
      </c>
    </row>
    <row r="68" ht="13.2" customHeight="1" s="49">
      <c r="A68" s="2">
        <f>IFERROR(__xludf.DUMMYFUNCTION("""COMPUTED_VALUE"""),"192")</f>
        <v/>
      </c>
      <c r="B68" s="2">
        <f>IFERROR(__xludf.DUMMYFUNCTION("""COMPUTED_VALUE"""),"โจทย์ให้สูตรตำรับของ tetracycline capsule มา ได้แก่ lactose, magnesium stearate ... (โจทย์ไม่ครบ) ตำรับ tetracycline capsule
ข้อใดถูกต้อง")</f>
        <v/>
      </c>
      <c r="C68" s="2" t="n"/>
      <c r="D68" s="2">
        <f>IFERROR(__xludf.DUMMYFUNCTION("""COMPUTED_VALUE"""),"เหมาะจะเตรียมเป็น soft gelatin capsule")</f>
        <v/>
      </c>
      <c r="E68" s="2">
        <f>IFERROR(__xludf.DUMMYFUNCTION("""COMPUTED_VALUE"""),"Capsule เบอร์ 000 เล็กสุด เบอร์ 5 ใหญ่สุด")</f>
        <v/>
      </c>
      <c r="F68" s="2">
        <f>IFERROR(__xludf.DUMMYFUNCTION("""COMPUTED_VALUE"""),"Lactose เพิ่มความหวาน")</f>
        <v/>
      </c>
      <c r="G68" s="2">
        <f>IFERROR(__xludf.DUMMYFUNCTION("""COMPUTED_VALUE"""),"Magnesium stearate เพิ่มการแตกตัว")</f>
        <v/>
      </c>
      <c r="H68" s="2">
        <f>IFERROR(__xludf.DUMMYFUNCTION("""COMPUTED_VALUE"""),"Silicon dioxide เพิ่มการไหล")</f>
        <v/>
      </c>
      <c r="I68" s="2">
        <f>IFERROR(__xludf.DUMMYFUNCTION("""COMPUTED_VALUE"""),"1")</f>
        <v/>
      </c>
      <c r="J68" s="2">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2" t="n"/>
      <c r="L68" s="2">
        <f>IFERROR(__xludf.DUMMYFUNCTION("""COMPUTED_VALUE"""),"Hard &amp; Soft Gelatin Capsules")</f>
        <v/>
      </c>
      <c r="M68" s="2">
        <f>IFERROR(__xludf.DUMMYFUNCTION("""COMPUTED_VALUE"""),"Product")</f>
        <v/>
      </c>
      <c r="N68" s="2">
        <f>IFERROR(__xludf.DUMMYFUNCTION("""COMPUTED_VALUE"""),"ข้อ 192 Pharma Plus เล่มม่วง (เฉลยข้อ ก)")</f>
        <v/>
      </c>
      <c r="O68" s="2">
        <f>IFERROR(__xludf.DUMMYFUNCTION("""COMPUTED_VALUE"""),"Mock")</f>
        <v/>
      </c>
      <c r="P68" s="2">
        <f>IFERROR(__xludf.DUMMYFUNCTION("""COMPUTED_VALUE"""),"Pharma Plus เล่มม่วง")</f>
        <v/>
      </c>
    </row>
    <row r="69" ht="13.2" customHeight="1" s="49">
      <c r="A69" s="2">
        <f>IFERROR(__xludf.DUMMYFUNCTION("""COMPUTED_VALUE"""),"193")</f>
        <v/>
      </c>
      <c r="B69" s="2">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2" t="n"/>
      <c r="D69" s="2">
        <f>IFERROR(__xludf.DUMMYFUNCTION("""COMPUTED_VALUE"""),"Hydroxypropyl methyl cellulose")</f>
        <v/>
      </c>
      <c r="E69" s="2">
        <f>IFERROR(__xludf.DUMMYFUNCTION("""COMPUTED_VALUE"""),"Magnesium stearate")</f>
        <v/>
      </c>
      <c r="F69" s="2">
        <f>IFERROR(__xludf.DUMMYFUNCTION("""COMPUTED_VALUE"""),"Microcrystalline cellulose")</f>
        <v/>
      </c>
      <c r="G69" s="2">
        <f>IFERROR(__xludf.DUMMYFUNCTION("""COMPUTED_VALUE"""),"Colloidal silica")</f>
        <v/>
      </c>
      <c r="H69" s="2">
        <f>IFERROR(__xludf.DUMMYFUNCTION("""COMPUTED_VALUE"""),"Pre-gelatinized starch")</f>
        <v/>
      </c>
      <c r="I69" s="2">
        <f>IFERROR(__xludf.DUMMYFUNCTION("""COMPUTED_VALUE"""),"5")</f>
        <v/>
      </c>
      <c r="J69" s="2">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2" t="n"/>
      <c r="L69" s="2">
        <f>IFERROR(__xludf.DUMMYFUNCTION("""COMPUTED_VALUE"""),"Tablet Manufacturing")</f>
        <v/>
      </c>
      <c r="M69" s="2">
        <f>IFERROR(__xludf.DUMMYFUNCTION("""COMPUTED_VALUE"""),"Product")</f>
        <v/>
      </c>
      <c r="N69" s="2">
        <f>IFERROR(__xludf.DUMMYFUNCTION("""COMPUTED_VALUE"""),"ข้อ 193 Pharma Plus เล่มม่วง (เฉลยข้อ จ)")</f>
        <v/>
      </c>
      <c r="O69" s="2">
        <f>IFERROR(__xludf.DUMMYFUNCTION("""COMPUTED_VALUE"""),"Mock")</f>
        <v/>
      </c>
      <c r="P69" s="2">
        <f>IFERROR(__xludf.DUMMYFUNCTION("""COMPUTED_VALUE"""),"Pharma Plus เล่มม่วง")</f>
        <v/>
      </c>
    </row>
    <row r="70" ht="13.2" customHeight="1" s="49">
      <c r="A70" s="2">
        <f>IFERROR(__xludf.DUMMYFUNCTION("""COMPUTED_VALUE"""),"194")</f>
        <v/>
      </c>
      <c r="B70" s="2">
        <f>IFERROR(__xludf.DUMMYFUNCTION("""COMPUTED_VALUE"""),"ในการพิสูจน์ Bioequivalence ระหว่างยา 2 ตัว จะต้องคำนึงถึง parameter ใดบ้าง
ข้อใดต่อไปนี้ถูกต้อง")</f>
        <v/>
      </c>
      <c r="C70" s="2" t="n"/>
      <c r="D70" s="2">
        <f>IFERROR(__xludf.DUMMYFUNCTION("""COMPUTED_VALUE"""),"AUC0-inf และ Tmax")</f>
        <v/>
      </c>
      <c r="E70" s="2">
        <f>IFERROR(__xludf.DUMMYFUNCTION("""COMPUTED_VALUE"""),"AUC0-inf และ Cmax")</f>
        <v/>
      </c>
      <c r="F70" s="2">
        <f>IFERROR(__xludf.DUMMYFUNCTION("""COMPUTED_VALUE"""),"AUC0-inf และ Elimination half life")</f>
        <v/>
      </c>
      <c r="G70" s="2">
        <f>IFERROR(__xludf.DUMMYFUNCTION("""COMPUTED_VALUE"""),"Cmax และ Elimination half life")</f>
        <v/>
      </c>
      <c r="H70" s="2">
        <f>IFERROR(__xludf.DUMMYFUNCTION("""COMPUTED_VALUE"""),"Tmax และ Elimination half life")</f>
        <v/>
      </c>
      <c r="I70" s="2">
        <f>IFERROR(__xludf.DUMMYFUNCTION("""COMPUTED_VALUE"""),"5")</f>
        <v/>
      </c>
      <c r="J70" s="2">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2" t="n"/>
      <c r="L70" s="2">
        <f>IFERROR(__xludf.DUMMYFUNCTION("""COMPUTED_VALUE"""),"Tablet Manufacturing")</f>
        <v/>
      </c>
      <c r="M70" s="2">
        <f>IFERROR(__xludf.DUMMYFUNCTION("""COMPUTED_VALUE"""),"Product")</f>
        <v/>
      </c>
      <c r="N70" s="2">
        <f>IFERROR(__xludf.DUMMYFUNCTION("""COMPUTED_VALUE"""),"ข้อ 194 Pharma Plus เล่มม่วง (เฉลยข้อ จ)")</f>
        <v/>
      </c>
      <c r="O70" s="2">
        <f>IFERROR(__xludf.DUMMYFUNCTION("""COMPUTED_VALUE"""),"Mock")</f>
        <v/>
      </c>
      <c r="P70" s="2">
        <f>IFERROR(__xludf.DUMMYFUNCTION("""COMPUTED_VALUE"""),"Pharma Plus เล่มม่วง")</f>
        <v/>
      </c>
    </row>
    <row r="71" ht="13.2" customHeight="1" s="49">
      <c r="A71" s="2">
        <f>IFERROR(__xludf.DUMMYFUNCTION("""COMPUTED_VALUE"""),"1")</f>
        <v/>
      </c>
      <c r="B71" s="2">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2" t="n"/>
      <c r="D71" s="2">
        <f>IFERROR(__xludf.DUMMYFUNCTION("""COMPUTED_VALUE"""),"Methyl cyanide")</f>
        <v/>
      </c>
      <c r="E71" s="2">
        <f>IFERROR(__xludf.DUMMYFUNCTION("""COMPUTED_VALUE"""),"Nitro")</f>
        <v/>
      </c>
      <c r="F71" s="2">
        <f>IFERROR(__xludf.DUMMYFUNCTION("""COMPUTED_VALUE"""),"Thio")</f>
        <v/>
      </c>
      <c r="G71" s="2">
        <f>IFERROR(__xludf.DUMMYFUNCTION("""COMPUTED_VALUE"""),"Furan")</f>
        <v/>
      </c>
      <c r="H71" s="2">
        <f>IFERROR(__xludf.DUMMYFUNCTION("""COMPUTED_VALUE"""),"Amine")</f>
        <v/>
      </c>
      <c r="I71" s="2">
        <f>IFERROR(__xludf.DUMMYFUNCTION("""COMPUTED_VALUE"""),"4")</f>
        <v/>
      </c>
      <c r="J71" s="2">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2" t="n"/>
      <c r="L71" s="2">
        <f>IFERROR(__xludf.DUMMYFUNCTION("""COMPUTED_VALUE"""),"SAR &amp; Drug Design")</f>
        <v/>
      </c>
      <c r="M71" s="2">
        <f>IFERROR(__xludf.DUMMYFUNCTION("""COMPUTED_VALUE"""),"Product")</f>
        <v/>
      </c>
      <c r="N71" s="2">
        <f>IFERROR(__xludf.DUMMYFUNCTION("""COMPUTED_VALUE"""),"ข้อ 1 Pharma Plus เล่มม่วง (เฉลยข้อ ง)")</f>
        <v/>
      </c>
      <c r="O71" s="2">
        <f>IFERROR(__xludf.DUMMYFUNCTION("""COMPUTED_VALUE"""),"Mock")</f>
        <v/>
      </c>
      <c r="P71" s="2">
        <f>IFERROR(__xludf.DUMMYFUNCTION("""COMPUTED_VALUE"""),"Pharma Plus เล่มม่วง")</f>
        <v/>
      </c>
    </row>
    <row r="72" ht="13.2" customHeight="1" s="49">
      <c r="A72" s="2">
        <f>IFERROR(__xludf.DUMMYFUNCTION("""COMPUTED_VALUE"""),"2")</f>
        <v/>
      </c>
      <c r="B72" s="2">
        <f>IFERROR(__xludf.DUMMYFUNCTION("""COMPUTED_VALUE"""),"จากสูตรโครงสร้างของ praziquantel ตำแหน่งนี้เรียกว่า และมีคุณสมบัติอย่างไร")</f>
        <v/>
      </c>
      <c r="C72" s="2" t="n"/>
      <c r="D72" s="2">
        <f>IFERROR(__xludf.DUMMYFUNCTION("""COMPUTED_VALUE"""),"Quinoline, base")</f>
        <v/>
      </c>
      <c r="E72" s="2">
        <f>IFERROR(__xludf.DUMMYFUNCTION("""COMPUTED_VALUE"""),"Isoquinoline, base")</f>
        <v/>
      </c>
      <c r="F72" s="2">
        <f>IFERROR(__xludf.DUMMYFUNCTION("""COMPUTED_VALUE"""),"Guanine, acid")</f>
        <v/>
      </c>
      <c r="G72" s="2">
        <f>IFERROR(__xludf.DUMMYFUNCTION("""COMPUTED_VALUE"""),"Pyramidine, acid")</f>
        <v/>
      </c>
      <c r="H72" s="2">
        <f>IFERROR(__xludf.DUMMYFUNCTION("""COMPUTED_VALUE"""),"Nirobenzene, acid")</f>
        <v/>
      </c>
      <c r="I72" s="2">
        <f>IFERROR(__xludf.DUMMYFUNCTION("""COMPUTED_VALUE"""),"2")</f>
        <v/>
      </c>
      <c r="J72" s="2">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2" t="n"/>
      <c r="L72" s="2">
        <f>IFERROR(__xludf.DUMMYFUNCTION("""COMPUTED_VALUE"""),"SAR &amp; Drug Design")</f>
        <v/>
      </c>
      <c r="M72" s="2">
        <f>IFERROR(__xludf.DUMMYFUNCTION("""COMPUTED_VALUE"""),"Product")</f>
        <v/>
      </c>
      <c r="N72" s="2">
        <f>IFERROR(__xludf.DUMMYFUNCTION("""COMPUTED_VALUE"""),"ข้อ 2 Pharma Plus เล่มม่วง (เฉลยข้อ ข)")</f>
        <v/>
      </c>
      <c r="O72" s="2">
        <f>IFERROR(__xludf.DUMMYFUNCTION("""COMPUTED_VALUE"""),"Mock")</f>
        <v/>
      </c>
      <c r="P72" s="2">
        <f>IFERROR(__xludf.DUMMYFUNCTION("""COMPUTED_VALUE"""),"Pharma Plus เล่มม่วง")</f>
        <v/>
      </c>
    </row>
    <row r="73" ht="13.2" customHeight="1" s="49">
      <c r="A73" s="2">
        <f>IFERROR(__xludf.DUMMYFUNCTION("""COMPUTED_VALUE"""),"3")</f>
        <v/>
      </c>
      <c r="B73" s="2">
        <f>IFERROR(__xludf.DUMMYFUNCTION("""COMPUTED_VALUE"""),"จากสูตรโครงสร้างมีหมู่ carboxyl group กี่หมู่")</f>
        <v/>
      </c>
      <c r="C73" s="2" t="n"/>
      <c r="D73" s="2">
        <f>IFERROR(__xludf.DUMMYFUNCTION("""COMPUTED_VALUE"""),"Bioisosteric Replacement (Carboxylic acid → Tetrazole)")</f>
        <v/>
      </c>
      <c r="E73" s="2">
        <f>IFERROR(__xludf.DUMMYFUNCTION("""COMPUTED_VALUE"""),"Prodrug Design via Esterification for Oral Bioavailability")</f>
        <v/>
      </c>
      <c r="F73" s="2">
        <f>IFERROR(__xludf.DUMMYFUNCTION("""COMPUTED_VALUE"""),"Cytochrome P450 CYP3A4 Phase I Oxidation")</f>
        <v/>
      </c>
      <c r="G73" s="2">
        <f>IFERROR(__xludf.DUMMYFUNCTION("""COMPUTED_VALUE"""),"Phase II Glucuronidation Conjugation by UGT")</f>
        <v/>
      </c>
      <c r="H73" s="2">
        <f>IFERROR(__xludf.DUMMYFUNCTION("""COMPUTED_VALUE"""),"Log P Lipophilicity Partition Coefficient optimization")</f>
        <v/>
      </c>
      <c r="I73" s="2">
        <f>IFERROR(__xludf.DUMMYFUNCTION("""COMPUTED_VALUE"""),"2")</f>
        <v/>
      </c>
      <c r="J73" s="2">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2" t="n"/>
      <c r="L73" s="2">
        <f>IFERROR(__xludf.DUMMYFUNCTION("""COMPUTED_VALUE"""),"SAR &amp; Drug Design")</f>
        <v/>
      </c>
      <c r="M73" s="2">
        <f>IFERROR(__xludf.DUMMYFUNCTION("""COMPUTED_VALUE"""),"Product")</f>
        <v/>
      </c>
      <c r="N73" s="2">
        <f>IFERROR(__xludf.DUMMYFUNCTION("""COMPUTED_VALUE"""),"ข้อ 3 Pharma Plus เล่มม่วง (เฉลยข้อ ข)")</f>
        <v/>
      </c>
      <c r="O73" s="2">
        <f>IFERROR(__xludf.DUMMYFUNCTION("""COMPUTED_VALUE"""),"Mock")</f>
        <v/>
      </c>
      <c r="P73" s="2">
        <f>IFERROR(__xludf.DUMMYFUNCTION("""COMPUTED_VALUE"""),"Pharma Plus เล่มม่วง")</f>
        <v/>
      </c>
    </row>
    <row r="74" ht="13.2" customHeight="1" s="49">
      <c r="A74" s="2">
        <f>IFERROR(__xludf.DUMMYFUNCTION("""COMPUTED_VALUE"""),"4")</f>
        <v/>
      </c>
      <c r="B74" s="2">
        <f>IFERROR(__xludf.DUMMYFUNCTION("""COMPUTED_VALUE"""),"จากโครงสร้าง Simvastatin และ Pravastatin ข้อใดถูกต้อง")</f>
        <v/>
      </c>
      <c r="C74" s="2" t="n"/>
      <c r="D74" s="2">
        <f>IFERROR(__xludf.DUMMYFUNCTION("""COMPUTED_VALUE"""),"Cholestyramine ลดการดูดซึมของยา simvastatin เพราะโครงสร้าง Simvastatin มี lactone ring")</f>
        <v/>
      </c>
      <c r="E74" s="2">
        <f>IFERROR(__xludf.DUMMYFUNCTION("""COMPUTED_VALUE"""),"Cholestyramine ลดการดูดซึมของยา pravastatin เพราะโครงสร้าง Pravastatin มี carboxylic acid")</f>
        <v/>
      </c>
      <c r="F74" s="2">
        <f>IFERROR(__xludf.DUMMYFUNCTION("""COMPUTED_VALUE"""),"Simvastatin ลดการดูดซึมของยา cholestyramine")</f>
        <v/>
      </c>
      <c r="G74" s="2">
        <f>IFERROR(__xludf.DUMMYFUNCTION("""COMPUTED_VALUE"""),"Cholestyramine ไม่มีผลต่อการดูดซึมของยา simvastatin และ pravastatin")</f>
        <v/>
      </c>
      <c r="H74" s="2">
        <f>IFERROR(__xludf.DUMMYFUNCTION("""COMPUTED_VALUE"""),"Cholestyramine เพิ่มการดูดซึมของยา simvastatin และ pravastatin")</f>
        <v/>
      </c>
      <c r="I74" s="2">
        <f>IFERROR(__xludf.DUMMYFUNCTION("""COMPUTED_VALUE"""),"2")</f>
        <v/>
      </c>
      <c r="J74" s="2">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2" t="n"/>
      <c r="L74" s="2">
        <f>IFERROR(__xludf.DUMMYFUNCTION("""COMPUTED_VALUE"""),"SAR &amp; Drug Design")</f>
        <v/>
      </c>
      <c r="M74" s="2">
        <f>IFERROR(__xludf.DUMMYFUNCTION("""COMPUTED_VALUE"""),"Product")</f>
        <v/>
      </c>
      <c r="N74" s="2">
        <f>IFERROR(__xludf.DUMMYFUNCTION("""COMPUTED_VALUE"""),"ข้อ 4 Pharma Plus เล่มม่วง (เฉลยข้อ ข)")</f>
        <v/>
      </c>
      <c r="O74" s="2">
        <f>IFERROR(__xludf.DUMMYFUNCTION("""COMPUTED_VALUE"""),"Mock")</f>
        <v/>
      </c>
      <c r="P74" s="2">
        <f>IFERROR(__xludf.DUMMYFUNCTION("""COMPUTED_VALUE"""),"Pharma Plus เล่มม่วง")</f>
        <v/>
      </c>
    </row>
    <row r="75" ht="13.2" customHeight="1" s="49">
      <c r="A75" s="2">
        <f>IFERROR(__xludf.DUMMYFUNCTION("""COMPUTED_VALUE"""),"5")</f>
        <v/>
      </c>
      <c r="B75" s="2">
        <f>IFERROR(__xludf.DUMMYFUNCTION("""COMPUTED_VALUE"""),"โครงสร้างที่แสดงข้อ 4 สัมพันธ์กับการออกฤทธิ์ของยาอย่างไร")</f>
        <v/>
      </c>
      <c r="C75" s="2" t="n"/>
      <c r="D75" s="2">
        <f>IFERROR(__xludf.DUMMYFUNCTION("""COMPUTED_VALUE"""),"Pravastatin เป็น prodrug")</f>
        <v/>
      </c>
      <c r="E75" s="2">
        <f>IFERROR(__xludf.DUMMYFUNCTION("""COMPUTED_VALUE"""),"Pravastatin และ simvastatin เป็น prodrug")</f>
        <v/>
      </c>
      <c r="F75" s="2">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2">
        <f>IFERROR(__xludf.DUMMYFUNCTION("""COMPUTED_VALUE"""),"Simvastatin มีโครงสร้างที่ออกฤทธิ์ คือ โครงสร้างที่เป็น lactone ring เปิด")</f>
        <v/>
      </c>
      <c r="H75" s="2">
        <f>IFERROR(__xludf.DUMMYFUNCTION("""COMPUTED_VALUE"""),"Pravastatin และ simvastatin ไม่เป็น prodrug")</f>
        <v/>
      </c>
      <c r="I75" s="2">
        <f>IFERROR(__xludf.DUMMYFUNCTION("""COMPUTED_VALUE"""),"4")</f>
        <v/>
      </c>
      <c r="J75" s="2">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2" t="n"/>
      <c r="L75" s="2">
        <f>IFERROR(__xludf.DUMMYFUNCTION("""COMPUTED_VALUE"""),"SAR &amp; Drug Design")</f>
        <v/>
      </c>
      <c r="M75" s="2">
        <f>IFERROR(__xludf.DUMMYFUNCTION("""COMPUTED_VALUE"""),"Product")</f>
        <v/>
      </c>
      <c r="N75" s="2">
        <f>IFERROR(__xludf.DUMMYFUNCTION("""COMPUTED_VALUE"""),"ข้อ 5 Pharma Plus เล่มม่วง (เฉลยข้อ ง)")</f>
        <v/>
      </c>
      <c r="O75" s="2">
        <f>IFERROR(__xludf.DUMMYFUNCTION("""COMPUTED_VALUE"""),"Mock")</f>
        <v/>
      </c>
      <c r="P75" s="2">
        <f>IFERROR(__xludf.DUMMYFUNCTION("""COMPUTED_VALUE"""),"Pharma Plus เล่มม่วง")</f>
        <v/>
      </c>
    </row>
    <row r="76" ht="13.2" customHeight="1" s="49">
      <c r="A76" s="2">
        <f>IFERROR(__xludf.DUMMYFUNCTION("""COMPUTED_VALUE"""),"6")</f>
        <v/>
      </c>
      <c r="B76" s="2">
        <f>IFERROR(__xludf.DUMMYFUNCTION("""COMPUTED_VALUE"""),"สูตรโครงสร้างของยาต่อไปนี้ข้อใดคือ Dexamethasone")</f>
        <v/>
      </c>
      <c r="C76" s="2" t="n"/>
      <c r="D76" s="2">
        <f>IFERROR(__xludf.DUMMYFUNCTION("""COMPUTED_VALUE"""),"โครงสร้างเตียรอยด์มีหมู่ -OH และ -F")</f>
        <v/>
      </c>
      <c r="E76" s="2">
        <f>IFERROR(__xludf.DUMMYFUNCTION("""COMPUTED_VALUE"""),"โครงสร้าง ACE inhibitor")</f>
        <v/>
      </c>
      <c r="F76" s="2">
        <f>IFERROR(__xludf.DUMMYFUNCTION("""COMPUTED_VALUE"""),"โครงสร้าง Chloramphenicol")</f>
        <v/>
      </c>
      <c r="G76" s="2">
        <f>IFERROR(__xludf.DUMMYFUNCTION("""COMPUTED_VALUE"""),"โครงสร้าง Sulfonamide")</f>
        <v/>
      </c>
      <c r="H76" s="2">
        <f>IFERROR(__xludf.DUMMYFUNCTION("""COMPUTED_VALUE"""),"โครงสร้าง Beta-lactam หรือโครงสร้างอื่น")</f>
        <v/>
      </c>
      <c r="I76" s="2">
        <f>IFERROR(__xludf.DUMMYFUNCTION("""COMPUTED_VALUE"""),"1")</f>
        <v/>
      </c>
      <c r="J76" s="2">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2" t="n"/>
      <c r="L76" s="2">
        <f>IFERROR(__xludf.DUMMYFUNCTION("""COMPUTED_VALUE"""),"SAR &amp; Drug Design")</f>
        <v/>
      </c>
      <c r="M76" s="2">
        <f>IFERROR(__xludf.DUMMYFUNCTION("""COMPUTED_VALUE"""),"Product")</f>
        <v/>
      </c>
      <c r="N76" s="2">
        <f>IFERROR(__xludf.DUMMYFUNCTION("""COMPUTED_VALUE"""),"ข้อ 6 Pharma Plus เล่มม่วง (เฉลยข้อ ก)")</f>
        <v/>
      </c>
      <c r="O76" s="2">
        <f>IFERROR(__xludf.DUMMYFUNCTION("""COMPUTED_VALUE"""),"Mock")</f>
        <v/>
      </c>
      <c r="P76" s="2">
        <f>IFERROR(__xludf.DUMMYFUNCTION("""COMPUTED_VALUE"""),"Pharma Plus เล่มม่วง")</f>
        <v/>
      </c>
    </row>
    <row r="77" ht="13.2" customHeight="1" s="49">
      <c r="A77" s="2">
        <f>IFERROR(__xludf.DUMMYFUNCTION("""COMPUTED_VALUE"""),"11")</f>
        <v/>
      </c>
      <c r="B77" s="2">
        <f>IFERROR(__xludf.DUMMYFUNCTION("""COMPUTED_VALUE"""),"จากโครงสร้างของ vitamin A ข้อใดต่อไปนี้ถูกต้องเกี่ยวกับ SAR")</f>
        <v/>
      </c>
      <c r="C77" s="2" t="n"/>
      <c r="D77" s="2">
        <f>IFERROR(__xludf.DUMMYFUNCTION("""COMPUTED_VALUE"""),"Conjugated double bond เพิ่มขึ้น ทำให้ activity ของ vitamin A ลดลง")</f>
        <v/>
      </c>
      <c r="E77" s="2">
        <f>IFERROR(__xludf.DUMMYFUNCTION("""COMPUTED_VALUE"""),"Conjugated double bond ลดลง ทำให้ activity ของ vitamin A เพิ่มขึ้น")</f>
        <v/>
      </c>
      <c r="F77" s="2">
        <f>IFERROR(__xludf.DUMMYFUNCTION("""COMPUTED_VALUE"""),"ถ้า b-ionone ring saturate จะทำให้ vitamin A หมดฤทธิ์")</f>
        <v/>
      </c>
      <c r="G77" s="2">
        <f>IFERROR(__xludf.DUMMYFUNCTION("""COMPUTED_VALUE"""),"ถ้า b-ionone ring saturate จะทำให้ vitamin A ฤทธิ์เพิ่มขึ้น")</f>
        <v/>
      </c>
      <c r="H77" s="2">
        <f>IFERROR(__xludf.DUMMYFUNCTION("""COMPUTED_VALUE"""),"ถ้าเปลี่ยนจาก -OH เป็น ether จะทำให้ vitamin A ฤทธิ์เพิ่มขึ้น")</f>
        <v/>
      </c>
      <c r="I77" s="2">
        <f>IFERROR(__xludf.DUMMYFUNCTION("""COMPUTED_VALUE"""),"3")</f>
        <v/>
      </c>
      <c r="J77" s="2">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2" t="n"/>
      <c r="L77" s="2">
        <f>IFERROR(__xludf.DUMMYFUNCTION("""COMPUTED_VALUE"""),"SAR &amp; Drug Design")</f>
        <v/>
      </c>
      <c r="M77" s="2">
        <f>IFERROR(__xludf.DUMMYFUNCTION("""COMPUTED_VALUE"""),"Product")</f>
        <v/>
      </c>
      <c r="N77" s="2">
        <f>IFERROR(__xludf.DUMMYFUNCTION("""COMPUTED_VALUE"""),"ข้อ 11 Pharma Plus เล่มม่วง (เฉลยข้อ ค)")</f>
        <v/>
      </c>
      <c r="O77" s="2">
        <f>IFERROR(__xludf.DUMMYFUNCTION("""COMPUTED_VALUE"""),"Mock")</f>
        <v/>
      </c>
      <c r="P77" s="2">
        <f>IFERROR(__xludf.DUMMYFUNCTION("""COMPUTED_VALUE"""),"Pharma Plus เล่มม่วง")</f>
        <v/>
      </c>
    </row>
    <row r="78" ht="13.2" customHeight="1" s="49">
      <c r="A78" s="2">
        <f>IFERROR(__xludf.DUMMYFUNCTION("""COMPUTED_VALUE"""),"12")</f>
        <v/>
      </c>
      <c r="B78" s="2">
        <f>IFERROR(__xludf.DUMMYFUNCTION("""COMPUTED_VALUE"""),"จากข้อ 11 ถ้าเปลี่ยนจากหมู่ OH เป็น COOH จะเป็นสารใดต่อไปนี้")</f>
        <v/>
      </c>
      <c r="C78" s="2" t="n"/>
      <c r="D78" s="2">
        <f>IFERROR(__xludf.DUMMYFUNCTION("""COMPUTED_VALUE"""),"Tretinoin")</f>
        <v/>
      </c>
      <c r="E78" s="2">
        <f>IFERROR(__xludf.DUMMYFUNCTION("""COMPUTED_VALUE"""),"Isotretinoin")</f>
        <v/>
      </c>
      <c r="F78" s="2">
        <f>IFERROR(__xludf.DUMMYFUNCTION("""COMPUTED_VALUE"""),"Adapalene")</f>
        <v/>
      </c>
      <c r="G78" s="2">
        <f>IFERROR(__xludf.DUMMYFUNCTION("""COMPUTED_VALUE"""),"Carotenoid")</f>
        <v/>
      </c>
      <c r="H78" s="2">
        <f>IFERROR(__xludf.DUMMYFUNCTION("""COMPUTED_VALUE"""),"Retinal")</f>
        <v/>
      </c>
      <c r="I78" s="2">
        <f>IFERROR(__xludf.DUMMYFUNCTION("""COMPUTED_VALUE"""),"1")</f>
        <v/>
      </c>
      <c r="J78" s="2">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2" t="n"/>
      <c r="L78" s="2">
        <f>IFERROR(__xludf.DUMMYFUNCTION("""COMPUTED_VALUE"""),"SAR &amp; Drug Design")</f>
        <v/>
      </c>
      <c r="M78" s="2">
        <f>IFERROR(__xludf.DUMMYFUNCTION("""COMPUTED_VALUE"""),"Product")</f>
        <v/>
      </c>
      <c r="N78" s="2">
        <f>IFERROR(__xludf.DUMMYFUNCTION("""COMPUTED_VALUE"""),"ข้อ 12 Pharma Plus เล่มม่วง (เฉลยข้อ ก)")</f>
        <v/>
      </c>
      <c r="O78" s="2">
        <f>IFERROR(__xludf.DUMMYFUNCTION("""COMPUTED_VALUE"""),"Mock")</f>
        <v/>
      </c>
      <c r="P78" s="2">
        <f>IFERROR(__xludf.DUMMYFUNCTION("""COMPUTED_VALUE"""),"Pharma Plus เล่มม่วง")</f>
        <v/>
      </c>
    </row>
    <row r="79" ht="13.2" customHeight="1" s="49">
      <c r="A79" s="2">
        <f>IFERROR(__xludf.DUMMYFUNCTION("""COMPUTED_VALUE"""),"13")</f>
        <v/>
      </c>
      <c r="B79" s="2">
        <f>IFERROR(__xludf.DUMMYFUNCTION("""COMPUTED_VALUE"""),"จากโครงสร้างของยา Gemcitabine เป็นอนุพันธ์ของอะไร")</f>
        <v/>
      </c>
      <c r="C79" s="2" t="n"/>
      <c r="D79" s="2">
        <f>IFERROR(__xludf.DUMMYFUNCTION("""COMPUTED_VALUE"""),"Acyclonucleoside analog")</f>
        <v/>
      </c>
      <c r="E79" s="2">
        <f>IFERROR(__xludf.DUMMYFUNCTION("""COMPUTED_VALUE"""),"Pyrimidine nucleoside analog")</f>
        <v/>
      </c>
      <c r="F79" s="2">
        <f>IFERROR(__xludf.DUMMYFUNCTION("""COMPUTED_VALUE"""),"Pyrimidine nucleotide analog")</f>
        <v/>
      </c>
      <c r="G79" s="2">
        <f>IFERROR(__xludf.DUMMYFUNCTION("""COMPUTED_VALUE"""),"Purine nucleotide analog")</f>
        <v/>
      </c>
      <c r="H79" s="2">
        <f>IFERROR(__xludf.DUMMYFUNCTION("""COMPUTED_VALUE"""),"Purine nucleoside analog")</f>
        <v/>
      </c>
      <c r="I79" s="2">
        <f>IFERROR(__xludf.DUMMYFUNCTION("""COMPUTED_VALUE"""),"2")</f>
        <v/>
      </c>
      <c r="J79" s="2">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2" t="n"/>
      <c r="L79" s="2">
        <f>IFERROR(__xludf.DUMMYFUNCTION("""COMPUTED_VALUE"""),"SAR &amp; Drug Design")</f>
        <v/>
      </c>
      <c r="M79" s="2">
        <f>IFERROR(__xludf.DUMMYFUNCTION("""COMPUTED_VALUE"""),"Product")</f>
        <v/>
      </c>
      <c r="N79" s="2">
        <f>IFERROR(__xludf.DUMMYFUNCTION("""COMPUTED_VALUE"""),"ข้อ 13 Pharma Plus เล่มม่วง (เฉลยข้อ ข)")</f>
        <v/>
      </c>
      <c r="O79" s="2">
        <f>IFERROR(__xludf.DUMMYFUNCTION("""COMPUTED_VALUE"""),"Mock")</f>
        <v/>
      </c>
      <c r="P79" s="2">
        <f>IFERROR(__xludf.DUMMYFUNCTION("""COMPUTED_VALUE"""),"Pharma Plus เล่มม่วง")</f>
        <v/>
      </c>
    </row>
    <row r="80" ht="13.2" customHeight="1" s="49">
      <c r="A80" s="2">
        <f>IFERROR(__xludf.DUMMYFUNCTION("""COMPUTED_VALUE"""),"14")</f>
        <v/>
      </c>
      <c r="B80" s="2">
        <f>IFERROR(__xludf.DUMMYFUNCTION("""COMPUTED_VALUE"""),"จากโครงสร้างของยา A และยา B ข้อใดถูกต้องเกี่ยวกับยา B")</f>
        <v/>
      </c>
      <c r="C80" s="2" t="n"/>
      <c r="D80" s="2">
        <f>IFERROR(__xludf.DUMMYFUNCTION("""COMPUTED_VALUE"""),"ฤทธิ์ต้านแบคทีเรียลดลงอย่างมีนัยสำคัญ")</f>
        <v/>
      </c>
      <c r="E80" s="2">
        <f>IFERROR(__xludf.DUMMYFUNCTION("""COMPUTED_VALUE"""),"ความสามารถในการละลายน้ำไม่เปลี่ยนแปลง")</f>
        <v/>
      </c>
      <c r="F80" s="2">
        <f>IFERROR(__xludf.DUMMYFUNCTION("""COMPUTED_VALUE"""),"ความถี่ในการรับประทานลดลง")</f>
        <v/>
      </c>
      <c r="G80" s="2">
        <f>IFERROR(__xludf.DUMMYFUNCTION("""COMPUTED_VALUE"""),"ไม่คงตัวต่อกรดเช่นเดียวกับยา A")</f>
        <v/>
      </c>
      <c r="H80" s="2">
        <f>IFERROR(__xludf.DUMMYFUNCTION("""COMPUTED_VALUE"""),"ไม่คงตัวต่อด่างเช่นเดียวกันกับยา A")</f>
        <v/>
      </c>
      <c r="I80" s="2">
        <f>IFERROR(__xludf.DUMMYFUNCTION("""COMPUTED_VALUE"""),"3")</f>
        <v/>
      </c>
      <c r="J80" s="2">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2" t="n"/>
      <c r="L80" s="2">
        <f>IFERROR(__xludf.DUMMYFUNCTION("""COMPUTED_VALUE"""),"SAR &amp; Drug Design")</f>
        <v/>
      </c>
      <c r="M80" s="2">
        <f>IFERROR(__xludf.DUMMYFUNCTION("""COMPUTED_VALUE"""),"Product")</f>
        <v/>
      </c>
      <c r="N80" s="2">
        <f>IFERROR(__xludf.DUMMYFUNCTION("""COMPUTED_VALUE"""),"ข้อ 14 Pharma Plus เล่มม่วง (เฉลยข้อ ค)")</f>
        <v/>
      </c>
      <c r="O80" s="2">
        <f>IFERROR(__xludf.DUMMYFUNCTION("""COMPUTED_VALUE"""),"Mock")</f>
        <v/>
      </c>
      <c r="P80" s="2">
        <f>IFERROR(__xludf.DUMMYFUNCTION("""COMPUTED_VALUE"""),"Pharma Plus เล่มม่วง")</f>
        <v/>
      </c>
    </row>
    <row r="81" ht="13.2" customHeight="1" s="49">
      <c r="A81" s="2">
        <f>IFERROR(__xludf.DUMMYFUNCTION("""COMPUTED_VALUE"""),"15")</f>
        <v/>
      </c>
      <c r="B81" s="2">
        <f>IFERROR(__xludf.DUMMYFUNCTION("""COMPUTED_VALUE"""),"จากสูตรโครงสร้างของยา doxorubicin โครงสร้างส่วนใดที่ออกฤทธิ์เป็น intercalating ของ DNA")</f>
        <v/>
      </c>
      <c r="C81" s="2" t="n"/>
      <c r="D81" s="2">
        <f>IFERROR(__xludf.DUMMYFUNCTION("""COMPUTED_VALUE"""),"Anthracycline ring")</f>
        <v/>
      </c>
      <c r="E81" s="2">
        <f>IFERROR(__xludf.DUMMYFUNCTION("""COMPUTED_VALUE"""),"- NH2 group")</f>
        <v/>
      </c>
      <c r="F81" s="2">
        <f>IFERROR(__xludf.DUMMYFUNCTION("""COMPUTED_VALUE"""),"Methoxy")</f>
        <v/>
      </c>
      <c r="G81" s="2">
        <f>IFERROR(__xludf.DUMMYFUNCTION("""COMPUTED_VALUE"""),"Hydroxyl")</f>
        <v/>
      </c>
      <c r="H81" s="2">
        <f>IFERROR(__xludf.DUMMYFUNCTION("""COMPUTED_VALUE"""),"น้ำตาล glycoside")</f>
        <v/>
      </c>
      <c r="I81" s="2">
        <f>IFERROR(__xludf.DUMMYFUNCTION("""COMPUTED_VALUE"""),"1")</f>
        <v/>
      </c>
      <c r="J81" s="2">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2" t="n"/>
      <c r="L81" s="2">
        <f>IFERROR(__xludf.DUMMYFUNCTION("""COMPUTED_VALUE"""),"SAR &amp; Drug Design")</f>
        <v/>
      </c>
      <c r="M81" s="2">
        <f>IFERROR(__xludf.DUMMYFUNCTION("""COMPUTED_VALUE"""),"Product")</f>
        <v/>
      </c>
      <c r="N81" s="2">
        <f>IFERROR(__xludf.DUMMYFUNCTION("""COMPUTED_VALUE"""),"ข้อ 15 Pharma Plus เล่มม่วง (เฉลยข้อ ก)")</f>
        <v/>
      </c>
      <c r="O81" s="2">
        <f>IFERROR(__xludf.DUMMYFUNCTION("""COMPUTED_VALUE"""),"Mock")</f>
        <v/>
      </c>
      <c r="P81" s="2">
        <f>IFERROR(__xludf.DUMMYFUNCTION("""COMPUTED_VALUE"""),"Pharma Plus เล่มม่วง")</f>
        <v/>
      </c>
    </row>
    <row r="82" ht="13.2" customHeight="1" s="49">
      <c r="A82" s="2">
        <f>IFERROR(__xludf.DUMMYFUNCTION("""COMPUTED_VALUE"""),"16")</f>
        <v/>
      </c>
      <c r="B82" s="2">
        <f>IFERROR(__xludf.DUMMYFUNCTION("""COMPUTED_VALUE"""),"โครงสร้างนี้ เรียกว่า อะไร")</f>
        <v/>
      </c>
      <c r="C82" s="2" t="n"/>
      <c r="D82" s="2">
        <f>IFERROR(__xludf.DUMMYFUNCTION("""COMPUTED_VALUE"""),"Nucleotide ของ Purine")</f>
        <v/>
      </c>
      <c r="E82" s="2">
        <f>IFERROR(__xludf.DUMMYFUNCTION("""COMPUTED_VALUE"""),"Nucleotide ของ Pyridine")</f>
        <v/>
      </c>
      <c r="F82" s="2">
        <f>IFERROR(__xludf.DUMMYFUNCTION("""COMPUTED_VALUE"""),"Nucleoside ของ Purine")</f>
        <v/>
      </c>
      <c r="G82" s="2">
        <f>IFERROR(__xludf.DUMMYFUNCTION("""COMPUTED_VALUE"""),"Nucleoside ของ Pyridine")</f>
        <v/>
      </c>
      <c r="H82" s="2">
        <f>IFERROR(__xludf.DUMMYFUNCTION("""COMPUTED_VALUE"""),"ไม่มีข้อใดถูกต้องการ")</f>
        <v/>
      </c>
      <c r="I82" s="2">
        <f>IFERROR(__xludf.DUMMYFUNCTION("""COMPUTED_VALUE"""),"5")</f>
        <v/>
      </c>
      <c r="J82" s="2">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2" t="n"/>
      <c r="L82" s="2">
        <f>IFERROR(__xludf.DUMMYFUNCTION("""COMPUTED_VALUE"""),"SAR &amp; Drug Design")</f>
        <v/>
      </c>
      <c r="M82" s="2">
        <f>IFERROR(__xludf.DUMMYFUNCTION("""COMPUTED_VALUE"""),"Product")</f>
        <v/>
      </c>
      <c r="N82" s="2">
        <f>IFERROR(__xludf.DUMMYFUNCTION("""COMPUTED_VALUE"""),"ข้อ 16 Pharma Plus เล่มม่วง (เฉลยข้อ จ)")</f>
        <v/>
      </c>
      <c r="O82" s="2">
        <f>IFERROR(__xludf.DUMMYFUNCTION("""COMPUTED_VALUE"""),"Mock")</f>
        <v/>
      </c>
      <c r="P82" s="2">
        <f>IFERROR(__xludf.DUMMYFUNCTION("""COMPUTED_VALUE"""),"Pharma Plus เล่มม่วง")</f>
        <v/>
      </c>
    </row>
    <row r="83" ht="13.2" customHeight="1" s="49">
      <c r="A83" s="2">
        <f>IFERROR(__xludf.DUMMYFUNCTION("""COMPUTED_VALUE"""),"17")</f>
        <v/>
      </c>
      <c r="B83" s="2">
        <f>IFERROR(__xludf.DUMMYFUNCTION("""COMPUTED_VALUE"""),"ข้อใดกล่าวถูกต้องเกี่ยวกับการพัฒนาโครงสร้างดังแสดงด้านล่าง")</f>
        <v/>
      </c>
      <c r="C83" s="2" t="n"/>
      <c r="D83" s="2">
        <f>IFERROR(__xludf.DUMMYFUNCTION("""COMPUTED_VALUE"""),"เปลี่ยนตัวออกฤทธิ์เป็น Ligand เพื่อช่วยลดอาการไม่พึงประสงค์จากยา")</f>
        <v/>
      </c>
      <c r="E83" s="2">
        <f>IFERROR(__xludf.DUMMYFUNCTION("""COMPUTED_VALUE"""),"ทำให้โครงสร้างใหญ่ขึ้นเพื่อลดการโดนทำลายหมู่สำคัญในการออกฤทธิ์")</f>
        <v/>
      </c>
      <c r="F83" s="2">
        <f>IFERROR(__xludf.DUMMYFUNCTION("""COMPUTED_VALUE"""),"เพิ่ม Lipophilicity ของยาเพื่อเพิ่มการเข้าสู่เซลล์เป้าหมาย")</f>
        <v/>
      </c>
      <c r="G83" s="2">
        <f>IFERROR(__xludf.DUMMYFUNCTION("""COMPUTED_VALUE"""),"ข้อ ก ข ถูก")</f>
        <v/>
      </c>
      <c r="H83" s="2">
        <f>IFERROR(__xludf.DUMMYFUNCTION("""COMPUTED_VALUE"""),"ข้อ ก ข ค ถูก")</f>
        <v/>
      </c>
      <c r="I83" s="2">
        <f>IFERROR(__xludf.DUMMYFUNCTION("""COMPUTED_VALUE"""),"4")</f>
        <v/>
      </c>
      <c r="J83" s="2">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2" t="n"/>
      <c r="L83" s="2">
        <f>IFERROR(__xludf.DUMMYFUNCTION("""COMPUTED_VALUE"""),"SAR &amp; Drug Design")</f>
        <v/>
      </c>
      <c r="M83" s="2">
        <f>IFERROR(__xludf.DUMMYFUNCTION("""COMPUTED_VALUE"""),"Product")</f>
        <v/>
      </c>
      <c r="N83" s="2">
        <f>IFERROR(__xludf.DUMMYFUNCTION("""COMPUTED_VALUE"""),"ข้อ 17 Pharma Plus เล่มม่วง (เฉลยข้อ ง)")</f>
        <v/>
      </c>
      <c r="O83" s="2">
        <f>IFERROR(__xludf.DUMMYFUNCTION("""COMPUTED_VALUE"""),"Mock")</f>
        <v/>
      </c>
      <c r="P83" s="2">
        <f>IFERROR(__xludf.DUMMYFUNCTION("""COMPUTED_VALUE"""),"Pharma Plus เล่มม่วง")</f>
        <v/>
      </c>
    </row>
    <row r="84" ht="13.2" customHeight="1" s="49">
      <c r="A84" s="2">
        <f>IFERROR(__xludf.DUMMYFUNCTION("""COMPUTED_VALUE"""),"18")</f>
        <v/>
      </c>
      <c r="B84" s="2">
        <f>IFERROR(__xludf.DUMMYFUNCTION("""COMPUTED_VALUE"""),"จากโครงสร้างของยาต่อไปนี้ ยาในข้อใดที่มีคุณสมบัติทนต่อ catechol-O-methyltransferase")</f>
        <v/>
      </c>
      <c r="C84" s="2" t="n"/>
      <c r="D84" s="2">
        <f>IFERROR(__xludf.DUMMYFUNCTION("""COMPUTED_VALUE"""),"Prodrug Design via Esterification for Oral Bioavailability")</f>
        <v/>
      </c>
      <c r="E84" s="2">
        <f>IFERROR(__xludf.DUMMYFUNCTION("""COMPUTED_VALUE"""),"Cytochrome P450 CYP3A4 Phase I Oxidation")</f>
        <v/>
      </c>
      <c r="F84" s="2">
        <f>IFERROR(__xludf.DUMMYFUNCTION("""COMPUTED_VALUE"""),"Phase II Glucuronidation Conjugation by UGT")</f>
        <v/>
      </c>
      <c r="G84" s="2">
        <f>IFERROR(__xludf.DUMMYFUNCTION("""COMPUTED_VALUE"""),"Log P Lipophilicity Partition Coefficient optimization")</f>
        <v/>
      </c>
      <c r="H84" s="2">
        <f>IFERROR(__xludf.DUMMYFUNCTION("""COMPUTED_VALUE"""),"Chiral Eutomer vs Distomer Pharmacological activity")</f>
        <v/>
      </c>
      <c r="I84" s="2">
        <f>IFERROR(__xludf.DUMMYFUNCTION("""COMPUTED_VALUE"""),"1")</f>
        <v/>
      </c>
      <c r="J84" s="2">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2" t="n"/>
      <c r="L84" s="2">
        <f>IFERROR(__xludf.DUMMYFUNCTION("""COMPUTED_VALUE"""),"SAR &amp; Drug Design")</f>
        <v/>
      </c>
      <c r="M84" s="2">
        <f>IFERROR(__xludf.DUMMYFUNCTION("""COMPUTED_VALUE"""),"Product")</f>
        <v/>
      </c>
      <c r="N84" s="2">
        <f>IFERROR(__xludf.DUMMYFUNCTION("""COMPUTED_VALUE"""),"ข้อ 18 Pharma Plus เล่มม่วง (เฉลยข้อ ก)")</f>
        <v/>
      </c>
      <c r="O84" s="2">
        <f>IFERROR(__xludf.DUMMYFUNCTION("""COMPUTED_VALUE"""),"Mock")</f>
        <v/>
      </c>
      <c r="P84" s="2">
        <f>IFERROR(__xludf.DUMMYFUNCTION("""COMPUTED_VALUE"""),"Pharma Plus เล่มม่วง")</f>
        <v/>
      </c>
    </row>
    <row r="85" ht="13.2" customHeight="1" s="49">
      <c r="A85" s="2">
        <f>IFERROR(__xludf.DUMMYFUNCTION("""COMPUTED_VALUE"""),"19")</f>
        <v/>
      </c>
      <c r="B85" s="2">
        <f>IFERROR(__xludf.DUMMYFUNCTION("""COMPUTED_VALUE"""),"จากโครงสร้าง ข้อใดไม่ถูกต้อง")</f>
        <v/>
      </c>
      <c r="C85" s="2" t="n"/>
      <c r="D85" s="2">
        <f>IFERROR(__xludf.DUMMYFUNCTION("""COMPUTED_VALUE"""),"(S)-form มีฤทธิ์มากกว่า (R)-form")</f>
        <v/>
      </c>
      <c r="E85" s="2">
        <f>IFERROR(__xludf.DUMMYFUNCTION("""COMPUTED_VALUE"""),"อยู่ในกลุ่ม coumarin")</f>
        <v/>
      </c>
      <c r="F85" s="2">
        <f>IFERROR(__xludf.DUMMYFUNCTION("""COMPUTED_VALUE"""),"Cyclic hemiketal เป็น active form")</f>
        <v/>
      </c>
      <c r="G85" s="2">
        <f>IFERROR(__xludf.DUMMYFUNCTION("""COMPUTED_VALUE"""),"ออกฤทธิ์ direct acting anticoagulants")</f>
        <v/>
      </c>
      <c r="H85" s="2">
        <f>IFERROR(__xludf.DUMMYFUNCTION("""COMPUTED_VALUE"""),"ไม่มีข้อใดไม่ถูกต้อง")</f>
        <v/>
      </c>
      <c r="I85" s="2">
        <f>IFERROR(__xludf.DUMMYFUNCTION("""COMPUTED_VALUE"""),"4")</f>
        <v/>
      </c>
      <c r="J85" s="2">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2" t="n"/>
      <c r="L85" s="2">
        <f>IFERROR(__xludf.DUMMYFUNCTION("""COMPUTED_VALUE"""),"SAR &amp; Drug Design")</f>
        <v/>
      </c>
      <c r="M85" s="2">
        <f>IFERROR(__xludf.DUMMYFUNCTION("""COMPUTED_VALUE"""),"Product")</f>
        <v/>
      </c>
      <c r="N85" s="2">
        <f>IFERROR(__xludf.DUMMYFUNCTION("""COMPUTED_VALUE"""),"ข้อ 19 Pharma Plus เล่มม่วง (เฉลยข้อ ง)")</f>
        <v/>
      </c>
      <c r="O85" s="2">
        <f>IFERROR(__xludf.DUMMYFUNCTION("""COMPUTED_VALUE"""),"Mock")</f>
        <v/>
      </c>
      <c r="P85" s="2">
        <f>IFERROR(__xludf.DUMMYFUNCTION("""COMPUTED_VALUE"""),"Pharma Plus เล่มม่วง")</f>
        <v/>
      </c>
    </row>
    <row r="86" ht="13.2" customHeight="1" s="49">
      <c r="A86" s="2">
        <f>IFERROR(__xludf.DUMMYFUNCTION("""COMPUTED_VALUE"""),"20")</f>
        <v/>
      </c>
      <c r="B86" s="2">
        <f>IFERROR(__xludf.DUMMYFUNCTION("""COMPUTED_VALUE"""),"จากโครงสร้าง ข้อความใดต่อไปนี้ไม่ถูกต้อง")</f>
        <v/>
      </c>
      <c r="C86" s="2" t="n"/>
      <c r="D86" s="2">
        <f>IFERROR(__xludf.DUMMYFUNCTION("""COMPUTED_VALUE"""),"ตัวอย่างยาในกลุ่มนี้ คือ Digoxin")</f>
        <v/>
      </c>
      <c r="E86" s="2">
        <f>IFERROR(__xludf.DUMMYFUNCTION("""COMPUTED_VALUE"""),"Lactone ring เป็นประเภท bufadienolide")</f>
        <v/>
      </c>
      <c r="F86" s="2">
        <f>IFERROR(__xludf.DUMMYFUNCTION("""COMPUTED_VALUE"""),"ออกฤทธิ์ยับยั้ง Na-K ATPase")</f>
        <v/>
      </c>
      <c r="G86" s="2">
        <f>IFERROR(__xludf.DUMMYFUNCTION("""COMPUTED_VALUE"""),"น้ำตาลจะเข้ามาเกาะที่ตำแหน่ง C3")</f>
        <v/>
      </c>
      <c r="H86" s="2">
        <f>IFERROR(__xludf.DUMMYFUNCTION("""COMPUTED_VALUE"""),"ไม่มีข้อใดถูก")</f>
        <v/>
      </c>
      <c r="I86" s="2">
        <f>IFERROR(__xludf.DUMMYFUNCTION("""COMPUTED_VALUE"""),"2")</f>
        <v/>
      </c>
      <c r="J86" s="2">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2" t="n"/>
      <c r="L86" s="2">
        <f>IFERROR(__xludf.DUMMYFUNCTION("""COMPUTED_VALUE"""),"SAR &amp; Drug Design")</f>
        <v/>
      </c>
      <c r="M86" s="2">
        <f>IFERROR(__xludf.DUMMYFUNCTION("""COMPUTED_VALUE"""),"Product")</f>
        <v/>
      </c>
      <c r="N86" s="2">
        <f>IFERROR(__xludf.DUMMYFUNCTION("""COMPUTED_VALUE"""),"ข้อ 20 Pharma Plus เล่มม่วง (เฉลยข้อ ข)")</f>
        <v/>
      </c>
      <c r="O86" s="2">
        <f>IFERROR(__xludf.DUMMYFUNCTION("""COMPUTED_VALUE"""),"Mock")</f>
        <v/>
      </c>
      <c r="P86" s="2">
        <f>IFERROR(__xludf.DUMMYFUNCTION("""COMPUTED_VALUE"""),"Pharma Plus เล่มม่วง")</f>
        <v/>
      </c>
    </row>
    <row r="87" ht="13.2" customHeight="1" s="49">
      <c r="A87" s="2">
        <f>IFERROR(__xludf.DUMMYFUNCTION("""COMPUTED_VALUE"""),"21")</f>
        <v/>
      </c>
      <c r="B87" s="2">
        <f>IFERROR(__xludf.DUMMYFUNCTION("""COMPUTED_VALUE"""),"โครงสร้างใดต่อไปนี้เป็น Ester of Amino Alcohol")</f>
        <v/>
      </c>
      <c r="C87" s="2" t="n"/>
      <c r="D87" s="2">
        <f>IFERROR(__xludf.DUMMYFUNCTION("""COMPUTED_VALUE"""),"Cytochrome P450 CYP3A4 Phase I Oxidation")</f>
        <v/>
      </c>
      <c r="E87" s="2">
        <f>IFERROR(__xludf.DUMMYFUNCTION("""COMPUTED_VALUE"""),"Phase II Glucuronidation Conjugation by UGT")</f>
        <v/>
      </c>
      <c r="F87" s="2">
        <f>IFERROR(__xludf.DUMMYFUNCTION("""COMPUTED_VALUE"""),"Log P Lipophilicity Partition Coefficient optimization")</f>
        <v/>
      </c>
      <c r="G87" s="2">
        <f>IFERROR(__xludf.DUMMYFUNCTION("""COMPUTED_VALUE"""),"Chiral Eutomer vs Distomer Pharmacological activity")</f>
        <v/>
      </c>
      <c r="H87" s="2">
        <f>IFERROR(__xludf.DUMMYFUNCTION("""COMPUTED_VALUE"""),"Covalent Irreversible Enzyme Inhibition")</f>
        <v/>
      </c>
      <c r="I87" s="2">
        <f>IFERROR(__xludf.DUMMYFUNCTION("""COMPUTED_VALUE"""),"5")</f>
        <v/>
      </c>
      <c r="J87" s="2">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2" t="n"/>
      <c r="L87" s="2">
        <f>IFERROR(__xludf.DUMMYFUNCTION("""COMPUTED_VALUE"""),"SAR &amp; Drug Design")</f>
        <v/>
      </c>
      <c r="M87" s="2">
        <f>IFERROR(__xludf.DUMMYFUNCTION("""COMPUTED_VALUE"""),"Product")</f>
        <v/>
      </c>
      <c r="N87" s="2">
        <f>IFERROR(__xludf.DUMMYFUNCTION("""COMPUTED_VALUE"""),"ข้อ 21 Pharma Plus เล่มม่วง (เฉลยข้อ จ)")</f>
        <v/>
      </c>
      <c r="O87" s="2">
        <f>IFERROR(__xludf.DUMMYFUNCTION("""COMPUTED_VALUE"""),"Mock")</f>
        <v/>
      </c>
      <c r="P87" s="2">
        <f>IFERROR(__xludf.DUMMYFUNCTION("""COMPUTED_VALUE"""),"Pharma Plus เล่มม่วง")</f>
        <v/>
      </c>
    </row>
    <row r="88" ht="13.2" customHeight="1" s="49">
      <c r="A88" s="2">
        <f>IFERROR(__xludf.DUMMYFUNCTION("""COMPUTED_VALUE"""),"22")</f>
        <v/>
      </c>
      <c r="B88" s="2">
        <f>IFERROR(__xludf.DUMMYFUNCTION("""COMPUTED_VALUE"""),"N3 หรือ Azido group จากสูตรโครงสร้างของ AZT มีผลให้เกิดสิ่งใด")</f>
        <v/>
      </c>
      <c r="C88" s="2" t="n"/>
      <c r="D88" s="2">
        <f>IFERROR(__xludf.DUMMYFUNCTION("""COMPUTED_VALUE"""),"เพิ่มความสามารถในการจับกับโปรตีน albumin")</f>
        <v/>
      </c>
      <c r="E88" s="2">
        <f>IFERROR(__xludf.DUMMYFUNCTION("""COMPUTED_VALUE"""),"ช่วยเพิ่มการดูดซึมของยา")</f>
        <v/>
      </c>
      <c r="F88" s="2">
        <f>IFERROR(__xludf.DUMMYFUNCTION("""COMPUTED_VALUE"""),"เพิ่มค่าครึ่งชีวิตให้ยาวขึ้น")</f>
        <v/>
      </c>
      <c r="G88" s="2">
        <f>IFERROR(__xludf.DUMMYFUNCTION("""COMPUTED_VALUE"""),"เพิ่มการออกฤทธิ์")</f>
        <v/>
      </c>
      <c r="H88" s="2">
        <f>IFERROR(__xludf.DUMMYFUNCTION("""COMPUTED_VALUE"""),"มีผลต่อการตั้งสูตรตำรับ")</f>
        <v/>
      </c>
      <c r="I88" s="2">
        <f>IFERROR(__xludf.DUMMYFUNCTION("""COMPUTED_VALUE"""),"4")</f>
        <v/>
      </c>
      <c r="J88" s="2">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2" t="n"/>
      <c r="L88" s="2">
        <f>IFERROR(__xludf.DUMMYFUNCTION("""COMPUTED_VALUE"""),"SAR &amp; Drug Design")</f>
        <v/>
      </c>
      <c r="M88" s="2">
        <f>IFERROR(__xludf.DUMMYFUNCTION("""COMPUTED_VALUE"""),"Product")</f>
        <v/>
      </c>
      <c r="N88" s="2">
        <f>IFERROR(__xludf.DUMMYFUNCTION("""COMPUTED_VALUE"""),"ข้อ 22 Pharma Plus เล่มม่วง (เฉลยข้อ ง)")</f>
        <v/>
      </c>
      <c r="O88" s="2">
        <f>IFERROR(__xludf.DUMMYFUNCTION("""COMPUTED_VALUE"""),"Mock")</f>
        <v/>
      </c>
      <c r="P88" s="2">
        <f>IFERROR(__xludf.DUMMYFUNCTION("""COMPUTED_VALUE"""),"Pharma Plus เล่มม่วง")</f>
        <v/>
      </c>
    </row>
    <row r="89" ht="13.2" customHeight="1" s="49">
      <c r="A89" s="2">
        <f>IFERROR(__xludf.DUMMYFUNCTION("""COMPUTED_VALUE"""),"23")</f>
        <v/>
      </c>
      <c r="B89" s="2">
        <f>IFERROR(__xludf.DUMMYFUNCTION("""COMPUTED_VALUE"""),"โครงสร้างต่อไปนี้หมายถึงยาชนิดใด")</f>
        <v/>
      </c>
      <c r="C89" s="2" t="n"/>
      <c r="D89" s="2">
        <f>IFERROR(__xludf.DUMMYFUNCTION("""COMPUTED_VALUE"""),"Zidovudine")</f>
        <v/>
      </c>
      <c r="E89" s="2">
        <f>IFERROR(__xludf.DUMMYFUNCTION("""COMPUTED_VALUE"""),"Cotrimoxazole")</f>
        <v/>
      </c>
      <c r="F89" s="2">
        <f>IFERROR(__xludf.DUMMYFUNCTION("""COMPUTED_VALUE"""),"Ceftriaxone")</f>
        <v/>
      </c>
      <c r="G89" s="2">
        <f>IFERROR(__xludf.DUMMYFUNCTION("""COMPUTED_VALUE"""),"Acyclovir")</f>
        <v/>
      </c>
      <c r="H89" s="2">
        <f>IFERROR(__xludf.DUMMYFUNCTION("""COMPUTED_VALUE"""),"Ciprofloxacin")</f>
        <v/>
      </c>
      <c r="I89" s="2">
        <f>IFERROR(__xludf.DUMMYFUNCTION("""COMPUTED_VALUE"""),"4")</f>
        <v/>
      </c>
      <c r="J89" s="2">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2" t="n"/>
      <c r="L89" s="2">
        <f>IFERROR(__xludf.DUMMYFUNCTION("""COMPUTED_VALUE"""),"SAR &amp; Drug Design")</f>
        <v/>
      </c>
      <c r="M89" s="2">
        <f>IFERROR(__xludf.DUMMYFUNCTION("""COMPUTED_VALUE"""),"Product")</f>
        <v/>
      </c>
      <c r="N89" s="2">
        <f>IFERROR(__xludf.DUMMYFUNCTION("""COMPUTED_VALUE"""),"ข้อ 23 Pharma Plus เล่มม่วง (เฉลยข้อ ง)")</f>
        <v/>
      </c>
      <c r="O89" s="2">
        <f>IFERROR(__xludf.DUMMYFUNCTION("""COMPUTED_VALUE"""),"Mock")</f>
        <v/>
      </c>
      <c r="P89" s="2">
        <f>IFERROR(__xludf.DUMMYFUNCTION("""COMPUTED_VALUE"""),"Pharma Plus เล่มม่วง")</f>
        <v/>
      </c>
    </row>
    <row r="90" ht="13.2" customHeight="1" s="49">
      <c r="A90" s="2">
        <f>IFERROR(__xludf.DUMMYFUNCTION("""COMPUTED_VALUE"""),"24")</f>
        <v/>
      </c>
      <c r="B90" s="2">
        <f>IFERROR(__xludf.DUMMYFUNCTION("""COMPUTED_VALUE"""),"ยาปฏิชีวนะข้อใดที่ไม่มีโครงสร้าง B-lactam ring")</f>
        <v/>
      </c>
      <c r="C90" s="2" t="n"/>
      <c r="D90" s="2">
        <f>IFERROR(__xludf.DUMMYFUNCTION("""COMPUTED_VALUE"""),"Ciprofloxacin")</f>
        <v/>
      </c>
      <c r="E90" s="2">
        <f>IFERROR(__xludf.DUMMYFUNCTION("""COMPUTED_VALUE"""),"Amoxycillin")</f>
        <v/>
      </c>
      <c r="F90" s="2">
        <f>IFERROR(__xludf.DUMMYFUNCTION("""COMPUTED_VALUE"""),"Imipenam")</f>
        <v/>
      </c>
      <c r="G90" s="2">
        <f>IFERROR(__xludf.DUMMYFUNCTION("""COMPUTED_VALUE"""),"Cloxacillin")</f>
        <v/>
      </c>
      <c r="H90" s="2">
        <f>IFERROR(__xludf.DUMMYFUNCTION("""COMPUTED_VALUE"""),"Cefazolin")</f>
        <v/>
      </c>
      <c r="I90" s="2">
        <f>IFERROR(__xludf.DUMMYFUNCTION("""COMPUTED_VALUE"""),"1")</f>
        <v/>
      </c>
      <c r="J90" s="2">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2" t="n"/>
      <c r="L90" s="2">
        <f>IFERROR(__xludf.DUMMYFUNCTION("""COMPUTED_VALUE"""),"SAR &amp; Drug Design")</f>
        <v/>
      </c>
      <c r="M90" s="2">
        <f>IFERROR(__xludf.DUMMYFUNCTION("""COMPUTED_VALUE"""),"Product")</f>
        <v/>
      </c>
      <c r="N90" s="2">
        <f>IFERROR(__xludf.DUMMYFUNCTION("""COMPUTED_VALUE"""),"ข้อ 24 Pharma Plus เล่มม่วง (เฉลยข้อ ก)")</f>
        <v/>
      </c>
      <c r="O90" s="2">
        <f>IFERROR(__xludf.DUMMYFUNCTION("""COMPUTED_VALUE"""),"Mock")</f>
        <v/>
      </c>
      <c r="P90" s="2">
        <f>IFERROR(__xludf.DUMMYFUNCTION("""COMPUTED_VALUE"""),"Pharma Plus เล่มม่วง")</f>
        <v/>
      </c>
    </row>
    <row r="91" ht="13.2" customHeight="1" s="49">
      <c r="A91" s="2">
        <f>IFERROR(__xludf.DUMMYFUNCTION("""COMPUTED_VALUE"""),"25")</f>
        <v/>
      </c>
      <c r="B91" s="2">
        <f>IFERROR(__xludf.DUMMYFUNCTION("""COMPUTED_VALUE"""),"จากสูตรโครงสร้างของยา amoxacillin นี้ตำแหน่งไหนที่ถูกทำลายได้ง่ายและมีผลต่อการดื้อยา")</f>
        <v/>
      </c>
      <c r="C91" s="2" t="n"/>
      <c r="D91" s="2">
        <f>IFERROR(__xludf.DUMMYFUNCTION("""COMPUTED_VALUE"""),"Covalent Irreversible Enzyme Inhibition")</f>
        <v/>
      </c>
      <c r="E91" s="2">
        <f>IFERROR(__xludf.DUMMYFUNCTION("""COMPUTED_VALUE"""),"Structure-Activity Relationship (SAR) Optimization")</f>
        <v/>
      </c>
      <c r="F91" s="2">
        <f>IFERROR(__xludf.DUMMYFUNCTION("""COMPUTED_VALUE"""),"Bioisosteric Replacement (Carboxylic acid → Tetrazole)")</f>
        <v/>
      </c>
      <c r="G91" s="2">
        <f>IFERROR(__xludf.DUMMYFUNCTION("""COMPUTED_VALUE"""),"Prodrug Design via Esterification for Oral Bioavailability")</f>
        <v/>
      </c>
      <c r="H91" s="2">
        <f>IFERROR(__xludf.DUMMYFUNCTION("""COMPUTED_VALUE"""),"Cytochrome P450 CYP3A4 Phase I Oxidation")</f>
        <v/>
      </c>
      <c r="I91" s="2">
        <f>IFERROR(__xludf.DUMMYFUNCTION("""COMPUTED_VALUE"""),"3")</f>
        <v/>
      </c>
      <c r="J91" s="2">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2" t="n"/>
      <c r="L91" s="2">
        <f>IFERROR(__xludf.DUMMYFUNCTION("""COMPUTED_VALUE"""),"SAR &amp; Drug Design")</f>
        <v/>
      </c>
      <c r="M91" s="2">
        <f>IFERROR(__xludf.DUMMYFUNCTION("""COMPUTED_VALUE"""),"Product")</f>
        <v/>
      </c>
      <c r="N91" s="2">
        <f>IFERROR(__xludf.DUMMYFUNCTION("""COMPUTED_VALUE"""),"ข้อ 25 Pharma Plus เล่มม่วง (เฉลยข้อ ค)")</f>
        <v/>
      </c>
      <c r="O91" s="2">
        <f>IFERROR(__xludf.DUMMYFUNCTION("""COMPUTED_VALUE"""),"Mock")</f>
        <v/>
      </c>
      <c r="P91" s="2">
        <f>IFERROR(__xludf.DUMMYFUNCTION("""COMPUTED_VALUE"""),"Pharma Plus เล่มม่วง")</f>
        <v/>
      </c>
    </row>
    <row r="92" ht="13.2" customHeight="1" s="49">
      <c r="A92" s="2">
        <f>IFERROR(__xludf.DUMMYFUNCTION("""COMPUTED_VALUE"""),"26")</f>
        <v/>
      </c>
      <c r="B92" s="2">
        <f>IFERROR(__xludf.DUMMYFUNCTION("""COMPUTED_VALUE"""),"ข้อใดผิดเกี่ยวกับ penicillin")</f>
        <v/>
      </c>
      <c r="C92" s="2" t="n"/>
      <c r="D92" s="2">
        <f>IFERROR(__xludf.DUMMYFUNCTION("""COMPUTED_VALUE"""),"Pen G มี chain เป็น Benzoyl group")</f>
        <v/>
      </c>
      <c r="E92" s="2">
        <f>IFERROR(__xludf.DUMMYFUNCTION("""COMPUTED_VALUE"""),"Pen G potassium ละลายได้ดีกว่า Pen G")</f>
        <v/>
      </c>
      <c r="F92" s="2">
        <f>IFERROR(__xludf.DUMMYFUNCTION("""COMPUTED_VALUE"""),"Benzathine Pen G เป็นเกลือของ Pen G")</f>
        <v/>
      </c>
      <c r="G92" s="2">
        <f>IFERROR(__xludf.DUMMYFUNCTION("""COMPUTED_VALUE"""),"B-lactamase ถูก Hydrolyze ด้วยกรด")</f>
        <v/>
      </c>
      <c r="H92" s="2">
        <f>IFERROR(__xludf.DUMMYFUNCTION("""COMPUTED_VALUE"""),"Procaine penicillin G ถูกดูดได้ดีในทางเดินอาหาร")</f>
        <v/>
      </c>
      <c r="I92" s="2">
        <f>IFERROR(__xludf.DUMMYFUNCTION("""COMPUTED_VALUE"""),"5")</f>
        <v/>
      </c>
      <c r="J92" s="2">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2" t="n"/>
      <c r="L92" s="2">
        <f>IFERROR(__xludf.DUMMYFUNCTION("""COMPUTED_VALUE"""),"SAR &amp; Drug Design")</f>
        <v/>
      </c>
      <c r="M92" s="2">
        <f>IFERROR(__xludf.DUMMYFUNCTION("""COMPUTED_VALUE"""),"Product")</f>
        <v/>
      </c>
      <c r="N92" s="2">
        <f>IFERROR(__xludf.DUMMYFUNCTION("""COMPUTED_VALUE"""),"ข้อ 26 Pharma Plus เล่มม่วง (เฉลยข้อ จ)")</f>
        <v/>
      </c>
      <c r="O92" s="2">
        <f>IFERROR(__xludf.DUMMYFUNCTION("""COMPUTED_VALUE"""),"Mock")</f>
        <v/>
      </c>
      <c r="P92" s="2">
        <f>IFERROR(__xludf.DUMMYFUNCTION("""COMPUTED_VALUE"""),"Pharma Plus เล่มม่วง")</f>
        <v/>
      </c>
    </row>
    <row r="93" ht="13.2" customHeight="1" s="49">
      <c r="A93" s="2">
        <f>IFERROR(__xludf.DUMMYFUNCTION("""COMPUTED_VALUE"""),"27")</f>
        <v/>
      </c>
      <c r="B93" s="2">
        <f>IFERROR(__xludf.DUMMYFUNCTION("""COMPUTED_VALUE"""),"Doxycycline มีสูตรโครงสร้างรูป เป็นยากลุ่มเดียวกันกับยาใด")</f>
        <v/>
      </c>
      <c r="C93" s="2" t="n"/>
      <c r="D93" s="2">
        <f>IFERROR(__xludf.DUMMYFUNCTION("""COMPUTED_VALUE"""),"Tetracycline")</f>
        <v/>
      </c>
      <c r="E93" s="2">
        <f>IFERROR(__xludf.DUMMYFUNCTION("""COMPUTED_VALUE"""),"Penicillin")</f>
        <v/>
      </c>
      <c r="F93" s="2">
        <f>IFERROR(__xludf.DUMMYFUNCTION("""COMPUTED_VALUE"""),"Cotrimazole")</f>
        <v/>
      </c>
      <c r="G93" s="2">
        <f>IFERROR(__xludf.DUMMYFUNCTION("""COMPUTED_VALUE"""),"Sulfamethoxazole")</f>
        <v/>
      </c>
      <c r="H93" s="2">
        <f>IFERROR(__xludf.DUMMYFUNCTION("""COMPUTED_VALUE"""),"Amoxicillin")</f>
        <v/>
      </c>
      <c r="I93" s="2">
        <f>IFERROR(__xludf.DUMMYFUNCTION("""COMPUTED_VALUE"""),"1")</f>
        <v/>
      </c>
      <c r="J93" s="2">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2" t="n"/>
      <c r="L93" s="2">
        <f>IFERROR(__xludf.DUMMYFUNCTION("""COMPUTED_VALUE"""),"SAR &amp; Drug Design")</f>
        <v/>
      </c>
      <c r="M93" s="2">
        <f>IFERROR(__xludf.DUMMYFUNCTION("""COMPUTED_VALUE"""),"Product")</f>
        <v/>
      </c>
      <c r="N93" s="2">
        <f>IFERROR(__xludf.DUMMYFUNCTION("""COMPUTED_VALUE"""),"ข้อ 27 Pharma Plus เล่มม่วง (เฉลยข้อ ก)")</f>
        <v/>
      </c>
      <c r="O93" s="2">
        <f>IFERROR(__xludf.DUMMYFUNCTION("""COMPUTED_VALUE"""),"Mock")</f>
        <v/>
      </c>
      <c r="P93" s="2">
        <f>IFERROR(__xludf.DUMMYFUNCTION("""COMPUTED_VALUE"""),"Pharma Plus เล่มม่วง")</f>
        <v/>
      </c>
    </row>
    <row r="94" ht="13.2" customHeight="1" s="49">
      <c r="A94" s="2">
        <f>IFERROR(__xludf.DUMMYFUNCTION("""COMPUTED_VALUE"""),"28")</f>
        <v/>
      </c>
      <c r="B94" s="2">
        <f>IFERROR(__xludf.DUMMYFUNCTION("""COMPUTED_VALUE"""),"เกี่ยวกับโครงสร้างของสารดังรูป ทุกข้อต่อไปนี้ถูกต้อง ยกเว้นข้อใด")</f>
        <v/>
      </c>
      <c r="C94" s="2" t="n"/>
      <c r="D94" s="2">
        <f>IFERROR(__xludf.DUMMYFUNCTION("""COMPUTED_VALUE"""),"เป็นสารในกลุ่ม 8-aminoquinoline")</f>
        <v/>
      </c>
      <c r="E94" s="2">
        <f>IFERROR(__xludf.DUMMYFUNCTION("""COMPUTED_VALUE"""),"ตัวอย่างยาในกลุ่มนี้ได้แก่ primaquine")</f>
        <v/>
      </c>
      <c r="F94" s="2">
        <f>IFERROR(__xludf.DUMMYFUNCTION("""COMPUTED_VALUE"""),"ถ้ามี Cl ที่ตำแหน่ง 7 จะทำให้ได้ฤทธิ์สูงสุด และมีพิษน้อย")</f>
        <v/>
      </c>
      <c r="G94" s="2">
        <f>IFERROR(__xludf.DUMMYFUNCTION("""COMPUTED_VALUE"""),"Dialkylamino alkylamine side chain จะให้ฤทธิ์สูงสุดเมื่อ n = 2, 5 หรือ 6")</f>
        <v/>
      </c>
      <c r="H94" s="2">
        <f>IFERROR(__xludf.DUMMYFUNCTION("""COMPUTED_VALUE"""),"Quinoline ring system และอนุพันธ์ให้ผลที่ดีกว่า acridine ring system")</f>
        <v/>
      </c>
      <c r="I94" s="2">
        <f>IFERROR(__xludf.DUMMYFUNCTION("""COMPUTED_VALUE"""),"4")</f>
        <v/>
      </c>
      <c r="J94" s="2">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2" t="n"/>
      <c r="L94" s="2">
        <f>IFERROR(__xludf.DUMMYFUNCTION("""COMPUTED_VALUE"""),"SAR &amp; Drug Design")</f>
        <v/>
      </c>
      <c r="M94" s="2">
        <f>IFERROR(__xludf.DUMMYFUNCTION("""COMPUTED_VALUE"""),"Product")</f>
        <v/>
      </c>
      <c r="N94" s="2">
        <f>IFERROR(__xludf.DUMMYFUNCTION("""COMPUTED_VALUE"""),"ข้อ 28 Pharma Plus เล่มม่วง (เฉลยข้อ ง)")</f>
        <v/>
      </c>
      <c r="O94" s="2">
        <f>IFERROR(__xludf.DUMMYFUNCTION("""COMPUTED_VALUE"""),"Mock")</f>
        <v/>
      </c>
      <c r="P94" s="2">
        <f>IFERROR(__xludf.DUMMYFUNCTION("""COMPUTED_VALUE"""),"Pharma Plus เล่มม่วง")</f>
        <v/>
      </c>
    </row>
    <row r="95" ht="13.2" customHeight="1" s="49">
      <c r="A95" s="2">
        <f>IFERROR(__xludf.DUMMYFUNCTION("""COMPUTED_VALUE"""),"29")</f>
        <v/>
      </c>
      <c r="B95" s="2">
        <f>IFERROR(__xludf.DUMMYFUNCTION("""COMPUTED_VALUE"""),"จากสูตรโครงสร้างของ folic acid ข้อใดกล่าวไม่ถูกต้อง")</f>
        <v/>
      </c>
      <c r="C95" s="2" t="n"/>
      <c r="D95" s="2">
        <f>IFERROR(__xludf.DUMMYFUNCTION("""COMPUTED_VALUE"""),"เป็น water soluble vitamin")</f>
        <v/>
      </c>
      <c r="E95" s="2">
        <f>IFERROR(__xludf.DUMMYFUNCTION("""COMPUTED_VALUE"""),"เรียกอีกอย่างหนึ่งว่า vitamin B9")</f>
        <v/>
      </c>
      <c r="F95" s="2">
        <f>IFERROR(__xludf.DUMMYFUNCTION("""COMPUTED_VALUE"""),"เกี่ยวข้องกับการสร้าง DNA และ RNA")</f>
        <v/>
      </c>
      <c r="G95" s="2">
        <f>IFERROR(__xludf.DUMMYFUNCTION("""COMPUTED_VALUE"""),"มนุษย์สามารถสังเคราะห์ folic acid ได้")</f>
        <v/>
      </c>
      <c r="H95" s="2">
        <f>IFERROR(__xludf.DUMMYFUNCTION("""COMPUTED_VALUE"""),"ใน IR chromatogram จะเห็น peak ที่ชัดเจน ที่ค่าความถี่ประมาณ 1,700 cm⁻¹")</f>
        <v/>
      </c>
      <c r="I95" s="2">
        <f>IFERROR(__xludf.DUMMYFUNCTION("""COMPUTED_VALUE"""),"4")</f>
        <v/>
      </c>
      <c r="J95" s="2">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2" t="n"/>
      <c r="L95" s="2">
        <f>IFERROR(__xludf.DUMMYFUNCTION("""COMPUTED_VALUE"""),"SAR &amp; Drug Design")</f>
        <v/>
      </c>
      <c r="M95" s="2">
        <f>IFERROR(__xludf.DUMMYFUNCTION("""COMPUTED_VALUE"""),"Product")</f>
        <v/>
      </c>
      <c r="N95" s="2">
        <f>IFERROR(__xludf.DUMMYFUNCTION("""COMPUTED_VALUE"""),"ข้อ 29 Pharma Plus เล่มม่วง (เฉลยข้อ ง)")</f>
        <v/>
      </c>
      <c r="O95" s="2">
        <f>IFERROR(__xludf.DUMMYFUNCTION("""COMPUTED_VALUE"""),"Mock")</f>
        <v/>
      </c>
      <c r="P95" s="2">
        <f>IFERROR(__xludf.DUMMYFUNCTION("""COMPUTED_VALUE"""),"Pharma Plus เล่มม่วง")</f>
        <v/>
      </c>
    </row>
    <row r="96" ht="13.2" customHeight="1" s="49">
      <c r="A96" s="2">
        <f>IFERROR(__xludf.DUMMYFUNCTION("""COMPUTED_VALUE"""),"30")</f>
        <v/>
      </c>
      <c r="B96" s="2">
        <f>IFERROR(__xludf.DUMMYFUNCTION("""COMPUTED_VALUE"""),"จากโครงสร้าง ไม่สามารถใช้ในผู้ป่วยกลุ่มใด")</f>
        <v/>
      </c>
      <c r="C96" s="2" t="n"/>
      <c r="D96" s="2">
        <f>IFERROR(__xludf.DUMMYFUNCTION("""COMPUTED_VALUE"""),"Pediatric")</f>
        <v/>
      </c>
      <c r="E96" s="2">
        <f>IFERROR(__xludf.DUMMYFUNCTION("""COMPUTED_VALUE"""),"Cirrhosis/Hepatitis")</f>
        <v/>
      </c>
      <c r="F96" s="2">
        <f>IFERROR(__xludf.DUMMYFUNCTION("""COMPUTED_VALUE"""),"Pregnancy")</f>
        <v/>
      </c>
      <c r="G96" s="2">
        <f>IFERROR(__xludf.DUMMYFUNCTION("""COMPUTED_VALUE"""),"Renal failure")</f>
        <v/>
      </c>
      <c r="H96" s="2">
        <f>IFERROR(__xludf.DUMMYFUNCTION("""COMPUTED_VALUE"""),"Sulfa allergy")</f>
        <v/>
      </c>
      <c r="I96" s="2">
        <f>IFERROR(__xludf.DUMMYFUNCTION("""COMPUTED_VALUE"""),"5")</f>
        <v/>
      </c>
      <c r="J96" s="2">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2" t="n"/>
      <c r="L96" s="2">
        <f>IFERROR(__xludf.DUMMYFUNCTION("""COMPUTED_VALUE"""),"SAR &amp; Drug Design")</f>
        <v/>
      </c>
      <c r="M96" s="2">
        <f>IFERROR(__xludf.DUMMYFUNCTION("""COMPUTED_VALUE"""),"Product")</f>
        <v/>
      </c>
      <c r="N96" s="2">
        <f>IFERROR(__xludf.DUMMYFUNCTION("""COMPUTED_VALUE"""),"ข้อ 30 Pharma Plus เล่มม่วง (เฉลยข้อ จ)")</f>
        <v/>
      </c>
      <c r="O96" s="2">
        <f>IFERROR(__xludf.DUMMYFUNCTION("""COMPUTED_VALUE"""),"Mock")</f>
        <v/>
      </c>
      <c r="P96" s="2">
        <f>IFERROR(__xludf.DUMMYFUNCTION("""COMPUTED_VALUE"""),"Pharma Plus เล่มม่วง")</f>
        <v/>
      </c>
    </row>
    <row r="97" ht="13.2" customHeight="1" s="49">
      <c r="A97" s="2">
        <f>IFERROR(__xludf.DUMMYFUNCTION("""COMPUTED_VALUE"""),"31")</f>
        <v/>
      </c>
      <c r="B97" s="2">
        <f>IFERROR(__xludf.DUMMYFUNCTION("""COMPUTED_VALUE"""),"จากโครงสร้างของยา glybenclamide ข้อใดเป็นเหตุผลที่ทำให้ duration นานขึ้น")</f>
        <v/>
      </c>
      <c r="C97" s="2" t="n"/>
      <c r="D97" s="2">
        <f>IFERROR(__xludf.DUMMYFUNCTION("""COMPUTED_VALUE"""),"สามารถหมุนแสง polarized ได้")</f>
        <v/>
      </c>
      <c r="E97" s="2">
        <f>IFERROR(__xludf.DUMMYFUNCTION("""COMPUTED_VALUE"""),"สามารถวิเคราะห์ได้โดยใช้วิธี HPLC-UV detection")</f>
        <v/>
      </c>
      <c r="F97" s="2">
        <f>IFERROR(__xludf.DUMMYFUNCTION("""COMPUTED_VALUE"""),"หมู่ซัลโฟไททำให้โครงสร้างมีความเป็นกรด")</f>
        <v/>
      </c>
      <c r="G97" s="2">
        <f>IFERROR(__xludf.DUMMYFUNCTION("""COMPUTED_VALUE"""),"หมู่ยูเรียทำให้โครงสร้างมีความเป็นเบส")</f>
        <v/>
      </c>
      <c r="H97" s="2">
        <f>IFERROR(__xludf.DUMMYFUNCTION("""COMPUTED_VALUE"""),"วงแหวนอะโรมาติกปลาย ซึ่งมีหมู่คลอโรในเมตาบอไลต์โดยกระบวนการออกซิเดชันได้")</f>
        <v/>
      </c>
      <c r="I97" s="2">
        <f>IFERROR(__xludf.DUMMYFUNCTION("""COMPUTED_VALUE"""),"5")</f>
        <v/>
      </c>
      <c r="J97" s="2">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2" t="n"/>
      <c r="L97" s="2">
        <f>IFERROR(__xludf.DUMMYFUNCTION("""COMPUTED_VALUE"""),"SAR &amp; Drug Design")</f>
        <v/>
      </c>
      <c r="M97" s="2">
        <f>IFERROR(__xludf.DUMMYFUNCTION("""COMPUTED_VALUE"""),"Product")</f>
        <v/>
      </c>
      <c r="N97" s="2">
        <f>IFERROR(__xludf.DUMMYFUNCTION("""COMPUTED_VALUE"""),"ข้อ 31 Pharma Plus เล่มม่วง (เฉลยข้อ จ)")</f>
        <v/>
      </c>
      <c r="O97" s="2">
        <f>IFERROR(__xludf.DUMMYFUNCTION("""COMPUTED_VALUE"""),"Mock")</f>
        <v/>
      </c>
      <c r="P97" s="2">
        <f>IFERROR(__xludf.DUMMYFUNCTION("""COMPUTED_VALUE"""),"Pharma Plus เล่มม่วง")</f>
        <v/>
      </c>
    </row>
    <row r="98" ht="13.2" customHeight="1" s="49">
      <c r="A98" s="2">
        <f>IFERROR(__xludf.DUMMYFUNCTION("""COMPUTED_VALUE"""),"32")</f>
        <v/>
      </c>
      <c r="B98" s="2">
        <f>IFERROR(__xludf.DUMMYFUNCTION("""COMPUTED_VALUE"""),"จากสูตรโครงสร้างต่อไปนี้ของยา glipizide จัดว่าเป็นยากลุ่มใด")</f>
        <v/>
      </c>
      <c r="C98" s="2" t="n"/>
      <c r="D98" s="2">
        <f>IFERROR(__xludf.DUMMYFUNCTION("""COMPUTED_VALUE"""),"Biguanides")</f>
        <v/>
      </c>
      <c r="E98" s="2">
        <f>IFERROR(__xludf.DUMMYFUNCTION("""COMPUTED_VALUE"""),"Nicotinic acids")</f>
        <v/>
      </c>
      <c r="F98" s="2">
        <f>IFERROR(__xludf.DUMMYFUNCTION("""COMPUTED_VALUE"""),"Sulfonylurea compounds")</f>
        <v/>
      </c>
      <c r="G98" s="2">
        <f>IFERROR(__xludf.DUMMYFUNCTION("""COMPUTED_VALUE"""),"Nucleoside analogue")</f>
        <v/>
      </c>
      <c r="H98" s="2">
        <f>IFERROR(__xludf.DUMMYFUNCTION("""COMPUTED_VALUE"""),"Sulfones")</f>
        <v/>
      </c>
      <c r="I98" s="2">
        <f>IFERROR(__xludf.DUMMYFUNCTION("""COMPUTED_VALUE"""),"3")</f>
        <v/>
      </c>
      <c r="J98" s="2">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2" t="n"/>
      <c r="L98" s="2">
        <f>IFERROR(__xludf.DUMMYFUNCTION("""COMPUTED_VALUE"""),"SAR &amp; Drug Design")</f>
        <v/>
      </c>
      <c r="M98" s="2">
        <f>IFERROR(__xludf.DUMMYFUNCTION("""COMPUTED_VALUE"""),"Product")</f>
        <v/>
      </c>
      <c r="N98" s="2">
        <f>IFERROR(__xludf.DUMMYFUNCTION("""COMPUTED_VALUE"""),"ข้อ 32 Pharma Plus เล่มม่วง (เฉลยข้อ ค)")</f>
        <v/>
      </c>
      <c r="O98" s="2">
        <f>IFERROR(__xludf.DUMMYFUNCTION("""COMPUTED_VALUE"""),"Mock")</f>
        <v/>
      </c>
      <c r="P98" s="2">
        <f>IFERROR(__xludf.DUMMYFUNCTION("""COMPUTED_VALUE"""),"Pharma Plus เล่มม่วง")</f>
        <v/>
      </c>
    </row>
    <row r="99" ht="13.2" customHeight="1" s="49">
      <c r="A99" s="2">
        <f>IFERROR(__xludf.DUMMYFUNCTION("""COMPUTED_VALUE"""),"33")</f>
        <v/>
      </c>
      <c r="B99" s="2">
        <f>IFERROR(__xludf.DUMMYFUNCTION("""COMPUTED_VALUE"""),"โครงสร้างต่อไปนี้เป็นโครงสร้างของยากลุ่มใด")</f>
        <v/>
      </c>
      <c r="C99" s="2" t="n"/>
      <c r="D99" s="2">
        <f>IFERROR(__xludf.DUMMYFUNCTION("""COMPUTED_VALUE"""),"Iodoperoxidase inhibitor")</f>
        <v/>
      </c>
      <c r="E99" s="2">
        <f>IFERROR(__xludf.DUMMYFUNCTION("""COMPUTED_VALUE"""),"Sulfonylurea")</f>
        <v/>
      </c>
      <c r="F99" s="2">
        <f>IFERROR(__xludf.DUMMYFUNCTION("""COMPUTED_VALUE"""),"Thyroid hormone")</f>
        <v/>
      </c>
      <c r="G99" s="2">
        <f>IFERROR(__xludf.DUMMYFUNCTION("""COMPUTED_VALUE"""),"Biguanide")</f>
        <v/>
      </c>
      <c r="H99" s="2">
        <f>IFERROR(__xludf.DUMMYFUNCTION("""COMPUTED_VALUE"""),"Insulin analog")</f>
        <v/>
      </c>
      <c r="I99" s="2">
        <f>IFERROR(__xludf.DUMMYFUNCTION("""COMPUTED_VALUE"""),"4")</f>
        <v/>
      </c>
      <c r="J99" s="2">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2" t="n"/>
      <c r="L99" s="2">
        <f>IFERROR(__xludf.DUMMYFUNCTION("""COMPUTED_VALUE"""),"SAR &amp; Drug Design")</f>
        <v/>
      </c>
      <c r="M99" s="2">
        <f>IFERROR(__xludf.DUMMYFUNCTION("""COMPUTED_VALUE"""),"Product")</f>
        <v/>
      </c>
      <c r="N99" s="2">
        <f>IFERROR(__xludf.DUMMYFUNCTION("""COMPUTED_VALUE"""),"ข้อ 33 Pharma Plus เล่มม่วง (เฉลยข้อ ง)")</f>
        <v/>
      </c>
      <c r="O99" s="2">
        <f>IFERROR(__xludf.DUMMYFUNCTION("""COMPUTED_VALUE"""),"Mock")</f>
        <v/>
      </c>
      <c r="P99" s="2">
        <f>IFERROR(__xludf.DUMMYFUNCTION("""COMPUTED_VALUE"""),"Pharma Plus เล่มม่วง")</f>
        <v/>
      </c>
    </row>
    <row r="100" ht="13.2" customHeight="1" s="49">
      <c r="A100" s="2">
        <f>IFERROR(__xludf.DUMMYFUNCTION("""COMPUTED_VALUE"""),"34")</f>
        <v/>
      </c>
      <c r="B100" s="2">
        <f>IFERROR(__xludf.DUMMYFUNCTION("""COMPUTED_VALUE"""),"ชื่อเรียกทั่วไปของยาที่มีโครงสร้างในรูป คือ (ยา PTU)")</f>
        <v/>
      </c>
      <c r="C100" s="2" t="n"/>
      <c r="D100" s="2">
        <f>IFERROR(__xludf.DUMMYFUNCTION("""COMPUTED_VALUE"""),"6 propyl 3 thiouracil")</f>
        <v/>
      </c>
      <c r="E100" s="2">
        <f>IFERROR(__xludf.DUMMYFUNCTION("""COMPUTED_VALUE"""),"1 propyl 5 thiouracil")</f>
        <v/>
      </c>
      <c r="F100" s="2">
        <f>IFERROR(__xludf.DUMMYFUNCTION("""COMPUTED_VALUE"""),"2 propyl 6 thiouracil")</f>
        <v/>
      </c>
      <c r="G100" s="2">
        <f>IFERROR(__xludf.DUMMYFUNCTION("""COMPUTED_VALUE"""),"2 propyl 5 thiouracil")</f>
        <v/>
      </c>
      <c r="H100" s="2">
        <f>IFERROR(__xludf.DUMMYFUNCTION("""COMPUTED_VALUE"""),"6 propyl 2 thiouracil")</f>
        <v/>
      </c>
      <c r="I100" s="2">
        <f>IFERROR(__xludf.DUMMYFUNCTION("""COMPUTED_VALUE"""),"5")</f>
        <v/>
      </c>
      <c r="J100" s="2">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2" t="n"/>
      <c r="L100" s="2">
        <f>IFERROR(__xludf.DUMMYFUNCTION("""COMPUTED_VALUE"""),"SAR &amp; Drug Design")</f>
        <v/>
      </c>
      <c r="M100" s="2">
        <f>IFERROR(__xludf.DUMMYFUNCTION("""COMPUTED_VALUE"""),"Product")</f>
        <v/>
      </c>
      <c r="N100" s="2">
        <f>IFERROR(__xludf.DUMMYFUNCTION("""COMPUTED_VALUE"""),"ข้อ 34 Pharma Plus เล่มม่วง (เฉลยข้อ จ)")</f>
        <v/>
      </c>
      <c r="O100" s="2">
        <f>IFERROR(__xludf.DUMMYFUNCTION("""COMPUTED_VALUE"""),"Mock")</f>
        <v/>
      </c>
      <c r="P100" s="2">
        <f>IFERROR(__xludf.DUMMYFUNCTION("""COMPUTED_VALUE"""),"Pharma Plus เล่มม่วง")</f>
        <v/>
      </c>
    </row>
    <row r="101" ht="13.2" customHeight="1" s="49">
      <c r="A101" s="2">
        <f>IFERROR(__xludf.DUMMYFUNCTION("""COMPUTED_VALUE"""),"35")</f>
        <v/>
      </c>
      <c r="B101" s="2">
        <f>IFERROR(__xludf.DUMMYFUNCTION("""COMPUTED_VALUE"""),"จากโครงสร้างของยา 3 ชนิด (methimazole, carbimazole และ propylthiouracil)
ข้อใดถูกต้องเกี่ยวกับยา methimazole, carbimazole และ propylthiouracil")</f>
        <v/>
      </c>
      <c r="C101" s="2" t="n"/>
      <c r="D101" s="2">
        <f>IFERROR(__xludf.DUMMYFUNCTION("""COMPUTED_VALUE"""),"Methimazole, carbimazole และ propylthiouracil ถูก metabolized โดยปฏิกิริยา desulfunation ก่อนจึงจะได้สารที่มีฤทธิ์ทางเภสัชวิทยา")</f>
        <v/>
      </c>
      <c r="E101" s="2">
        <f>IFERROR(__xludf.DUMMYFUNCTION("""COMPUTED_VALUE"""),"Propylthiouracil จะถูก metabolized โดยปฏิกิริยา dealkylation ซึ่งจะตัด Propyl group ออกก่อนจึงจะได้สารที่มีฤทธิ์ทางเภสัชวิทยา")</f>
        <v/>
      </c>
      <c r="F101" s="2">
        <f>IFERROR(__xludf.DUMMYFUNCTION("""COMPUTED_VALUE"""),"Methimazole จะถูก metabolized โดยปฏิกิริยา conjugation ได้เป็น carbimazole จึงจะได้สารที่มีฤทธิ์ทางเภสัชวิทยาที่ต้องการ")</f>
        <v/>
      </c>
      <c r="G101" s="2">
        <f>IFERROR(__xludf.DUMMYFUNCTION("""COMPUTED_VALUE"""),"ต้องเกิดปฏิกิริยา amide hydrolysis กับโครงสร้าง carbimazole จึงจะได้สารที่มีฤทธิ์ทางเภสัชวิทยาที่ต้องการ")</f>
        <v/>
      </c>
      <c r="H101" s="2">
        <f>IFERROR(__xludf.DUMMYFUNCTION("""COMPUTED_VALUE"""),"ต้องเกิดปฏิกิริยา ester hydrolysis กับโครงสร้าง carbimazole จึงจะได้สารที่มีฤทธิ์ทางเภสัชวิทยาที่ต้องการ")</f>
        <v/>
      </c>
      <c r="I101" s="2">
        <f>IFERROR(__xludf.DUMMYFUNCTION("""COMPUTED_VALUE"""),"4")</f>
        <v/>
      </c>
      <c r="J101" s="2">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2" t="n"/>
      <c r="L101" s="2">
        <f>IFERROR(__xludf.DUMMYFUNCTION("""COMPUTED_VALUE"""),"SAR &amp; Drug Design")</f>
        <v/>
      </c>
      <c r="M101" s="2">
        <f>IFERROR(__xludf.DUMMYFUNCTION("""COMPUTED_VALUE"""),"Product")</f>
        <v/>
      </c>
      <c r="N101" s="2">
        <f>IFERROR(__xludf.DUMMYFUNCTION("""COMPUTED_VALUE"""),"ข้อ 35 Pharma Plus เล่มม่วง (เฉลยข้อ ง)")</f>
        <v/>
      </c>
      <c r="O101" s="2">
        <f>IFERROR(__xludf.DUMMYFUNCTION("""COMPUTED_VALUE"""),"Mock")</f>
        <v/>
      </c>
      <c r="P101" s="2">
        <f>IFERROR(__xludf.DUMMYFUNCTION("""COMPUTED_VALUE"""),"Pharma Plus เล่มม่วง")</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P226"/>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8.44140625" customWidth="1" style="49" min="1" max="1"/>
    <col width="56.44140625" customWidth="1" style="49" min="2" max="2"/>
    <col width="13.77734375" customWidth="1" style="49" min="8" max="8"/>
    <col width="13.33203125" customWidth="1" style="49" min="9" max="9"/>
    <col width="60.109375" customWidth="1" style="49" min="10" max="10"/>
    <col width="26.109375" customWidth="1" style="49" min="15" max="15"/>
    <col width="16.44140625" customWidth="1" style="49" min="16" max="16"/>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64.8" customHeight="1" s="49">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49">
      <c r="A3" s="32" t="n">
        <v>1</v>
      </c>
      <c r="B3" s="32"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32" t="n"/>
      <c r="D3" s="32" t="inlineStr">
        <is>
          <t>Tramadol</t>
        </is>
      </c>
      <c r="E3" s="32" t="inlineStr">
        <is>
          <t>Naproxen</t>
        </is>
      </c>
      <c r="F3" s="32" t="inlineStr">
        <is>
          <t>Pethidine</t>
        </is>
      </c>
      <c r="G3" s="32" t="inlineStr">
        <is>
          <t>Probenecid</t>
        </is>
      </c>
      <c r="H3" s="32" t="inlineStr">
        <is>
          <t>Allopurinol</t>
        </is>
      </c>
      <c r="I3" s="32" t="n">
        <v>2</v>
      </c>
      <c r="J3" s="32"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32" t="n"/>
      <c r="L3" s="32" t="inlineStr">
        <is>
          <t>Gout</t>
        </is>
      </c>
      <c r="M3" s="32" t="inlineStr">
        <is>
          <t>Clinic</t>
        </is>
      </c>
      <c r="N3" s="32" t="inlineStr">
        <is>
          <t>Gout Acute Flare: First-line = NSAIDs / Colchicine. ห้ามเริ่มยาลดกรดยูริกขณะ acute flare</t>
        </is>
      </c>
      <c r="O3" s="32" t="inlineStr">
        <is>
          <t>ข้อสอบจริง</t>
        </is>
      </c>
      <c r="P3" s="32" t="inlineStr">
        <is>
          <t>2567</t>
        </is>
      </c>
    </row>
    <row r="4" ht="409.6" customHeight="1" s="49">
      <c r="A4" s="32" t="n">
        <v>2</v>
      </c>
      <c r="B4" s="32"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32" t="n"/>
      <c r="D4" s="32" t="inlineStr">
        <is>
          <t>น้ำผลไม้รสหวานที่มีน้ำตาล Fructose สูง</t>
        </is>
      </c>
      <c r="E4" s="32" t="inlineStr">
        <is>
          <t>ตับทอดหรือเครื่องในสัตว์</t>
        </is>
      </c>
      <c r="F4" s="32" t="inlineStr">
        <is>
          <t>เครื่องดื่มประเภทเบียร์หรือแอลกอฮอล์</t>
        </is>
      </c>
      <c r="G4" s="32" t="inlineStr">
        <is>
          <t>นมหรือผลิตภัณฑ์นมประเภทพร่องมันเนย (Low-fat dairy products)</t>
        </is>
      </c>
      <c r="H4" s="32" t="inlineStr">
        <is>
          <t>ปีกไก่ทอดหรือสัตว์ปีก</t>
        </is>
      </c>
      <c r="I4" s="32" t="n">
        <v>4</v>
      </c>
      <c r="J4" s="32"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32" t="n"/>
      <c r="L4" s="32" t="inlineStr">
        <is>
          <t>Gout</t>
        </is>
      </c>
      <c r="M4" s="32" t="inlineStr">
        <is>
          <t>Clinic</t>
        </is>
      </c>
      <c r="N4" s="32" t="inlineStr">
        <is>
          <t>Gout Lifestyle: Low-fat dairy ช่วยลดกรดยูริก; หลีกเลี่ยง High-fructose, แอลกอฮอล์, เครื่องใน</t>
        </is>
      </c>
      <c r="O4" s="32" t="inlineStr">
        <is>
          <t>ข้อสอบจริง</t>
        </is>
      </c>
      <c r="P4" s="32" t="inlineStr">
        <is>
          <t>2567</t>
        </is>
      </c>
    </row>
    <row r="5" ht="409.6" customHeight="1" s="49">
      <c r="A5" s="32" t="n">
        <v>3</v>
      </c>
      <c r="B5" s="32"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32" t="n"/>
      <c r="D5" s="32" t="inlineStr">
        <is>
          <t>ปวดศีรษะรุนแรง</t>
        </is>
      </c>
      <c r="E5" s="32" t="inlineStr">
        <is>
          <t>ผื่นลมพิษตามผิวหนัง</t>
        </is>
      </c>
      <c r="F5" s="32" t="inlineStr">
        <is>
          <t>ท้องเสียถ่ายเหลว</t>
        </is>
      </c>
      <c r="G5" s="32" t="inlineStr">
        <is>
          <t>ปัสสาวะเป็นเลือด</t>
        </is>
      </c>
      <c r="H5" s="32" t="inlineStr">
        <is>
          <t>ความดันโลหิตต่ำฉับพลัน</t>
        </is>
      </c>
      <c r="I5" s="32" t="n">
        <v>3</v>
      </c>
      <c r="J5" s="32"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32" t="n"/>
      <c r="L5" s="32" t="inlineStr">
        <is>
          <t>Gout</t>
        </is>
      </c>
      <c r="M5" s="32" t="inlineStr">
        <is>
          <t>Clinic</t>
        </is>
      </c>
      <c r="N5" s="32" t="inlineStr">
        <is>
          <t>Colchicine Toxicity: สัญญาณเตือนพิษเฉียบพลัน = Diarrhea, N/V. แนะนำ Low-dose regimen</t>
        </is>
      </c>
      <c r="O5" s="32" t="inlineStr">
        <is>
          <t>ข้อสอบจริง</t>
        </is>
      </c>
      <c r="P5" s="32" t="inlineStr">
        <is>
          <t>2567</t>
        </is>
      </c>
    </row>
    <row r="6" ht="409.6" customHeight="1" s="49">
      <c r="A6" s="32" t="n">
        <v>4</v>
      </c>
      <c r="B6" s="32" t="inlineStr">
        <is>
          <t>หากผู้ป่วยโรคเกาต์ตรวจพบยีนหรืออัลลีลเสี่ยงต่อการแพ้ยารุนแรงชนิด HLA-B58:01 ห้ามใช้ยาในข้อใดต่อไปนี้</t>
        </is>
      </c>
      <c r="C6" s="32" t="n"/>
      <c r="D6" s="32" t="inlineStr">
        <is>
          <t>Allopurinol</t>
        </is>
      </c>
      <c r="E6" s="32" t="inlineStr">
        <is>
          <t>Febuxostat</t>
        </is>
      </c>
      <c r="F6" s="32" t="inlineStr">
        <is>
          <t>Benzbromarone</t>
        </is>
      </c>
      <c r="G6" s="32" t="inlineStr">
        <is>
          <t>Probenecid</t>
        </is>
      </c>
      <c r="H6" s="32" t="inlineStr">
        <is>
          <t>Lesinurad</t>
        </is>
      </c>
      <c r="I6" s="32" t="n">
        <v>1</v>
      </c>
      <c r="J6" s="32"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32" t="n"/>
      <c r="L6" s="32" t="inlineStr">
        <is>
          <t>Gout</t>
        </is>
      </c>
      <c r="M6" s="32" t="inlineStr">
        <is>
          <t>Clinic</t>
        </is>
      </c>
      <c r="N6" s="32" t="inlineStr">
        <is>
          <t>Allopurinol SCARs: ผู้ป่วยไทยมีความชุกของ HLA-B58:01 สูง เสี่ยง SJS/TEN ต้องคัดกรอง</t>
        </is>
      </c>
      <c r="O6" s="32" t="inlineStr">
        <is>
          <t>ข้อสอบจริง</t>
        </is>
      </c>
      <c r="P6" s="32" t="inlineStr">
        <is>
          <t>2567</t>
        </is>
      </c>
    </row>
    <row r="7" ht="409.6" customHeight="1" s="49">
      <c r="A7" s="32" t="n">
        <v>5</v>
      </c>
      <c r="B7" s="32"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32" t="n"/>
      <c r="D7" s="32" t="inlineStr">
        <is>
          <t>Osteoarthritis</t>
        </is>
      </c>
      <c r="E7" s="32" t="inlineStr">
        <is>
          <t>Osteoporosis</t>
        </is>
      </c>
      <c r="F7" s="32" t="inlineStr">
        <is>
          <t>Rheumatoid arthritis</t>
        </is>
      </c>
      <c r="G7" s="32" t="inlineStr">
        <is>
          <t>Gout</t>
        </is>
      </c>
      <c r="H7" s="32" t="inlineStr">
        <is>
          <t>Osteomalacia</t>
        </is>
      </c>
      <c r="I7" s="32" t="n">
        <v>1</v>
      </c>
      <c r="J7" s="32"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32" t="n"/>
      <c r="L7" s="32" t="inlineStr">
        <is>
          <t>Osteoarthritis</t>
        </is>
      </c>
      <c r="M7" s="32" t="inlineStr">
        <is>
          <t>Clinic</t>
        </is>
      </c>
      <c r="N7" s="32" t="inlineStr">
        <is>
          <t>OA Diagnosis: Morning stiffness &lt; 30 นาที, Crepitus, ปวดเมื่อใช้งาน ดีขึ้นเมื่อพัก</t>
        </is>
      </c>
      <c r="O7" s="32" t="inlineStr">
        <is>
          <t>ข้อสอบจริง</t>
        </is>
      </c>
      <c r="P7" s="32" t="inlineStr">
        <is>
          <t>2567</t>
        </is>
      </c>
    </row>
    <row r="8" ht="409.6" customHeight="1" s="49">
      <c r="A8" s="32" t="n">
        <v>6</v>
      </c>
      <c r="B8" s="32"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32" t="n"/>
      <c r="D8" s="32" t="inlineStr">
        <is>
          <t>Oral NSAIDs (เช่น Diclofenac)</t>
        </is>
      </c>
      <c r="E8" s="32" t="inlineStr">
        <is>
          <t>Oral Paracetamol + Orphenadrine</t>
        </is>
      </c>
      <c r="F8" s="32" t="inlineStr">
        <is>
          <t>Oral Ondansetron</t>
        </is>
      </c>
      <c r="G8" s="32" t="inlineStr">
        <is>
          <t>Oral Tramadol</t>
        </is>
      </c>
      <c r="H8" s="32" t="inlineStr">
        <is>
          <t>Topical NSAIDs (เช่น Diclofenac emulgel)</t>
        </is>
      </c>
      <c r="I8" s="32" t="n">
        <v>5</v>
      </c>
      <c r="J8" s="32"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32" t="n"/>
      <c r="L8" s="32" t="inlineStr">
        <is>
          <t>Osteoarthritis</t>
        </is>
      </c>
      <c r="M8" s="32" t="inlineStr">
        <is>
          <t>Clinic</t>
        </is>
      </c>
      <c r="N8" s="32" t="inlineStr">
        <is>
          <t>OA Knee First-line: Topical NSAIDs (Diclofenac emulgel) มีประสิทธิภาพดีและปลอดภัยต่อ GI/CV/Renal</t>
        </is>
      </c>
      <c r="O8" s="32" t="inlineStr">
        <is>
          <t>ข้อสอบจริง</t>
        </is>
      </c>
      <c r="P8" s="32" t="inlineStr">
        <is>
          <t>2567</t>
        </is>
      </c>
    </row>
    <row r="9" ht="409.6" customHeight="1" s="49">
      <c r="A9" s="32" t="n">
        <v>7</v>
      </c>
      <c r="B9" s="32"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32" t="n"/>
      <c r="D9" s="32" t="inlineStr">
        <is>
          <t>Alkaline phosphatase</t>
        </is>
      </c>
      <c r="E9" s="32" t="inlineStr">
        <is>
          <t>Hemoglobin</t>
        </is>
      </c>
      <c r="F9" s="32" t="inlineStr">
        <is>
          <t>Creatine phosphokinase</t>
        </is>
      </c>
      <c r="G9" s="32" t="inlineStr">
        <is>
          <t>HLA-B58:01</t>
        </is>
      </c>
      <c r="H9" s="32" t="inlineStr">
        <is>
          <t>CYP3A4 polymorphism</t>
        </is>
      </c>
      <c r="I9" s="32" t="n">
        <v>4</v>
      </c>
      <c r="J9" s="32"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32" t="n"/>
      <c r="L9" s="32" t="inlineStr">
        <is>
          <t>Gout</t>
        </is>
      </c>
      <c r="M9" s="32" t="inlineStr">
        <is>
          <t>Clinic</t>
        </is>
      </c>
      <c r="N9" s="32" t="inlineStr">
        <is>
          <t>Allopurinol Pharmacogenomics: ตรวจยีน HLA-B58:01 ก่อนเริ่มยาในคนไทยทุกราย</t>
        </is>
      </c>
      <c r="O9" s="32" t="inlineStr">
        <is>
          <t>ข้อสอบจริง</t>
        </is>
      </c>
      <c r="P9" s="32" t="inlineStr">
        <is>
          <t>2567</t>
        </is>
      </c>
    </row>
    <row r="10" ht="409.6" customHeight="1" s="49">
      <c r="A10" s="32" t="n">
        <v>8</v>
      </c>
      <c r="B10" s="32"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32" t="n"/>
      <c r="D10" s="32" t="inlineStr">
        <is>
          <t>เพื่อป้องกันการเกิดข้ออักเสบเฉียบพลัน (Gout flare prophylaxis) ในระยะเริ่มยาลดกรดยูริก</t>
        </is>
      </c>
      <c r="E10" s="32" t="inlineStr">
        <is>
          <t>เสริมฤทธิ์ยา Allopurinol ในการขับกรดยูริกโดยทำหน้าที่คนละกลไก</t>
        </is>
      </c>
      <c r="F10" s="32" t="inlineStr">
        <is>
          <t>ป้องกันการเกิดก้อนโทฟัส (Tophi) ตามข้อต่าง ๆ</t>
        </is>
      </c>
      <c r="G10" s="32" t="inlineStr">
        <is>
          <t>ป้องกันการสะสมและการตกผลึกของสาร Xanthine ในหลอดเลือด</t>
        </is>
      </c>
      <c r="H10" s="32" t="inlineStr">
        <is>
          <t>เสริมฤทธิ์ยา Allopurinol โดยช่วยลดการขับถ่ายยาออกทางไต</t>
        </is>
      </c>
      <c r="I10" s="32" t="n">
        <v>1</v>
      </c>
      <c r="J10" s="32"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32" t="n"/>
      <c r="L10" s="32" t="inlineStr">
        <is>
          <t>Gout</t>
        </is>
      </c>
      <c r="M10" s="32" t="inlineStr">
        <is>
          <t>Clinic</t>
        </is>
      </c>
      <c r="N10" s="32" t="inlineStr">
        <is>
          <t>Gout Flare Prophylaxis: ให้ Colchicine / NSAID ร่วมกับ Allopurinol นานอย่างน้อย 3-6 เดือน</t>
        </is>
      </c>
      <c r="O10" s="32" t="inlineStr">
        <is>
          <t>ข้อสอบจริง</t>
        </is>
      </c>
      <c r="P10" s="32" t="inlineStr">
        <is>
          <t>2567</t>
        </is>
      </c>
    </row>
    <row r="11" ht="409.6" customHeight="1" s="49">
      <c r="A11" s="32" t="n">
        <v>9</v>
      </c>
      <c r="B11" s="32"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32" t="n"/>
      <c r="D11" s="32" t="inlineStr">
        <is>
          <t>Oral Paracetamol + Orphenadrine</t>
        </is>
      </c>
      <c r="E11" s="32" t="inlineStr">
        <is>
          <t>Topical NSAIDs (เช่น Diclofenac emulgel)</t>
        </is>
      </c>
      <c r="F11" s="32" t="inlineStr">
        <is>
          <t>Oral Tramadol</t>
        </is>
      </c>
      <c r="G11" s="32" t="inlineStr">
        <is>
          <t>Oral Diclofenac sodium</t>
        </is>
      </c>
      <c r="H11" s="32" t="inlineStr">
        <is>
          <t>Glucosamine sulfate oral capsule</t>
        </is>
      </c>
      <c r="I11" s="32" t="n">
        <v>2</v>
      </c>
      <c r="J11" s="32"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32" t="n"/>
      <c r="L11" s="32" t="inlineStr">
        <is>
          <t>Osteoarthritis</t>
        </is>
      </c>
      <c r="M11" s="32" t="inlineStr">
        <is>
          <t>Clinic</t>
        </is>
      </c>
      <c r="N11" s="32" t="inlineStr">
        <is>
          <t>ACR 2019 OA: แนะนำ Topical NSAID เป็นอันดับแรกก่อน Oral NSAID ในข้อเข่าเสื่อม</t>
        </is>
      </c>
      <c r="O11" s="32" t="inlineStr">
        <is>
          <t>ข้อสอบจริง</t>
        </is>
      </c>
      <c r="P11" s="32" t="inlineStr">
        <is>
          <t>2566</t>
        </is>
      </c>
    </row>
    <row r="12" ht="409.6" customHeight="1" s="49">
      <c r="A12" s="32" t="n">
        <v>10</v>
      </c>
      <c r="B12" s="32"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32" t="n"/>
      <c r="D12" s="32" t="inlineStr">
        <is>
          <t>ท้องเสียถ่ายเหลว</t>
        </is>
      </c>
      <c r="E12" s="32" t="inlineStr">
        <is>
          <t>ปวดศีรษะเฉียบพลัน</t>
        </is>
      </c>
      <c r="F12" s="32" t="inlineStr">
        <is>
          <t>ความดันโลหิตต่ำ</t>
        </is>
      </c>
      <c r="G12" s="32" t="inlineStr">
        <is>
          <t>ผื่นคันตามผิวหนัง</t>
        </is>
      </c>
      <c r="H12" s="32" t="inlineStr">
        <is>
          <t>ปัสสาวะเป็นเลือด</t>
        </is>
      </c>
      <c r="I12" s="32" t="n">
        <v>1</v>
      </c>
      <c r="J12" s="32"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32" t="n"/>
      <c r="L12" s="32" t="inlineStr">
        <is>
          <t>Gout</t>
        </is>
      </c>
      <c r="M12" s="32" t="inlineStr">
        <is>
          <t>Clinic</t>
        </is>
      </c>
      <c r="N12" s="32" t="inlineStr">
        <is>
          <t>Colchicine Counseling: หยุดยาหรือลดขนาดทันทีหากเกิดอาการถ่ายเหลวรุนแรง</t>
        </is>
      </c>
      <c r="O12" s="32" t="inlineStr">
        <is>
          <t>ข้อสอบจริง</t>
        </is>
      </c>
      <c r="P12" s="32" t="inlineStr">
        <is>
          <t>2566</t>
        </is>
      </c>
    </row>
    <row r="13" ht="409.6" customHeight="1" s="49">
      <c r="A13" s="32" t="n">
        <v>11</v>
      </c>
      <c r="B13" s="32"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32" t="n"/>
      <c r="D13" s="32" t="inlineStr">
        <is>
          <t>Sulfasalazine</t>
        </is>
      </c>
      <c r="E13" s="32" t="inlineStr">
        <is>
          <t>เพิ่มขนาด Methotrexate</t>
        </is>
      </c>
      <c r="F13" s="32" t="inlineStr">
        <is>
          <t>เพิ่มขนาด Prednisolone</t>
        </is>
      </c>
      <c r="G13" s="32" t="inlineStr">
        <is>
          <t>เพิ่มยา Hydroxychloroquine</t>
        </is>
      </c>
      <c r="H13" s="32" t="inlineStr">
        <is>
          <t>เพิ่มยา Azathioprine</t>
        </is>
      </c>
      <c r="I13" s="32" t="n">
        <v>4</v>
      </c>
      <c r="J13" s="32"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32" t="n"/>
      <c r="L13" s="32" t="inlineStr">
        <is>
          <t>Rheumatoid arthritis</t>
        </is>
      </c>
      <c r="M13" s="32" t="inlineStr">
        <is>
          <t>Clinic</t>
        </is>
      </c>
      <c r="N13" s="32" t="inlineStr">
        <is>
          <t>RA Treat-to-target: หากคุมโรคไม่ได้ด้วย MTX ให้พิจารณา Add-on csDMARDs อื่น (เช่น HCQ, SSZ)</t>
        </is>
      </c>
      <c r="O13" s="32" t="inlineStr">
        <is>
          <t>ข้อสอบจริง</t>
        </is>
      </c>
      <c r="P13" s="32" t="inlineStr">
        <is>
          <t>2566</t>
        </is>
      </c>
    </row>
    <row r="14" ht="409.6" customHeight="1" s="49">
      <c r="A14" s="32" t="n">
        <v>12</v>
      </c>
      <c r="B14" s="32"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32" t="n"/>
      <c r="D14" s="32" t="inlineStr">
        <is>
          <t>เพื่อลดผลข้างเคียงทางไตของ Allopurinol</t>
        </is>
      </c>
      <c r="E14" s="32" t="inlineStr">
        <is>
          <t>เพื่อเสริมฤทธิ์ต้านอักเสบและลดกรดยูริกของยา Allopurinol</t>
        </is>
      </c>
      <c r="F14" s="32" t="inlineStr">
        <is>
          <t>เพื่อป้องกันการเกิดข้ออักเสบเฉียบพลัน (Gout flare) จากการเปลี่ยนแปลงของระดับกรดยูริก</t>
        </is>
      </c>
      <c r="G14" s="32" t="inlineStr">
        <is>
          <t>เพื่อลดการเกิดนิ่วในไตจากกรดยูริก</t>
        </is>
      </c>
      <c r="H14" s="32" t="inlineStr">
        <is>
          <t>เพื่อเพิ่มการดูดซึมยา Allopurinol ในระบบทางเดินอาหาร</t>
        </is>
      </c>
      <c r="I14" s="32" t="n">
        <v>3</v>
      </c>
      <c r="J14" s="32"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32" t="n"/>
      <c r="L14" s="32" t="inlineStr">
        <is>
          <t>Gout</t>
        </is>
      </c>
      <c r="M14" s="32" t="inlineStr">
        <is>
          <t>Clinic</t>
        </is>
      </c>
      <c r="N14" s="32" t="inlineStr">
        <is>
          <t>Gout Prophylaxis: ป้องกัน Gout flare จากการแกว่งของระดับกรดยูริกในช่วงเริ่ม ULT</t>
        </is>
      </c>
      <c r="O14" s="32" t="inlineStr">
        <is>
          <t>ข้อสอบจริง</t>
        </is>
      </c>
      <c r="P14" s="32" t="inlineStr">
        <is>
          <t>2566</t>
        </is>
      </c>
    </row>
    <row r="15" ht="409.6" customHeight="1" s="49">
      <c r="A15" s="32" t="n">
        <v>13</v>
      </c>
      <c r="B15" s="32"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32" t="n"/>
      <c r="D15" s="32" t="inlineStr">
        <is>
          <t>Complete Blood Count (CBC)</t>
        </is>
      </c>
      <c r="E15" s="32" t="inlineStr">
        <is>
          <t>Liver function tests (AST/ALT)</t>
        </is>
      </c>
      <c r="F15" s="32" t="inlineStr">
        <is>
          <t>Renal function (Serum creatinine)</t>
        </is>
      </c>
      <c r="G15" s="32" t="inlineStr">
        <is>
          <t>Chest X-ray</t>
        </is>
      </c>
      <c r="H15" s="32" t="inlineStr">
        <is>
          <t>การตรวจตาอย่างละเอียดโดยจักษุแพทย์ (Eye examination)</t>
        </is>
      </c>
      <c r="I15" s="32" t="n">
        <v>5</v>
      </c>
      <c r="J15" s="32"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32" t="n"/>
      <c r="L15" s="32" t="inlineStr">
        <is>
          <t>Rheumatoid arthritis</t>
        </is>
      </c>
      <c r="M15" s="32" t="inlineStr">
        <is>
          <t>Clinic</t>
        </is>
      </c>
      <c r="N15" s="32" t="inlineStr">
        <is>
          <t>DMARDs Monitoring: HCQ ต้องตรวจคัดกรอง Retinal toxicity ด้วย Eye exam ประจำปี (MTX ไม่ต้อง)</t>
        </is>
      </c>
      <c r="O15" s="32" t="inlineStr">
        <is>
          <t>ข้อสอบจริง</t>
        </is>
      </c>
      <c r="P15" s="32" t="inlineStr">
        <is>
          <t>2566</t>
        </is>
      </c>
    </row>
    <row r="16" ht="409.6" customHeight="1" s="49">
      <c r="A16" s="32" t="n">
        <v>14</v>
      </c>
      <c r="B16" s="32" t="inlineStr">
        <is>
          <t>คำแนะนำข้อใดต่อไปนี้เกี่ยวกับการใช้ยา Methotrexate (MTX) ในผู้ป่วยโรคข้ออักเสบรูมาตอยด์ที่ ไม่เหมาะสม หรือผิดพลาด</t>
        </is>
      </c>
      <c r="C16" s="32" t="n"/>
      <c r="D16" s="32" t="inlineStr">
        <is>
          <t>แนะนำให้หลีกเลี่ยงการดื่มเครื่องดื่มแอลกอฮอล์ในระหว่างใช้ยานี้</t>
        </is>
      </c>
      <c r="E16" s="32" t="inlineStr">
        <is>
          <t>รับประทานยาเพียงสัปดาห์ละ 1 ครั้งตามที่แพทย์สั่ง (ห้ามกินทุกวัน)</t>
        </is>
      </c>
      <c r="F16" s="32" t="inlineStr">
        <is>
          <t>รับประทานร่วมกับ Folic acid ตามแพทย์สั่งเพื่อลดอาการปากเปื่อยและผลข้างเคียงอื่น ๆ</t>
        </is>
      </c>
      <c r="G16" s="32" t="inlineStr">
        <is>
          <t>สามารถปรับลดขนาดยาเองได้ทันทีเมื่ออาการของโรคเริ่มคงที่หรือไม่มีอาการปวดอักเสบ</t>
        </is>
      </c>
      <c r="H16" s="32" t="inlineStr">
        <is>
          <t>หากมีอาการไข้ เจ็บคอ หรือไอแห้งผิดปกติ ให้หยุดยาและรีบมาพบแพทย์ทันที</t>
        </is>
      </c>
      <c r="I16" s="32" t="n">
        <v>4</v>
      </c>
      <c r="J16" s="32"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32" t="n"/>
      <c r="L16" s="32" t="inlineStr">
        <is>
          <t>Rheumatoid arthritis</t>
        </is>
      </c>
      <c r="M16" s="32" t="inlineStr">
        <is>
          <t>Clinic</t>
        </is>
      </c>
      <c r="N16" s="32" t="inlineStr">
        <is>
          <t>DMARDs Counseling: MTX ทานสัปดาห์ละ 1 ครั้งเท่านั้น ห้ามทานทุกวัน และห้ามปรับลดขนาดยาเอง</t>
        </is>
      </c>
      <c r="O16" s="32" t="inlineStr">
        <is>
          <t>ข้อสอบจริง</t>
        </is>
      </c>
      <c r="P16" s="32" t="inlineStr">
        <is>
          <t>2566</t>
        </is>
      </c>
    </row>
    <row r="17" ht="409.6" customHeight="1" s="49">
      <c r="A17" s="32" t="n">
        <v>15</v>
      </c>
      <c r="B17" s="32"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32" t="n"/>
      <c r="D17" s="32" t="inlineStr">
        <is>
          <t>เพิ่มขนาดยา Methotrexate</t>
        </is>
      </c>
      <c r="E17" s="32" t="inlineStr">
        <is>
          <t>เพิ่มขนาดยา Corticosteroids</t>
        </is>
      </c>
      <c r="F17" s="32" t="inlineStr">
        <is>
          <t>เพิ่มยา Sulfasalazine</t>
        </is>
      </c>
      <c r="G17" s="32" t="inlineStr">
        <is>
          <t>เพิ่มยา Hydroxychloroquine</t>
        </is>
      </c>
      <c r="H17" s="32" t="inlineStr">
        <is>
          <t>เพิ่มยา Leflunomide</t>
        </is>
      </c>
      <c r="I17" s="32" t="n">
        <v>5</v>
      </c>
      <c r="J17" s="32"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32" t="n"/>
      <c r="L17" s="32" t="inlineStr">
        <is>
          <t>Rheumatoid arthritis</t>
        </is>
      </c>
      <c r="M17" s="32" t="inlineStr">
        <is>
          <t>Clinic</t>
        </is>
      </c>
      <c r="N17" s="32" t="inlineStr">
        <is>
          <t>RA Sulfa Allergy: Sulfasalazine มีโครงสร้าง Sulfa ห้ามใช้ในคนไข้แพ้ Sulfa ให้เลี่ยงไปใช้ HCQ หรือ LEF</t>
        </is>
      </c>
      <c r="O17" s="32" t="inlineStr">
        <is>
          <t>ข้อสอบจริง</t>
        </is>
      </c>
      <c r="P17" s="32" t="inlineStr">
        <is>
          <t>2566</t>
        </is>
      </c>
    </row>
    <row r="18" ht="409.6" customHeight="1" s="49">
      <c r="A18" s="32" t="n">
        <v>16</v>
      </c>
      <c r="B18" s="32" t="inlineStr">
        <is>
          <t>จากประวัติและอาการแสดงทางคลินิกของผู้ป่วยรายนี้ คาดว่าผู้ป่วยเป็นโรคในข้อใดมากที่สุด</t>
        </is>
      </c>
      <c r="C18" s="32" t="n"/>
      <c r="D18" s="32" t="inlineStr">
        <is>
          <t>Osteoporosis</t>
        </is>
      </c>
      <c r="E18" s="32" t="inlineStr">
        <is>
          <t>Rheumatoid arthritis</t>
        </is>
      </c>
      <c r="F18" s="32" t="inlineStr">
        <is>
          <t>Gout</t>
        </is>
      </c>
      <c r="G18" s="32" t="inlineStr">
        <is>
          <t>Osteoarthritis</t>
        </is>
      </c>
      <c r="H18" s="32" t="inlineStr">
        <is>
          <t>Tendinitis</t>
        </is>
      </c>
      <c r="I18" s="32" t="n">
        <v>4</v>
      </c>
      <c r="J18" s="32"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32" t="n"/>
      <c r="L18" s="32" t="inlineStr">
        <is>
          <t>Osteoarthritis</t>
        </is>
      </c>
      <c r="M18" s="32" t="inlineStr">
        <is>
          <t>Clinic</t>
        </is>
      </c>
      <c r="N18" s="32" t="inlineStr">
        <is>
          <t>OA Clinical Features: ข้อฝืดขัดสั้น ๆ (&lt;30 นาที), อาการปวดสัมพันธ์กับการลงน้ำหนัก/เคลื่อนไหว</t>
        </is>
      </c>
      <c r="O18" s="32" t="inlineStr">
        <is>
          <t>ข้อสอบจริง</t>
        </is>
      </c>
      <c r="P18" s="32" t="inlineStr">
        <is>
          <t>2566</t>
        </is>
      </c>
    </row>
    <row r="19" ht="409.6" customHeight="1" s="49">
      <c r="A19" s="32" t="n">
        <v>17</v>
      </c>
      <c r="B19" s="32"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32" t="n"/>
      <c r="D19" s="32" t="inlineStr">
        <is>
          <t>Etoricoxib</t>
        </is>
      </c>
      <c r="E19" s="32" t="inlineStr">
        <is>
          <t>Paracetamol</t>
        </is>
      </c>
      <c r="F19" s="32" t="inlineStr">
        <is>
          <t>Tolperisone</t>
        </is>
      </c>
      <c r="G19" s="32" t="inlineStr">
        <is>
          <t>Tramadol</t>
        </is>
      </c>
      <c r="H19" s="32" t="inlineStr">
        <is>
          <t>Codeine</t>
        </is>
      </c>
      <c r="I19" s="32" t="n">
        <v>1</v>
      </c>
      <c r="J19" s="32"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32" t="n"/>
      <c r="L19" s="32" t="inlineStr">
        <is>
          <t>Osteoarthritis</t>
        </is>
      </c>
      <c r="M19" s="32" t="inlineStr">
        <is>
          <t>Clinic</t>
        </is>
      </c>
      <c r="N19" s="32" t="inlineStr">
        <is>
          <t>OA CV Safety: Etoricoxib / COX-2 inhibitors เพิ่มความเสี่ยง Thrombotic CV events สูงสุด</t>
        </is>
      </c>
      <c r="O19" s="32" t="inlineStr">
        <is>
          <t>ข้อสอบจริง</t>
        </is>
      </c>
      <c r="P19" s="32" t="n"/>
    </row>
    <row r="20" ht="409.6" customHeight="1" s="49">
      <c r="A20" s="32" t="n">
        <v>18</v>
      </c>
      <c r="B20" s="32" t="inlineStr">
        <is>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32" t="n"/>
      <c r="D20" s="32" t="inlineStr">
        <is>
          <t>Paracetamol + Orphenadrine</t>
        </is>
      </c>
      <c r="E20" s="32" t="inlineStr">
        <is>
          <t>Tramadol</t>
        </is>
      </c>
      <c r="F20" s="32" t="inlineStr">
        <is>
          <t>Glucosamine sulfate</t>
        </is>
      </c>
      <c r="G20" s="32" t="inlineStr">
        <is>
          <t>Capsaicin gel</t>
        </is>
      </c>
      <c r="H20" s="32" t="inlineStr">
        <is>
          <t>Diclofenac oral tablet</t>
        </is>
      </c>
      <c r="I20" s="32" t="n">
        <v>4</v>
      </c>
      <c r="J20" s="32"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32" t="n"/>
      <c r="L20" s="32" t="inlineStr">
        <is>
          <t>Gout / Herbal Medicine</t>
        </is>
      </c>
      <c r="M20" s="32" t="inlineStr">
        <is>
          <t>Clinic</t>
        </is>
      </c>
      <c r="N20" s="32" t="inlineStr">
        <is>
          <t>OA Capsaicin: Capsaicin ทาเฉพาะที่ออกฤทธิ์ยับยั้ง Substance P บรรเทาปวดข้อเข่าได้อย่างปลอดภัย</t>
        </is>
      </c>
      <c r="O20" s="32" t="inlineStr">
        <is>
          <t>ข้อสอบจริง</t>
        </is>
      </c>
      <c r="P20" s="32" t="n"/>
    </row>
    <row r="21" ht="409.6" customHeight="1" s="49">
      <c r="A21" s="32" t="n">
        <v>19</v>
      </c>
      <c r="B21" s="32" t="inlineStr">
        <is>
          <t>ข้อใดคืออาการไม่พึงประสงค์จากการใช้ยา (ADR) สัมพันธ์กับขนาดยาและพบบ่อยที่สุดของยา Colchicine</t>
        </is>
      </c>
      <c r="C21" s="32" t="n"/>
      <c r="D21" s="32" t="inlineStr">
        <is>
          <t>Stevens-Johnson Syndrome (SJS)</t>
        </is>
      </c>
      <c r="E21" s="32" t="inlineStr">
        <is>
          <t>Nephrotic syndrome</t>
        </is>
      </c>
      <c r="F21" s="32" t="inlineStr">
        <is>
          <t>ปวดศีรษะรุนแรง</t>
        </is>
      </c>
      <c r="G21" s="32" t="inlineStr">
        <is>
          <t>ท้องเสียถ่ายเหลว (Diarrhea)</t>
        </is>
      </c>
      <c r="H21" s="32" t="inlineStr">
        <is>
          <t>ง่วงซึมอย่างรุนแรง</t>
        </is>
      </c>
      <c r="I21" s="32" t="n">
        <v>4</v>
      </c>
      <c r="J21" s="32"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32" t="n"/>
      <c r="L21" s="32" t="inlineStr">
        <is>
          <t>Gout</t>
        </is>
      </c>
      <c r="M21" s="32" t="inlineStr">
        <is>
          <t>Clinic</t>
        </is>
      </c>
      <c r="N21" s="32" t="inlineStr">
        <is>
          <t>Colchicine ADR: Diarrhea เป็น ADR พบบ่อยสุดจากการรบกวนเซลล์เยื่อบุลำไส้ที่แบ่งตัวเร็ว</t>
        </is>
      </c>
      <c r="O21" s="32" t="inlineStr">
        <is>
          <t>ข้อสอบจริง</t>
        </is>
      </c>
      <c r="P21" s="32" t="inlineStr">
        <is>
          <t>2566</t>
        </is>
      </c>
    </row>
    <row r="22" ht="409.6" customHeight="1" s="49">
      <c r="A22" s="32" t="n">
        <v>20</v>
      </c>
      <c r="B22" s="32" t="inlineStr">
        <is>
          <t>เหตุใดแพทย์จึงสั่งใช้ยา Allopurinol ควบคู่กับ Colchicine วันละครั้ง ในการเริ่มต้นรักษาระยะยาว</t>
        </is>
      </c>
      <c r="C22" s="32" t="n"/>
      <c r="D22" s="32" t="inlineStr">
        <is>
          <t>ยา Colchicine ช่วยลดผลข้างเคียงและอาการไม่พึงประสงค์ของยา Allopurinol</t>
        </is>
      </c>
      <c r="E22" s="32" t="inlineStr">
        <is>
          <t>เพื่อป้องกันข้ออักเสบเฉียบพลันกำเริบ (Gout flare) ในระหว่างเริ่มต้นใช้ยาลดกรดยูริก</t>
        </is>
      </c>
      <c r="F22" s="32" t="inlineStr">
        <is>
          <t>ยา Allopurinol ช่วยเสริมฤทธิ์ลดปวดและลดการอักเสบของยา Colchicine</t>
        </is>
      </c>
      <c r="G22" s="32" t="inlineStr">
        <is>
          <t>ยา Colchicine ช่วยเสริมฤทธิ์ยา Allopurinol ในการยับยั้งการสร้างกรดยูริก</t>
        </is>
      </c>
      <c r="H22" s="32" t="inlineStr">
        <is>
          <t>ป้องกันการเกิดผลข้างเคียงระยะยาวของยาลดกรดยูริกต่อไต</t>
        </is>
      </c>
      <c r="I22" s="32" t="n">
        <v>2</v>
      </c>
      <c r="J22" s="32"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32" t="n"/>
      <c r="L22" s="32" t="inlineStr">
        <is>
          <t>Gout</t>
        </is>
      </c>
      <c r="M22" s="32" t="inlineStr">
        <is>
          <t>Clinic</t>
        </is>
      </c>
      <c r="N22" s="32" t="inlineStr">
        <is>
          <t>Gout Prophylaxis: Colchicine ป้องกันข้ออักเสบกำเริบซ้ำจากการสลายผลึก Urate ในช่วงเริ่มยาลดกรดยูริก</t>
        </is>
      </c>
      <c r="O22" s="32" t="inlineStr">
        <is>
          <t>ข้อสอบจริง</t>
        </is>
      </c>
      <c r="P22" s="32" t="inlineStr">
        <is>
          <t>2566</t>
        </is>
      </c>
    </row>
    <row r="23" ht="409.6" customHeight="1" s="49">
      <c r="A23" s="32" t="n">
        <v>21</v>
      </c>
      <c r="B23" s="32"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32" t="n"/>
      <c r="D23" s="32" t="inlineStr">
        <is>
          <t>HLA-B35:05</t>
        </is>
      </c>
      <c r="E23" s="32" t="inlineStr">
        <is>
          <t>HLA-B15:02</t>
        </is>
      </c>
      <c r="F23" s="32" t="inlineStr">
        <is>
          <t>AST/ALT</t>
        </is>
      </c>
      <c r="G23" s="32" t="inlineStr">
        <is>
          <t>HLA-B58:01</t>
        </is>
      </c>
      <c r="H23" s="32" t="inlineStr">
        <is>
          <t>Serum creatinine (SCr)</t>
        </is>
      </c>
      <c r="I23" s="32" t="n">
        <v>4</v>
      </c>
      <c r="J23" s="32"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32" t="n"/>
      <c r="L23" s="32" t="inlineStr">
        <is>
          <t>Gout</t>
        </is>
      </c>
      <c r="M23" s="32" t="inlineStr">
        <is>
          <t>Clinic</t>
        </is>
      </c>
      <c r="N23" s="32" t="inlineStr">
        <is>
          <t>Allopurinol Gene Screening: HLA-B58:01 allele เป็น biomarker ทำนายการเกิด SCARs</t>
        </is>
      </c>
      <c r="O23" s="32" t="inlineStr">
        <is>
          <t>ข้อสอบจริง</t>
        </is>
      </c>
      <c r="P23" s="32" t="inlineStr">
        <is>
          <t>2566</t>
        </is>
      </c>
    </row>
    <row r="24" ht="409.6" customHeight="1" s="49">
      <c r="A24" s="32" t="n">
        <v>22</v>
      </c>
      <c r="B24" s="32" t="inlineStr">
        <is>
          <t>ข้อใดต่อไปนี้จัดเป็นยาทางเลือกแรกที่ผู้ป่วยควรได้รับเพื่อบรรเทาอาการอักเสบเฉียบพลัน</t>
        </is>
      </c>
      <c r="C24" s="32" t="n"/>
      <c r="D24" s="32" t="inlineStr">
        <is>
          <t>Allopurinol</t>
        </is>
      </c>
      <c r="E24" s="32" t="inlineStr">
        <is>
          <t>Oral Naproxen (หรือยากลุ่ม NSAIDs)</t>
        </is>
      </c>
      <c r="F24" s="32" t="inlineStr">
        <is>
          <t>Intra-articular steroid (ยาสเตียรอยด์ฉีดเข้าข้อ)</t>
        </is>
      </c>
      <c r="G24" s="32" t="inlineStr">
        <is>
          <t>Probenecid</t>
        </is>
      </c>
      <c r="H24" s="32" t="inlineStr">
        <is>
          <t>Benzbromarone</t>
        </is>
      </c>
      <c r="I24" s="32" t="n">
        <v>2</v>
      </c>
      <c r="J24" s="32"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32" t="n"/>
      <c r="L24" s="32" t="inlineStr">
        <is>
          <t>Gout</t>
        </is>
      </c>
      <c r="M24" s="32" t="inlineStr">
        <is>
          <t>Clinic</t>
        </is>
      </c>
      <c r="N24" s="32" t="inlineStr">
        <is>
          <t>Acute Gout: Naproxen / NSAIDs เป็นทางเลือกแรก ห้ามเริ่ม Allopurinol ทันที</t>
        </is>
      </c>
      <c r="O24" s="32" t="inlineStr">
        <is>
          <t>ข้อสอบจริง</t>
        </is>
      </c>
      <c r="P24" s="32" t="inlineStr">
        <is>
          <t>2565</t>
        </is>
      </c>
    </row>
    <row r="25" ht="409.6" customHeight="1" s="49">
      <c r="A25" s="32" t="n">
        <v>23</v>
      </c>
      <c r="B25" s="32"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32" t="n"/>
      <c r="D25" s="32" t="inlineStr">
        <is>
          <t>Allopurinol</t>
        </is>
      </c>
      <c r="E25" s="32" t="inlineStr">
        <is>
          <t>Febuxostat</t>
        </is>
      </c>
      <c r="F25" s="32" t="inlineStr">
        <is>
          <t>Benzbromarone</t>
        </is>
      </c>
      <c r="G25" s="32" t="inlineStr">
        <is>
          <t>Lesinurad</t>
        </is>
      </c>
      <c r="H25" s="32" t="inlineStr">
        <is>
          <t>Probenecid</t>
        </is>
      </c>
      <c r="I25" s="32" t="n">
        <v>1</v>
      </c>
      <c r="J25" s="32"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32" t="n"/>
      <c r="L25" s="32" t="inlineStr">
        <is>
          <t>Gout</t>
        </is>
      </c>
      <c r="M25" s="32" t="inlineStr">
        <is>
          <t>Clinic</t>
        </is>
      </c>
      <c r="N25" s="32" t="inlineStr">
        <is>
          <t>Allopurinol Contraindication: ห้ามใช้เด็ดขาดในผู้ป่วยที่มีประวัติแพ้ยา Allopurinol รุนแรง (SJS/TEN)</t>
        </is>
      </c>
      <c r="O25" s="32" t="inlineStr">
        <is>
          <t>ข้อสอบจริง</t>
        </is>
      </c>
      <c r="P25" s="32" t="inlineStr">
        <is>
          <t>2565</t>
        </is>
      </c>
    </row>
    <row r="26" ht="409.6" customHeight="1" s="49">
      <c r="A26" s="32" t="n">
        <v>24</v>
      </c>
      <c r="B26" s="32" t="inlineStr">
        <is>
          <t>ข้อใดต่อไปนี้ ไม่ใช่ คำแนะนำในการปฏิบัติตัวและปรับพฤติกรรม (Non-pharmacological therapy) ที่เหมาะสมสำหรับผู้ป่วยโรคเกาต์</t>
        </is>
      </c>
      <c r="C26" s="32" t="n"/>
      <c r="D26" s="32" t="inlineStr">
        <is>
          <t>แนะนำให้ลดน้ำหนักตัว</t>
        </is>
      </c>
      <c r="E26" s="32" t="inlineStr">
        <is>
          <t>แนะนำให้ลดหรือจำกัดการดื่มเครื่องดื่มสุราและแอลกอฮอล์</t>
        </is>
      </c>
      <c r="F26" s="32" t="inlineStr">
        <is>
          <t>แนะนำให้หลีกเลี่ยงหรือลดการรับประทานเครื่องในสัตว์</t>
        </is>
      </c>
      <c r="G26" s="32" t="inlineStr">
        <is>
          <t>แนะนำให้ลดการรับประทานน้ำผลไม้ที่มีน้ำตาล Fructose สูง</t>
        </is>
      </c>
      <c r="H26" s="32" t="inlineStr">
        <is>
          <t>แนะนำให้รับประทานวิตามินดี (Vitamin D) ปริมาณสูงเพื่อช่วยขับยูริก</t>
        </is>
      </c>
      <c r="I26" s="32" t="n">
        <v>5</v>
      </c>
      <c r="J26" s="32"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32" t="n"/>
      <c r="L26" s="32" t="inlineStr">
        <is>
          <t>Gout</t>
        </is>
      </c>
      <c r="M26" s="32" t="inlineStr">
        <is>
          <t>Clinic</t>
        </is>
      </c>
      <c r="N26" s="32" t="inlineStr">
        <is>
          <t>Gout Advice: การหยุดยาลดกรดยูริกทันทีเมื่อปวดทำให้ยูริกแกว่งและอักเสบเรื้อรัง</t>
        </is>
      </c>
      <c r="O26" s="32" t="inlineStr">
        <is>
          <t>ข้อสอบจริง</t>
        </is>
      </c>
      <c r="P26" s="32" t="inlineStr">
        <is>
          <t>2565</t>
        </is>
      </c>
    </row>
    <row r="27" ht="409.6" customHeight="1" s="49">
      <c r="A27" s="32" t="n">
        <v>25</v>
      </c>
      <c r="B27" s="32" t="inlineStr">
        <is>
          <t>ยาในข้อใดต่อไปนี้ที่ ไม่มีผล ทำให้ระดับกรดยูริกในเลือดเพิ่มสูงขึ้น (Hyperuricemia) หรือขัดขวางการขับยูริกที่ไต</t>
        </is>
      </c>
      <c r="C27" s="32" t="n"/>
      <c r="D27" s="32" t="inlineStr">
        <is>
          <t>Low dose aspirin</t>
        </is>
      </c>
      <c r="E27" s="32" t="inlineStr">
        <is>
          <t>Pyrazinamide</t>
        </is>
      </c>
      <c r="F27" s="32" t="inlineStr">
        <is>
          <t>Furosemide</t>
        </is>
      </c>
      <c r="G27" s="32" t="inlineStr">
        <is>
          <t>Hydrochlorothiazide (HCTZ)</t>
        </is>
      </c>
      <c r="H27" s="32" t="inlineStr">
        <is>
          <t>Fenofibrate</t>
        </is>
      </c>
      <c r="I27" s="32" t="n">
        <v>5</v>
      </c>
      <c r="J27" s="32"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32" t="n"/>
      <c r="L27" s="32" t="inlineStr">
        <is>
          <t>Gout</t>
        </is>
      </c>
      <c r="M27" s="32" t="inlineStr">
        <is>
          <t>Clinic</t>
        </is>
      </c>
      <c r="N27" s="32" t="inlineStr">
        <is>
          <t>Gout Drug-Induced: Losartan ช่วยขับกรดยูริกทางปัสสาวะ ขณะที่ Thiazide/Aspirin ลดการขับยูริก</t>
        </is>
      </c>
      <c r="O27" s="32" t="inlineStr">
        <is>
          <t>ข้อสอบจริง</t>
        </is>
      </c>
      <c r="P27" s="32" t="inlineStr">
        <is>
          <t>2565</t>
        </is>
      </c>
    </row>
    <row r="28" ht="409.6" customHeight="1" s="49">
      <c r="A28" s="32" t="n">
        <v>26</v>
      </c>
      <c r="B28" s="32"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32" t="n"/>
      <c r="D28" s="32" t="inlineStr">
        <is>
          <t>Rheumatoid factor (RF)</t>
        </is>
      </c>
      <c r="E28" s="32" t="inlineStr">
        <is>
          <t>C-reactive protein (CRP)</t>
        </is>
      </c>
      <c r="F28" s="32" t="inlineStr">
        <is>
          <t>Visual Analog Scale (VAS) score</t>
        </is>
      </c>
      <c r="G28" s="32" t="inlineStr">
        <is>
          <t>Complete Blood Count (CBC) และค่าการทำงานของตับ (AST/ALT)</t>
        </is>
      </c>
      <c r="H28" s="32" t="inlineStr">
        <is>
          <t>Erythrocyte Sedimentation Rate (ESR)</t>
        </is>
      </c>
      <c r="I28" s="32" t="n">
        <v>4</v>
      </c>
      <c r="J28" s="32"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32" t="n"/>
      <c r="L28" s="32" t="inlineStr">
        <is>
          <t>Rheumatoid arthritis</t>
        </is>
      </c>
      <c r="M28" s="32" t="inlineStr">
        <is>
          <t>Clinic</t>
        </is>
      </c>
      <c r="N28" s="32" t="inlineStr">
        <is>
          <t>RA Disease Activity: ประเมินด้วย CDAI, SDAI หรือ DAS28 เพื่อปรับขนาดยาตาม Treat-to-target</t>
        </is>
      </c>
      <c r="O28" s="32" t="inlineStr">
        <is>
          <t>ข้อสอบจริง</t>
        </is>
      </c>
      <c r="P28" s="32" t="inlineStr">
        <is>
          <t>2565</t>
        </is>
      </c>
    </row>
    <row r="29" ht="409.6" customHeight="1" s="49">
      <c r="A29" s="32" t="n">
        <v>27</v>
      </c>
      <c r="B29" s="32"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32" t="n"/>
      <c r="D29" s="32" t="inlineStr">
        <is>
          <t>เถาวัลย์เปรียง</t>
        </is>
      </c>
      <c r="E29" s="32" t="inlineStr">
        <is>
          <t>ชุมเห็ดเทศ</t>
        </is>
      </c>
      <c r="F29" s="32" t="inlineStr">
        <is>
          <t>รางจืด</t>
        </is>
      </c>
      <c r="G29" s="32" t="inlineStr">
        <is>
          <t>หญ้าหนวดแมว</t>
        </is>
      </c>
      <c r="H29" s="32" t="inlineStr">
        <is>
          <t>พญายอ</t>
        </is>
      </c>
      <c r="I29" s="32" t="n">
        <v>1</v>
      </c>
      <c r="J29" s="32"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32" t="n"/>
      <c r="L29" s="32" t="inlineStr">
        <is>
          <t>Gout / Herbal Medicine</t>
        </is>
      </c>
      <c r="M29" s="32" t="inlineStr">
        <is>
          <t>Clinic</t>
        </is>
      </c>
      <c r="N29" s="32" t="inlineStr">
        <is>
          <t>Herbal Medicine: สารสกัดเถาวัลย์เปรียง บรรเทาอาการปวดข้อเข่าเสื่อมได้เทียบเท่า NSAIDs</t>
        </is>
      </c>
      <c r="O29" s="32" t="inlineStr">
        <is>
          <t>ข้อสอบจริง</t>
        </is>
      </c>
      <c r="P29" s="32" t="inlineStr">
        <is>
          <t>2565</t>
        </is>
      </c>
    </row>
    <row r="30" ht="409.6" customHeight="1" s="49">
      <c r="A30" s="32" t="n">
        <v>28</v>
      </c>
      <c r="B30" s="32"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32" t="n"/>
      <c r="D30" s="32" t="inlineStr">
        <is>
          <t>Pancytopenia (เซลล์เม็ดเลือดต่ำทุกชนิด)</t>
        </is>
      </c>
      <c r="E30" s="32" t="inlineStr">
        <is>
          <t>Neutropenia (เม็ดเลือดขาวชนิดนิวโทรฟิลต่ำ)</t>
        </is>
      </c>
      <c r="F30" s="32" t="inlineStr">
        <is>
          <t>Thrombocytopenia (เกล็ดเลือดต่ำ)</t>
        </is>
      </c>
      <c r="G30" s="32" t="inlineStr">
        <is>
          <t>Anemia (ภาวะโลหิตจาง)</t>
        </is>
      </c>
      <c r="H30" s="32" t="inlineStr">
        <is>
          <t>Bicytopenia (เซลล์เม็ดเลือดต่ำสองชนิด)</t>
        </is>
      </c>
      <c r="I30" s="32" t="n">
        <v>1</v>
      </c>
      <c r="J30" s="32"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32" t="n"/>
      <c r="L30" s="32" t="inlineStr">
        <is>
          <t>Gout</t>
        </is>
      </c>
      <c r="M30" s="32" t="inlineStr">
        <is>
          <t>Clinic</t>
        </is>
      </c>
      <c r="N30" s="32" t="inlineStr">
        <is>
          <t>MTX Toxicity: ตรวจพบ Leukopenia / Myelosuppression จากฤทธิ์ Antifolate ของ MTX</t>
        </is>
      </c>
      <c r="O30" s="32" t="inlineStr">
        <is>
          <t>ข้อสอบจริง</t>
        </is>
      </c>
      <c r="P30" s="32" t="inlineStr">
        <is>
          <t>2564</t>
        </is>
      </c>
    </row>
    <row r="31" ht="409.6" customHeight="1" s="49">
      <c r="A31" s="32" t="n">
        <v>29</v>
      </c>
      <c r="B31" s="32"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32" t="n"/>
      <c r="D31" s="32" t="inlineStr">
        <is>
          <t>Naproxen</t>
        </is>
      </c>
      <c r="E31" s="32" t="inlineStr">
        <is>
          <t>Colchicine</t>
        </is>
      </c>
      <c r="F31" s="32" t="inlineStr">
        <is>
          <t>Allopurinol</t>
        </is>
      </c>
      <c r="G31" s="32" t="inlineStr">
        <is>
          <t>Paracetamol</t>
        </is>
      </c>
      <c r="H31" s="32" t="inlineStr">
        <is>
          <t>ทั้ง Allopurinol และ Colchicine ร่วมกัน</t>
        </is>
      </c>
      <c r="I31" s="32" t="n">
        <v>2</v>
      </c>
      <c r="J31" s="32"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32" t="n"/>
      <c r="L31" s="32" t="inlineStr">
        <is>
          <t>Gout</t>
        </is>
      </c>
      <c r="M31" s="32" t="inlineStr">
        <is>
          <t>Clinic</t>
        </is>
      </c>
      <c r="N31" s="32" t="inlineStr">
        <is>
          <t>Drug-Induced Cytopenia: MTX กดไขกระดูก ป้องกันได้ด้วยการให้ Folic acid เสริม</t>
        </is>
      </c>
      <c r="O31" s="32" t="inlineStr">
        <is>
          <t>ข้อสอบจริง</t>
        </is>
      </c>
      <c r="P31" s="32" t="inlineStr">
        <is>
          <t>2564</t>
        </is>
      </c>
    </row>
    <row r="32" ht="409.6" customHeight="1" s="49">
      <c r="A32" s="32" t="n">
        <v>30</v>
      </c>
      <c r="B32" s="32" t="inlineStr">
        <is>
          <t>จากข้อมูลข้างต้น ข้อใดคือคำจำกัดความที่ถูกต้องของค่า T-score ทางคลินิก</t>
        </is>
      </c>
      <c r="C32" s="32" t="n"/>
      <c r="D32" s="32" t="inlineStr">
        <is>
          <t>ค่าความหนาแน่นมวลกระดูกของผู้ป่วยเมื่อเทียบกับค่าสูงสุดของประชากรเพศเดียวกันในวัยหนุ่มสาว (Peak bone mass)</t>
        </is>
      </c>
      <c r="E32" s="32" t="inlineStr">
        <is>
          <t>ค่าความหนาแน่นมวลกระดูกของผู้ป่วยเมื่อเทียบกับค่าเฉลี่ยของประชากรในช่วงอายุเดียวกัน</t>
        </is>
      </c>
      <c r="F32" s="32" t="inlineStr">
        <is>
          <t>ค่าความแข็งแรงทางสรีรวิทยาของกระดูกสะโพกและกระดูกสันหลัง</t>
        </is>
      </c>
      <c r="G32" s="32" t="inlineStr">
        <is>
          <t>ค่าที่ใช้สำหรับวินิจฉัยภาวะกระดูกน่วมและกระดูกบางในสตรีอายุน้อย</t>
        </is>
      </c>
      <c r="H32" s="32" t="inlineStr">
        <is>
          <t>อัตราส่วนความเสี่ยงในการเกิดกระดูกหักจากอุบัติเหตุล้มเบาบาง</t>
        </is>
      </c>
      <c r="I32" s="32" t="n">
        <v>1</v>
      </c>
      <c r="J32" s="32"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32" t="n"/>
      <c r="L32" s="32" t="inlineStr">
        <is>
          <t>Osteoporosis</t>
        </is>
      </c>
      <c r="M32" s="32" t="inlineStr">
        <is>
          <t>Clinic</t>
        </is>
      </c>
      <c r="N32" s="32" t="inlineStr">
        <is>
          <t>Osteoporosis Definition: T-score ≤ -2.5 SD ณ Lumbar spine หรือ Hip</t>
        </is>
      </c>
      <c r="O32" s="32" t="inlineStr">
        <is>
          <t>ข้อสอบจริง</t>
        </is>
      </c>
      <c r="P32" s="32" t="inlineStr">
        <is>
          <t>2564</t>
        </is>
      </c>
    </row>
    <row r="33" ht="409.6" customHeight="1" s="49">
      <c r="A33" s="32" t="n">
        <v>31</v>
      </c>
      <c r="B33" s="32"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32" t="n"/>
      <c r="D33" s="32" t="inlineStr">
        <is>
          <t>Alendronate (หรือยากลุ่ม Bisphosphonates)</t>
        </is>
      </c>
      <c r="E33" s="32" t="inlineStr">
        <is>
          <t>Raloxifene</t>
        </is>
      </c>
      <c r="F33" s="32" t="inlineStr">
        <is>
          <t>Strontium ranelate</t>
        </is>
      </c>
      <c r="G33" s="32" t="inlineStr">
        <is>
          <t>Teriparatide</t>
        </is>
      </c>
      <c r="H33" s="32" t="inlineStr">
        <is>
          <t>Calcitonin nasal spray</t>
        </is>
      </c>
      <c r="I33" s="32" t="n">
        <v>1</v>
      </c>
      <c r="J33" s="32"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32" t="n"/>
      <c r="L33" s="32" t="inlineStr">
        <is>
          <t>Osteoporosis</t>
        </is>
      </c>
      <c r="M33" s="32" t="inlineStr">
        <is>
          <t>Clinic</t>
        </is>
      </c>
      <c r="N33" s="32" t="inlineStr">
        <is>
          <t>Osteoporosis First-line: Alendronate / Risedronate (Oral Bisphosphonates) ลด Fracture ได้ดีที่สุด</t>
        </is>
      </c>
      <c r="O33" s="32" t="inlineStr">
        <is>
          <t>ข้อสอบจริง</t>
        </is>
      </c>
      <c r="P33" s="32" t="inlineStr">
        <is>
          <t>2564</t>
        </is>
      </c>
    </row>
    <row r="34" ht="409.6" customHeight="1" s="49">
      <c r="A34" s="32" t="n">
        <v>32</v>
      </c>
      <c r="B34" s="32"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32" t="n"/>
      <c r="D34" s="32" t="inlineStr">
        <is>
          <t>อายุของผู้ป่วย</t>
        </is>
      </c>
      <c r="E34" s="32" t="inlineStr">
        <is>
          <t>ราคาค่ายา</t>
        </is>
      </c>
      <c r="F34" s="32" t="inlineStr">
        <is>
          <t>น้ำหนักตัวของผู้ป่วย</t>
        </is>
      </c>
      <c r="G34" s="32" t="inlineStr">
        <is>
          <t>ประวัติการแพ้ยาของผู้ป่วย</t>
        </is>
      </c>
      <c r="H34" s="32" t="inlineStr">
        <is>
          <t>โรคร่วมและการใช้ยาอื่นร่วมของผู้ป่วย</t>
        </is>
      </c>
      <c r="I34" s="32" t="n">
        <v>3</v>
      </c>
      <c r="J34" s="32"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32" t="n"/>
      <c r="L34" s="32" t="inlineStr">
        <is>
          <t>Osteoarthritis</t>
        </is>
      </c>
      <c r="M34" s="32" t="inlineStr">
        <is>
          <t>Clinic</t>
        </is>
      </c>
      <c r="N34" s="32" t="inlineStr">
        <is>
          <t>NSAIDs Safety: ปัจจัยเสี่ยงแผลทางเดินอาหาร ได้แก่ ผู้สูงอายุ, ประวัติ GI bleed, ยาต้านเกล็ดเลือด</t>
        </is>
      </c>
      <c r="O34" s="32" t="inlineStr">
        <is>
          <t>ข้อสอบจริง</t>
        </is>
      </c>
      <c r="P34" s="32" t="inlineStr">
        <is>
          <t>2563</t>
        </is>
      </c>
    </row>
    <row r="35" ht="409.6" customHeight="1" s="49">
      <c r="A35" s="32" t="n">
        <v>33</v>
      </c>
      <c r="B35" s="32"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32" t="n"/>
      <c r="D35" s="32" t="inlineStr">
        <is>
          <t>หลีกเลี่ยงการจ่ายยา NSAIDs ทุกชนิดเนื่องจากผู้ป่วยทาน Aspirin และเคยเกิดเลือดออกในทางเดินอาหาร</t>
        </is>
      </c>
      <c r="E35" s="32" t="inlineStr">
        <is>
          <t>จ่ายยา Acetaminophen (Paracetamol) เป็นตัวเลือกอันดับแรกในการบรรเทาปวดแทนยาอื่น</t>
        </is>
      </c>
      <c r="F35" s="32" t="inlineStr">
        <is>
          <t>สั่งจ่ายยากลุ่ม NSAIDs ร่วมกัน 2 ตัวเพื่อบรรเทาอาการปวดที่รุนแรง</t>
        </is>
      </c>
      <c r="G35" s="32" t="inlineStr">
        <is>
          <t>เลือกใช้ยากลุ่ม Selective COX-2 inhibitor เพียงอย่างเดียวโดยไม่ต้องใช้ยาอื่น</t>
        </is>
      </c>
      <c r="H35" s="32" t="inlineStr">
        <is>
          <t>จ่ายยากลุ่ม NSAIDs ร่วมกับ Proton Pump Inhibitor (PPI เช่น Omeprazole) ทุกครั้งเพื่อความปลอดภัยต่อทางเดินอาหาร</t>
        </is>
      </c>
      <c r="I35" s="32" t="n">
        <v>5</v>
      </c>
      <c r="J35" s="32"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32" t="n"/>
      <c r="L35" s="32" t="inlineStr">
        <is>
          <t>Gout</t>
        </is>
      </c>
      <c r="M35" s="32" t="inlineStr">
        <is>
          <t>Clinic</t>
        </is>
      </c>
      <c r="N35" s="32" t="inlineStr">
        <is>
          <t>NSAIDs GI Protection: ใช้ Celecoxib ร่วมกับ PPIs ในผู้ป่วย High GI risk และ low CV risk</t>
        </is>
      </c>
      <c r="O35" s="32" t="inlineStr">
        <is>
          <t>ข้อสอบจริง</t>
        </is>
      </c>
      <c r="P35" s="32" t="inlineStr">
        <is>
          <t>2563</t>
        </is>
      </c>
    </row>
    <row r="36" ht="409.6" customHeight="1" s="49">
      <c r="A36" s="32" t="n">
        <v>34</v>
      </c>
      <c r="B36" s="32" t="inlineStr">
        <is>
          <t>จากการที่ผู้ป่วยรับประทานยา Allopurinol ยาจะถูกสลายสภาพโดยเอนไซม์ Xanthine oxidase ได้สารเมตาโบไลต์ชนิดใดในปัสสาวะ</t>
        </is>
      </c>
      <c r="C36" s="32" t="n"/>
      <c r="D36" s="32" t="inlineStr">
        <is>
          <t>Hypoxanthine</t>
        </is>
      </c>
      <c r="E36" s="32" t="inlineStr">
        <is>
          <t>Inosine diphosphate</t>
        </is>
      </c>
      <c r="F36" s="32" t="inlineStr">
        <is>
          <t>Oxypurinol (หรือ Alloxanthine)</t>
        </is>
      </c>
      <c r="G36" s="32" t="inlineStr">
        <is>
          <t>Methyl 3-(3,5-di-tert-butyl-4-hydroxyphenyl)propionate</t>
        </is>
      </c>
      <c r="H36" s="32" t="inlineStr">
        <is>
          <t>L-adenine</t>
        </is>
      </c>
      <c r="I36" s="32" t="n">
        <v>3</v>
      </c>
      <c r="J36" s="32"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32" t="n"/>
      <c r="L36" s="32" t="inlineStr">
        <is>
          <t>Gout</t>
        </is>
      </c>
      <c r="M36" s="32" t="inlineStr">
        <is>
          <t>Clinic</t>
        </is>
      </c>
      <c r="N36" s="32" t="inlineStr">
        <is>
          <t>Allopurinol Metabolism: เปลี่ยนเป็นสารออกฤทธิ์ Oxypurinol ขับออกทางไตเป็นหลัก ต้องปรับตาม CrCl</t>
        </is>
      </c>
      <c r="O36" s="32" t="inlineStr">
        <is>
          <t>ข้อสอบจริง</t>
        </is>
      </c>
      <c r="P36" s="32" t="inlineStr">
        <is>
          <t>2563</t>
        </is>
      </c>
    </row>
    <row r="37" ht="409.6" customHeight="1" s="49">
      <c r="A37" s="32" t="n">
        <v>35</v>
      </c>
      <c r="B37" s="32"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32" t="n"/>
      <c r="D37" s="32" t="inlineStr">
        <is>
          <t>12 ชั่วโมง</t>
        </is>
      </c>
      <c r="E37" s="32" t="inlineStr">
        <is>
          <t>24 ชั่วโมง</t>
        </is>
      </c>
      <c r="F37" s="32" t="inlineStr">
        <is>
          <t>36 ชั่วโมง</t>
        </is>
      </c>
      <c r="G37" s="32" t="inlineStr">
        <is>
          <t>48 ชั่วโมง</t>
        </is>
      </c>
      <c r="H37" s="32" t="inlineStr">
        <is>
          <t>60 ชั่วโมง</t>
        </is>
      </c>
      <c r="I37" s="32" t="n">
        <v>3</v>
      </c>
      <c r="J37" s="32"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32" t="n"/>
      <c r="L37" s="32" t="inlineStr">
        <is>
          <t>Gout</t>
        </is>
      </c>
      <c r="M37" s="32" t="inlineStr">
        <is>
          <t>Clinic</t>
        </is>
      </c>
      <c r="N37" s="32" t="inlineStr">
        <is>
          <t>Colchicine Flare Duration: ควรเริ่มยาภายใน 24-36 ชั่วโมงหลังมีอาการ และให้ต่อเนื่องจนอาการสงบ</t>
        </is>
      </c>
      <c r="O37" s="32" t="inlineStr">
        <is>
          <t>ข้อสอบจริง</t>
        </is>
      </c>
      <c r="P37" s="32" t="inlineStr">
        <is>
          <t>2563</t>
        </is>
      </c>
    </row>
    <row r="38" ht="409.6" customHeight="1" s="49">
      <c r="A38" s="32" t="n">
        <v>36</v>
      </c>
      <c r="B38" s="32"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32" t="n"/>
      <c r="D38" s="32" t="inlineStr">
        <is>
          <t>น้อยกว่า 5 mg/dL</t>
        </is>
      </c>
      <c r="E38" s="32" t="inlineStr">
        <is>
          <t>น้อยกว่า 6 mg/dL</t>
        </is>
      </c>
      <c r="F38" s="32" t="inlineStr">
        <is>
          <t>น้อยกว่า 7 mg/dL</t>
        </is>
      </c>
      <c r="G38" s="32" t="inlineStr">
        <is>
          <t>น้อยกว่า 8 mg/dL</t>
        </is>
      </c>
      <c r="H38" s="32" t="inlineStr">
        <is>
          <t>น้อยกว่า 9 mg/dL</t>
        </is>
      </c>
      <c r="I38" s="32" t="n">
        <v>2</v>
      </c>
      <c r="J38" s="32"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32" t="n"/>
      <c r="L38" s="32" t="inlineStr">
        <is>
          <t>Gout</t>
        </is>
      </c>
      <c r="M38" s="32" t="inlineStr">
        <is>
          <t>Clinic</t>
        </is>
      </c>
      <c r="N38" s="32" t="inlineStr">
        <is>
          <t>Gout SUA Target: เป้าหมายกรดยูริกในเลือด &lt; 6.0 mg/dL (&lt; 5.0 mg/dL หากมี Tophi)</t>
        </is>
      </c>
      <c r="O38" s="32" t="inlineStr">
        <is>
          <t>ข้อสอบจริง</t>
        </is>
      </c>
      <c r="P38" s="32" t="inlineStr">
        <is>
          <t>2563</t>
        </is>
      </c>
    </row>
    <row r="39" ht="409.6" customHeight="1" s="49">
      <c r="A39" s="32" t="n">
        <v>37</v>
      </c>
      <c r="B39" s="32"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32" t="n"/>
      <c r="D39" s="32" t="inlineStr">
        <is>
          <t>Hyperuricemia</t>
        </is>
      </c>
      <c r="E39" s="32" t="inlineStr">
        <is>
          <t>Genital tract infection</t>
        </is>
      </c>
      <c r="F39" s="32" t="inlineStr">
        <is>
          <t>Angioedema</t>
        </is>
      </c>
      <c r="G39" s="32" t="inlineStr">
        <is>
          <t>Acute renal failure (ไตวายเฉียบพลัน)</t>
        </is>
      </c>
      <c r="H39" s="32" t="inlineStr">
        <is>
          <t>Constipation</t>
        </is>
      </c>
      <c r="I39" s="32" t="n">
        <v>4</v>
      </c>
      <c r="J39" s="32"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32" t="n"/>
      <c r="L39" s="32" t="inlineStr">
        <is>
          <t>Gout</t>
        </is>
      </c>
      <c r="M39" s="32" t="inlineStr">
        <is>
          <t>Clinic</t>
        </is>
      </c>
      <c r="N39" s="32" t="inlineStr">
        <is>
          <t>NSAIDs AKI: ยับยั้ง Renal PGE2/PGI2 ทำให้เกิด Afferent arteriole vasoconstriction</t>
        </is>
      </c>
      <c r="O39" s="32" t="inlineStr">
        <is>
          <t>ข้อสอบจริง</t>
        </is>
      </c>
      <c r="P39" s="32" t="inlineStr">
        <is>
          <t>2563</t>
        </is>
      </c>
    </row>
    <row r="40" ht="409.6" customHeight="1" s="49">
      <c r="A40" s="32" t="n">
        <v>38</v>
      </c>
      <c r="B40" s="32"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32" t="n"/>
      <c r="D40" s="32" t="inlineStr">
        <is>
          <t>Acute renal injury (Acute kidney injury: AKI)</t>
        </is>
      </c>
      <c r="E40" s="32" t="inlineStr">
        <is>
          <t>Renal stone (นิ่วในไต)</t>
        </is>
      </c>
      <c r="F40" s="32" t="inlineStr">
        <is>
          <t>Hemorrhagic cystitis (กระเพาะปัสสาวะอักเสบมีเลือดออก)</t>
        </is>
      </c>
      <c r="G40" s="32" t="inlineStr">
        <is>
          <t>Pyelonephritis (กรวยไตอักเสบ)</t>
        </is>
      </c>
      <c r="H40" s="32" t="inlineStr">
        <is>
          <t>Chronic kidney disease (โรคไตเรื้อรังระยะลุกลาม)</t>
        </is>
      </c>
      <c r="I40" s="32" t="n">
        <v>1</v>
      </c>
      <c r="J40" s="32"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32" t="n"/>
      <c r="L40" s="32" t="inlineStr">
        <is>
          <t>Gout</t>
        </is>
      </c>
      <c r="M40" s="32" t="inlineStr">
        <is>
          <t>Clinic</t>
        </is>
      </c>
      <c r="N40" s="32" t="inlineStr">
        <is>
          <t>NSAIDs Nephrotoxicity: เสี่ยงต่อ Hemodynamic acute kidney injury โดยเฉพาะเมื่อใช้ร่วมกับ ACEI/Diuretics</t>
        </is>
      </c>
      <c r="O40" s="32" t="inlineStr">
        <is>
          <t>ข้อสอบจริง</t>
        </is>
      </c>
      <c r="P40" s="32" t="inlineStr">
        <is>
          <t>2563</t>
        </is>
      </c>
    </row>
    <row r="41" ht="409.6" customHeight="1" s="49">
      <c r="A41" s="32" t="n">
        <v>39</v>
      </c>
      <c r="B41" s="32"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32" t="n"/>
      <c r="D41" s="32" t="inlineStr">
        <is>
          <t>Bisoprolol</t>
        </is>
      </c>
      <c r="E41" s="32" t="inlineStr">
        <is>
          <t>Metoprolol</t>
        </is>
      </c>
      <c r="F41" s="32" t="inlineStr">
        <is>
          <t>Amlodipine</t>
        </is>
      </c>
      <c r="G41" s="32" t="inlineStr">
        <is>
          <t>Manidipine</t>
        </is>
      </c>
      <c r="H41" s="32" t="inlineStr">
        <is>
          <t>Hydrochlorothiazide (HCTZ)</t>
        </is>
      </c>
      <c r="I41" s="32" t="n">
        <v>5</v>
      </c>
      <c r="J41" s="32"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32" t="n"/>
      <c r="L41" s="32" t="inlineStr">
        <is>
          <t>Gout</t>
        </is>
      </c>
      <c r="M41" s="32" t="inlineStr">
        <is>
          <t>Clinic</t>
        </is>
      </c>
      <c r="N41" s="32" t="inlineStr">
        <is>
          <t>Gout Drug Caution: HCTZ และ Thiazide diuretics แย่งขับกรดยูริกที่ท่อไต ทำให้กรดยูริกสูงขึ้น</t>
        </is>
      </c>
      <c r="O41" s="32" t="inlineStr">
        <is>
          <t>ข้อสอบจริง</t>
        </is>
      </c>
      <c r="P41" s="32" t="inlineStr">
        <is>
          <t>2563</t>
        </is>
      </c>
    </row>
    <row r="42" ht="409.6" customHeight="1" s="49">
      <c r="A42" s="32" t="n">
        <v>40</v>
      </c>
      <c r="B42" s="32"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32" t="n"/>
      <c r="D42" s="32" t="inlineStr">
        <is>
          <t>Azathioprine</t>
        </is>
      </c>
      <c r="E42" s="32" t="inlineStr">
        <is>
          <t>Benzbromarone</t>
        </is>
      </c>
      <c r="F42" s="32" t="inlineStr">
        <is>
          <t>Cyclosporin</t>
        </is>
      </c>
      <c r="G42" s="32" t="inlineStr">
        <is>
          <t>Febuxostat</t>
        </is>
      </c>
      <c r="H42" s="32" t="inlineStr">
        <is>
          <t>Leflunomide</t>
        </is>
      </c>
      <c r="I42" s="32" t="n">
        <v>2</v>
      </c>
      <c r="J42" s="32"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32" t="n"/>
      <c r="L42" s="32" t="inlineStr">
        <is>
          <t>Gout</t>
        </is>
      </c>
      <c r="M42" s="32" t="inlineStr">
        <is>
          <t>Clinic</t>
        </is>
      </c>
      <c r="N42" s="32" t="inlineStr">
        <is>
          <t>Gout Add-on ULT: หากใช้ Allopurinol เต็มขนาดแล้วยังไม่ถึงเป้า แนะนำ Add-on Uricosuric (Benzbromarone)</t>
        </is>
      </c>
      <c r="O42" s="32" t="inlineStr">
        <is>
          <t>ข้อสอบจริง</t>
        </is>
      </c>
      <c r="P42" s="32" t="inlineStr">
        <is>
          <t>2563</t>
        </is>
      </c>
    </row>
    <row r="43" ht="409.6" customHeight="1" s="49">
      <c r="A43" s="32" t="n">
        <v>41</v>
      </c>
      <c r="B43" s="32" t="inlineStr">
        <is>
          <t>จากกรณีศึกษาข้างต้น ผู้ป่วยรายนี้คาดว่าเป็นอาการแสดงของโรคในข้อใดมากที่สุด</t>
        </is>
      </c>
      <c r="C43" s="32" t="n"/>
      <c r="D43" s="32" t="inlineStr">
        <is>
          <t>Osteoarthritis</t>
        </is>
      </c>
      <c r="E43" s="32" t="inlineStr">
        <is>
          <t>Osteoporosis</t>
        </is>
      </c>
      <c r="F43" s="32" t="inlineStr">
        <is>
          <t>Osteomalacia</t>
        </is>
      </c>
      <c r="G43" s="32" t="inlineStr">
        <is>
          <t>Rheumatoid Arthritis</t>
        </is>
      </c>
      <c r="H43" s="32" t="inlineStr">
        <is>
          <t>Ligament injury</t>
        </is>
      </c>
      <c r="I43" s="32" t="n">
        <v>1</v>
      </c>
      <c r="J43" s="32"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32" t="n"/>
      <c r="L43" s="32" t="inlineStr">
        <is>
          <t>Osteoarthritis</t>
        </is>
      </c>
      <c r="M43" s="32" t="inlineStr">
        <is>
          <t>Clinic</t>
        </is>
      </c>
      <c r="N43" s="32" t="inlineStr">
        <is>
          <t>OA Diagnosis: ปวดเข่า, ขยับมีเสียง Crepitus, ข้อติดตอนเช้า &lt; 30 นาที, ไม่มีอาการอักเสบร้อนแดง</t>
        </is>
      </c>
      <c r="O43" s="32" t="inlineStr">
        <is>
          <t>ข้อสอบจริง</t>
        </is>
      </c>
      <c r="P43" s="32" t="inlineStr">
        <is>
          <t>2562</t>
        </is>
      </c>
    </row>
    <row r="44" ht="409.6" customHeight="1" s="49">
      <c r="A44" s="32" t="n">
        <v>42</v>
      </c>
      <c r="B44" s="32"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32" t="n"/>
      <c r="D44" s="32" t="inlineStr">
        <is>
          <t>Celecoxib</t>
        </is>
      </c>
      <c r="E44" s="32" t="inlineStr">
        <is>
          <t>Diacerein</t>
        </is>
      </c>
      <c r="F44" s="32" t="inlineStr">
        <is>
          <t>Tramadol</t>
        </is>
      </c>
      <c r="G44" s="32" t="inlineStr">
        <is>
          <t>Paracetamol</t>
        </is>
      </c>
      <c r="H44" s="32" t="inlineStr">
        <is>
          <t>Diclofenac emulgel</t>
        </is>
      </c>
      <c r="I44" s="32" t="n">
        <v>1</v>
      </c>
      <c r="J44" s="32"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32" t="n"/>
      <c r="L44" s="32" t="inlineStr">
        <is>
          <t>Osteoarthritis</t>
        </is>
      </c>
      <c r="M44" s="32" t="inlineStr">
        <is>
          <t>Clinic</t>
        </is>
      </c>
      <c r="N44" s="32" t="inlineStr">
        <is>
          <t>OA CKD Caution: ห้ามใช้ Oral NSAIDs ในผู้ป่วย ESRD หรือ Severe CKD (eGFR &lt; 30 mL/min)</t>
        </is>
      </c>
      <c r="O44" s="32" t="inlineStr">
        <is>
          <t>ข้อสอบจริง</t>
        </is>
      </c>
      <c r="P44" s="32" t="inlineStr">
        <is>
          <t>2562</t>
        </is>
      </c>
    </row>
    <row r="45" ht="409.6" customHeight="1" s="49">
      <c r="A45" s="32" t="n">
        <v>43</v>
      </c>
      <c r="B45" s="32" t="inlineStr">
        <is>
          <t>ข้อใดต่อไปนี้เป็นแนวทางการปฏิบัติตัวและดูแลรักษาที่ ไม่แนะนำ สำหรับผู้ป่วยรายนี้</t>
        </is>
      </c>
      <c r="C45" s="32" t="n"/>
      <c r="D45" s="32" t="inlineStr">
        <is>
          <t>ลดน้ำหนักตัวเพื่อลดแรงกดทับข้อเข่า</t>
        </is>
      </c>
      <c r="E45" s="32" t="inlineStr">
        <is>
          <t>ออกกำลังกายเบา ๆ ที่ไม่มีแรงกระแทก</t>
        </is>
      </c>
      <c r="F45" s="32" t="inlineStr">
        <is>
          <t>บริหารกล้ามเนื้อรอบบริเวณหัวเข่า</t>
        </is>
      </c>
      <c r="G45" s="32" t="inlineStr">
        <is>
          <t>รับประทาน Glucosamine sulfate เพื่อป้องกันและรักษาอาการ</t>
        </is>
      </c>
      <c r="H45" s="32" t="inlineStr">
        <is>
          <t>สวมรองเท้าส้นเตี้ยที่มีส้นหนานุ่มรับแรงกระแทก</t>
        </is>
      </c>
      <c r="I45" s="32" t="n">
        <v>4</v>
      </c>
      <c r="J45" s="32"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32" t="n"/>
      <c r="L45" s="32" t="inlineStr">
        <is>
          <t>Osteoarthritis</t>
        </is>
      </c>
      <c r="M45" s="32" t="inlineStr">
        <is>
          <t>Clinic</t>
        </is>
      </c>
      <c r="N45" s="32" t="inlineStr">
        <is>
          <t>OA Management: ลดน้ำหนัก, กายภาพบำบัดเพิ่มความแข็งแรงของกล้ามเนื้อรอบข้อเข่า Quadriceps</t>
        </is>
      </c>
      <c r="O45" s="32" t="inlineStr">
        <is>
          <t>ข้อสอบจริง</t>
        </is>
      </c>
      <c r="P45" s="32" t="inlineStr">
        <is>
          <t>2562</t>
        </is>
      </c>
    </row>
    <row r="46" ht="409.6" customHeight="1" s="49">
      <c r="A46" s="32" t="n">
        <v>44</v>
      </c>
      <c r="B46" s="32" t="inlineStr">
        <is>
          <t>ยาต้านการสลายกระดูกในข้อใดจัดเป็นยาทางเลือกแรกที่ควรเลือกใช้รักษาอาการกระดูกพรุนในผู้ป่วยรายนี้</t>
        </is>
      </c>
      <c r="C46" s="32" t="n"/>
      <c r="D46" s="32" t="inlineStr">
        <is>
          <t>Strontium ranelate</t>
        </is>
      </c>
      <c r="E46" s="32" t="inlineStr">
        <is>
          <t>Teriparatide</t>
        </is>
      </c>
      <c r="F46" s="32" t="inlineStr">
        <is>
          <t>Alendronate (หรือยากลุ่ม Bisphosphonates)</t>
        </is>
      </c>
      <c r="G46" s="32" t="inlineStr">
        <is>
          <t>Raloxifene</t>
        </is>
      </c>
      <c r="H46" s="32" t="inlineStr">
        <is>
          <t>Nasal salmon calcitonin</t>
        </is>
      </c>
      <c r="I46" s="32" t="n">
        <v>3</v>
      </c>
      <c r="J46" s="32"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32" t="n"/>
      <c r="L46" s="32" t="inlineStr">
        <is>
          <t>Osteoporosis</t>
        </is>
      </c>
      <c r="M46" s="32" t="inlineStr">
        <is>
          <t>Clinic</t>
        </is>
      </c>
      <c r="N46" s="32" t="inlineStr">
        <is>
          <t>Osteoporosis First-line: Alendronate เพิ่ม BMD และลดอุบัติการณ์กระดูกหักได้อย่างมีนัยสำคัญ</t>
        </is>
      </c>
      <c r="O46" s="32" t="inlineStr">
        <is>
          <t>ข้อสอบจริง</t>
        </is>
      </c>
      <c r="P46" s="32" t="inlineStr">
        <is>
          <t>2562</t>
        </is>
      </c>
    </row>
    <row r="47" ht="409.6" customHeight="1" s="49">
      <c r="A47" s="32" t="n">
        <v>45</v>
      </c>
      <c r="B47" s="32"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32" t="n"/>
      <c r="D47" s="32" t="inlineStr">
        <is>
          <t>Psychosis</t>
        </is>
      </c>
      <c r="E47" s="32" t="inlineStr">
        <is>
          <t>Osteonecrosis of the jaw (กระดูกขากรรไกรเน่าเสีย)</t>
        </is>
      </c>
      <c r="F47" s="32" t="inlineStr">
        <is>
          <t>Epistaxis</t>
        </is>
      </c>
      <c r="G47" s="32" t="inlineStr">
        <is>
          <t>Transient flu-like syndrome</t>
        </is>
      </c>
      <c r="H47" s="32" t="inlineStr">
        <is>
          <t>Cardiac rhythm interruption</t>
        </is>
      </c>
      <c r="I47" s="32" t="n">
        <v>2</v>
      </c>
      <c r="J47" s="32"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32" t="n"/>
      <c r="L47" s="32" t="inlineStr">
        <is>
          <t>Osteoporosis</t>
        </is>
      </c>
      <c r="M47" s="32" t="inlineStr">
        <is>
          <t>Clinic</t>
        </is>
      </c>
      <c r="N47" s="32" t="inlineStr">
        <is>
          <t>Bisphosphonates ADR: Osteonecrosis of the Jaw (ONJ) ต้องตรวจและทำหัตถการทันตกรรมก่อนเริ่มยา</t>
        </is>
      </c>
      <c r="O47" s="32" t="inlineStr">
        <is>
          <t>ข้อสอบจริง</t>
        </is>
      </c>
      <c r="P47" s="32" t="inlineStr">
        <is>
          <t>2562</t>
        </is>
      </c>
    </row>
    <row r="48" ht="409.6" customHeight="1" s="49">
      <c r="A48" s="32" t="n">
        <v>46</v>
      </c>
      <c r="B48" s="32" t="inlineStr">
        <is>
          <t>ข้อใดคือกลไกการออกฤทธิ์ทางเภสัชวิทยาในการต้านการอักเสบของยากลุ่ม Corticosteroids ในร่างกาย</t>
        </is>
      </c>
      <c r="C48" s="32" t="n"/>
      <c r="D48" s="32" t="inlineStr">
        <is>
          <t>รบกวนการจำลองตัวของดีเอ็นเอ (DNA synthesis)</t>
        </is>
      </c>
      <c r="E48" s="32" t="inlineStr">
        <is>
          <t>ยับยั้งการหลั่งสาร Cytokine IL-2</t>
        </is>
      </c>
      <c r="F48" s="32" t="inlineStr">
        <is>
          <t>ยับยั้งการสังเคราะห์และหลั่งสาร Melatonin</t>
        </is>
      </c>
      <c r="G48" s="32" t="inlineStr">
        <is>
          <t>ยับยั้งการสังเคราะห์สาร Ergosterol ที่ผนังเซลล์</t>
        </is>
      </c>
      <c r="H48" s="32" t="inlineStr">
        <is>
          <t>ยับยั้งการทำงานของเอนไซม์ Phospholipase A2</t>
        </is>
      </c>
      <c r="I48" s="32" t="n">
        <v>5</v>
      </c>
      <c r="J48" s="32"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32" t="n"/>
      <c r="L48" s="32" t="inlineStr">
        <is>
          <t>Osteoarthritis</t>
        </is>
      </c>
      <c r="M48" s="32" t="inlineStr">
        <is>
          <t>Clinic</t>
        </is>
      </c>
      <c r="N48" s="32" t="inlineStr">
        <is>
          <t>Steroids Mechanism: จับกับ Glucocorticoid receptor ยับยั้ง NF-kB และลดการสร้าง Pro-inflammatory cytokines</t>
        </is>
      </c>
      <c r="O48" s="32" t="inlineStr">
        <is>
          <t>ข้อสอบจริง</t>
        </is>
      </c>
      <c r="P48" s="32" t="inlineStr">
        <is>
          <t>2562</t>
        </is>
      </c>
    </row>
    <row r="49" ht="409.6" customHeight="1" s="49">
      <c r="A49" s="32" t="n">
        <v>47</v>
      </c>
      <c r="B49" s="32"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32" t="n"/>
      <c r="D49" s="32" t="inlineStr">
        <is>
          <t>มากกว่า 2.5</t>
        </is>
      </c>
      <c r="E49" s="32" t="inlineStr">
        <is>
          <t>ระหว่าง 1.0 ถึง 2.5</t>
        </is>
      </c>
      <c r="F49" s="32" t="inlineStr">
        <is>
          <t>ระหว่าง -1.0 ถึง 1.0</t>
        </is>
      </c>
      <c r="G49" s="32" t="inlineStr">
        <is>
          <t>ระหว่าง -2.5 ถึง -1.0</t>
        </is>
      </c>
      <c r="H49" s="32" t="inlineStr">
        <is>
          <t>น้อยกว่าหรือเท่ากับ -2.5</t>
        </is>
      </c>
      <c r="I49" s="32" t="n">
        <v>5</v>
      </c>
      <c r="J49" s="32"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32" t="n"/>
      <c r="L49" s="32" t="inlineStr">
        <is>
          <t>Osteoporosis</t>
        </is>
      </c>
      <c r="M49" s="32" t="inlineStr">
        <is>
          <t>Clinic</t>
        </is>
      </c>
      <c r="N49" s="32" t="inlineStr">
        <is>
          <t>BMD Criteria: WHO เกณฑ์ Osteoporosis คือ T-score ≤ -2.5 SD</t>
        </is>
      </c>
      <c r="O49" s="32" t="inlineStr">
        <is>
          <t>ข้อสอบจริง</t>
        </is>
      </c>
      <c r="P49" s="32" t="inlineStr">
        <is>
          <t>2562</t>
        </is>
      </c>
    </row>
    <row r="50" ht="409.6" customHeight="1" s="49">
      <c r="A50" s="32" t="n">
        <v>48</v>
      </c>
      <c r="B50" s="32" t="inlineStr">
        <is>
          <t>จากข้อมูลกรณีศึกษาข้างต้น ผู้ป่วยรายนี้ควรได้รับการวินิจฉัยว่าเป็นโรคในข้อใดต่อไปนี้</t>
        </is>
      </c>
      <c r="C50" s="32" t="n"/>
      <c r="D50" s="32" t="inlineStr">
        <is>
          <t>Osteoporosis</t>
        </is>
      </c>
      <c r="E50" s="32" t="inlineStr">
        <is>
          <t>Osteopenia</t>
        </is>
      </c>
      <c r="F50" s="32" t="inlineStr">
        <is>
          <t>Osteoarthritis</t>
        </is>
      </c>
      <c r="G50" s="32" t="inlineStr">
        <is>
          <t>Osteosarcoma</t>
        </is>
      </c>
      <c r="H50" s="32" t="inlineStr">
        <is>
          <t>Osteomyelitis</t>
        </is>
      </c>
      <c r="I50" s="32" t="n">
        <v>1</v>
      </c>
      <c r="J50" s="32"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32" t="n"/>
      <c r="L50" s="32" t="inlineStr">
        <is>
          <t>Osteoporosis</t>
        </is>
      </c>
      <c r="M50" s="32" t="inlineStr">
        <is>
          <t>Clinic</t>
        </is>
      </c>
      <c r="N50" s="32" t="inlineStr">
        <is>
          <t>Osteoporosis Fragility Fracture: ผู้สูงอายุหกล้มกระดูกข้อมือหัก ร่วมกับ T-score ≤ -2.5 วินิจฉัย Osteoporosis</t>
        </is>
      </c>
      <c r="O50" s="32" t="inlineStr">
        <is>
          <t>ข้อสอบจริง</t>
        </is>
      </c>
      <c r="P50" s="32" t="inlineStr">
        <is>
          <t>2561</t>
        </is>
      </c>
    </row>
    <row r="51" ht="409.6" customHeight="1" s="49">
      <c r="A51" s="32" t="n">
        <v>49</v>
      </c>
      <c r="B51" s="32" t="inlineStr">
        <is>
          <t>ข้อใดต่อไปนี้จัดเป็นปัจจัยเสี่ยงของการเกิดโรคกระดูกพรุนของผู้ป่วยรายนี้</t>
        </is>
      </c>
      <c r="C51" s="32" t="n"/>
      <c r="D51" s="32" t="inlineStr">
        <is>
          <t>เพศหญิงและอายุที่มากขึ้น (วัยหมดประจำเดือน)</t>
        </is>
      </c>
      <c r="E51" s="32" t="inlineStr">
        <is>
          <t>การใช้ยากลุ่มขับปัสสาวะ Hydrochlorothiazide (HCTZ)</t>
        </is>
      </c>
      <c r="F51" s="32" t="inlineStr">
        <is>
          <t>การใช้ยากลุ่ม Calcium channel blockers (เช่น Nifedipine)</t>
        </is>
      </c>
      <c r="G51" s="32" t="inlineStr">
        <is>
          <t>การมีโรคประจำตัวเป็นความดันโลหิตสูง</t>
        </is>
      </c>
      <c r="H51" s="32" t="inlineStr">
        <is>
          <t>ประวัติครอบครัวที่คุณป้าเป็นโรคข้อเสื่อม</t>
        </is>
      </c>
      <c r="I51" s="32" t="n">
        <v>1</v>
      </c>
      <c r="J51" s="32"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32" t="n"/>
      <c r="L51" s="32" t="inlineStr">
        <is>
          <t>Osteoporosis</t>
        </is>
      </c>
      <c r="M51" s="32" t="inlineStr">
        <is>
          <t>Clinic</t>
        </is>
      </c>
      <c r="N51" s="32" t="inlineStr">
        <is>
          <t>Osteoporosis Risk Factors: วัยหมดประจำเดือน ขาดฮอร์โมน Estrogen ทำให้ Osteoclast สลายกระดูกเด่น</t>
        </is>
      </c>
      <c r="O51" s="32" t="inlineStr">
        <is>
          <t>ข้อสอบจริง</t>
        </is>
      </c>
      <c r="P51" s="32" t="inlineStr">
        <is>
          <t>2561</t>
        </is>
      </c>
    </row>
    <row r="52" ht="409.6" customHeight="1" s="49">
      <c r="A52" s="32" t="n">
        <v>50</v>
      </c>
      <c r="B52" s="32"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32" t="n"/>
      <c r="D52" s="32" t="inlineStr">
        <is>
          <t>Cystitis</t>
        </is>
      </c>
      <c r="E52" s="32" t="inlineStr">
        <is>
          <t>Diabetes</t>
        </is>
      </c>
      <c r="F52" s="32" t="inlineStr">
        <is>
          <t>Psoriasis</t>
        </is>
      </c>
      <c r="G52" s="32" t="inlineStr">
        <is>
          <t>Epilepsy</t>
        </is>
      </c>
      <c r="H52" s="32" t="inlineStr">
        <is>
          <t>Peptic ulcer</t>
        </is>
      </c>
      <c r="I52" s="32" t="n">
        <v>5</v>
      </c>
      <c r="J52" s="32"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32" t="n"/>
      <c r="L52" s="32" t="inlineStr">
        <is>
          <t>Osteoarthritis / Herbal Medicine</t>
        </is>
      </c>
      <c r="M52" s="32" t="inlineStr">
        <is>
          <t>Clinic</t>
        </is>
      </c>
      <c r="N52" s="32" t="inlineStr">
        <is>
          <t>Derris scandens Caution: เถาวัลย์เปรียงยับยั้ง COX มีฤทธิ์ระคายเคืองกระเพาะอาหาร ระวังใน Peptic ulcer</t>
        </is>
      </c>
      <c r="O52" s="32" t="inlineStr">
        <is>
          <t>ข้อสอบจริง</t>
        </is>
      </c>
      <c r="P52" s="32" t="inlineStr">
        <is>
          <t>2561</t>
        </is>
      </c>
    </row>
    <row r="53" ht="409.6" customHeight="1" s="49">
      <c r="A53" s="32" t="n">
        <v>51</v>
      </c>
      <c r="B53" s="32"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32" t="n"/>
      <c r="D53" s="32" t="inlineStr">
        <is>
          <t>Raloxifene</t>
        </is>
      </c>
      <c r="E53" s="32" t="inlineStr">
        <is>
          <t>Calcitonin</t>
        </is>
      </c>
      <c r="F53" s="32" t="inlineStr">
        <is>
          <t>Denosumab</t>
        </is>
      </c>
      <c r="G53" s="32" t="inlineStr">
        <is>
          <t>Teriparatide</t>
        </is>
      </c>
      <c r="H53" s="32" t="inlineStr">
        <is>
          <t>Alendronate</t>
        </is>
      </c>
      <c r="I53" s="32" t="n">
        <v>5</v>
      </c>
      <c r="J53" s="32"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32" t="n"/>
      <c r="L53" s="32" t="inlineStr">
        <is>
          <t>Osteoporosis</t>
        </is>
      </c>
      <c r="M53" s="32" t="inlineStr">
        <is>
          <t>Clinic</t>
        </is>
      </c>
      <c r="N53" s="32" t="inlineStr">
        <is>
          <t>Osteoporosis Secondary Prevention: Alendronate เป็นยาทางเลือกแรกในการป้องกันกระดูกหักซ้ำ</t>
        </is>
      </c>
      <c r="O53" s="32" t="inlineStr">
        <is>
          <t>ข้อสอบจริง</t>
        </is>
      </c>
      <c r="P53" s="32" t="inlineStr">
        <is>
          <t>2561</t>
        </is>
      </c>
    </row>
    <row r="54" ht="409.6" customHeight="1" s="49">
      <c r="A54" s="32" t="n">
        <v>52</v>
      </c>
      <c r="B54" s="32"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32" t="n"/>
      <c r="D54" s="32" t="inlineStr">
        <is>
          <t>Hyponatremia</t>
        </is>
      </c>
      <c r="E54" s="32" t="inlineStr">
        <is>
          <t>Hypercalcemia</t>
        </is>
      </c>
      <c r="F54" s="32" t="inlineStr">
        <is>
          <t>Ketoacidosis</t>
        </is>
      </c>
      <c r="G54" s="32" t="inlineStr">
        <is>
          <t>Respiratory acidosis</t>
        </is>
      </c>
      <c r="H54" s="32" t="inlineStr">
        <is>
          <t>Osteonecrosis of the jaw (กระดูกขากรรไกรเน่าเสีย)</t>
        </is>
      </c>
      <c r="I54" s="32" t="n">
        <v>5</v>
      </c>
      <c r="J54" s="32"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32" t="n"/>
      <c r="L54" s="32" t="inlineStr">
        <is>
          <t>Osteoporosis</t>
        </is>
      </c>
      <c r="M54" s="32" t="inlineStr">
        <is>
          <t>Clinic</t>
        </is>
      </c>
      <c r="N54" s="32" t="inlineStr">
        <is>
          <t>Bisphosphonates Rare ADR: ONJ และ Atypical femoral fracture (AFF) สัมพันธ์กับการใช้ยาระยะยาว</t>
        </is>
      </c>
      <c r="O54" s="32" t="inlineStr">
        <is>
          <t>ข้อสอบจริง</t>
        </is>
      </c>
      <c r="P54" s="32" t="inlineStr">
        <is>
          <t>2561</t>
        </is>
      </c>
    </row>
    <row r="55" ht="409.6" customHeight="1" s="49">
      <c r="A55" s="32" t="n">
        <v>53</v>
      </c>
      <c r="B55" s="32" t="inlineStr">
        <is>
          <t>จากกรณีศึกษา ยาตัวใดในรายการยาที่ผู้ป่วยได้รับที่มีความเป็นพิษต่อไตสูงสุดหากใช้อย่างต่อเนื่องเป็นเวลานาน</t>
        </is>
      </c>
      <c r="C55" s="32" t="n"/>
      <c r="D55" s="32" t="inlineStr">
        <is>
          <t>Risedronate</t>
        </is>
      </c>
      <c r="E55" s="32" t="inlineStr">
        <is>
          <t>Diclofenac</t>
        </is>
      </c>
      <c r="F55" s="32" t="inlineStr">
        <is>
          <t>Glucosamine</t>
        </is>
      </c>
      <c r="G55" s="32" t="inlineStr">
        <is>
          <t>Vitamin B complex</t>
        </is>
      </c>
      <c r="H55" s="32" t="inlineStr">
        <is>
          <t>Calcium carbonate</t>
        </is>
      </c>
      <c r="I55" s="32" t="n">
        <v>2</v>
      </c>
      <c r="J55" s="32"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32" t="n"/>
      <c r="L55" s="32" t="inlineStr">
        <is>
          <t>Osteoarthritis</t>
        </is>
      </c>
      <c r="M55" s="32" t="inlineStr">
        <is>
          <t>Clinic</t>
        </is>
      </c>
      <c r="N55" s="32" t="inlineStr">
        <is>
          <t>NSAIDs Renal Safety: ยับยั้ง Prostaglandins ลดเลือดไปเลี้ยงไต ส่งผลให้ Scr สูงขึ้นและเกิดไตวาย</t>
        </is>
      </c>
      <c r="O55" s="32" t="inlineStr">
        <is>
          <t>ข้อสอบจริง</t>
        </is>
      </c>
      <c r="P55" s="32" t="inlineStr">
        <is>
          <t>2559</t>
        </is>
      </c>
    </row>
    <row r="56" ht="409.6" customHeight="1" s="49">
      <c r="A56" s="32" t="n">
        <v>54</v>
      </c>
      <c r="B56" s="32" t="inlineStr">
        <is>
          <t>ข้อความใดต่อไปนี้อธิบายคำแนะนำในการรับประทานยา Risedronate ที่ ไม่ถูกต้อง</t>
        </is>
      </c>
      <c r="C56" s="32" t="n"/>
      <c r="D56" s="32" t="inlineStr">
        <is>
          <t>ควรรับประทานยาวันเดียวกันในแต่ละสัปดาห์</t>
        </is>
      </c>
      <c r="E56" s="32" t="inlineStr">
        <is>
          <t>ยาอาจทำให้เกิดการระคายเคืองและมีแผลที่หลอดอาหารได้</t>
        </is>
      </c>
      <c r="F56" s="32" t="inlineStr">
        <is>
          <t>หลังรับประทานยาแล้ว ต้องนั่งหรือยืนตัวตรงอย่างน้อย 30 นาที</t>
        </is>
      </c>
      <c r="G56" s="32" t="inlineStr">
        <is>
          <t>ควรรับประทานยาก่อนอาหารอย่างน้อย 1 ชั่วโมง</t>
        </is>
      </c>
      <c r="H56" s="32" t="inlineStr">
        <is>
          <t>ควรรับประทานยาร่วมกับนมหรือยาลดกรดเพื่อเพิ่มประสิทธิภาพการดูดซึมยา</t>
        </is>
      </c>
      <c r="I56" s="32" t="n">
        <v>5</v>
      </c>
      <c r="J56" s="32"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32" t="n"/>
      <c r="L56" s="32" t="inlineStr">
        <is>
          <t>Osteoarthritis</t>
        </is>
      </c>
      <c r="M56" s="32" t="inlineStr">
        <is>
          <t>Clinic</t>
        </is>
      </c>
      <c r="N56" s="32" t="inlineStr">
        <is>
          <t>Bisphosphonates Administration: ทานตอนเช้าก่อนอาหาร 30 นาที ดื่มน้ำเปล่าเต็มแก้ว และห้ามนอนราบ 30 นาที</t>
        </is>
      </c>
      <c r="O56" s="32" t="inlineStr">
        <is>
          <t>ข้อสอบจริง</t>
        </is>
      </c>
      <c r="P56" s="32" t="inlineStr">
        <is>
          <t>2559</t>
        </is>
      </c>
    </row>
    <row r="57" ht="409.6" customHeight="1" s="49">
      <c r="A57" s="32" t="n">
        <v>55</v>
      </c>
      <c r="B57" s="32"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32" t="n"/>
      <c r="D57" s="32" t="inlineStr">
        <is>
          <t>Risedronate</t>
        </is>
      </c>
      <c r="E57" s="32" t="inlineStr">
        <is>
          <t>Diclofenac</t>
        </is>
      </c>
      <c r="F57" s="32" t="inlineStr">
        <is>
          <t>Calcium carbonate</t>
        </is>
      </c>
      <c r="G57" s="32" t="inlineStr">
        <is>
          <t>Glucosamine</t>
        </is>
      </c>
      <c r="H57" s="32" t="inlineStr">
        <is>
          <t>พฤติกรรมการไม่ชอบออกกำลังกาย</t>
        </is>
      </c>
      <c r="I57" s="32" t="n">
        <v>2</v>
      </c>
      <c r="J57" s="32"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32" t="n"/>
      <c r="L57" s="32" t="inlineStr">
        <is>
          <t>Osteoarthritis</t>
        </is>
      </c>
      <c r="M57" s="32" t="inlineStr">
        <is>
          <t>Clinic</t>
        </is>
      </c>
      <c r="N57" s="32" t="inlineStr">
        <is>
          <t>NSAIDs Blood Pressure: NSAIDs ยับยั้ง Renal PG ทำให้เกิดการคั่งของโซเดียมและน้ำ ส่งผลให้ความดันโลหิตสูงขึ้น</t>
        </is>
      </c>
      <c r="O57" s="32" t="inlineStr">
        <is>
          <t>ข้อสอบจริง</t>
        </is>
      </c>
      <c r="P57" s="32" t="inlineStr">
        <is>
          <t>2559</t>
        </is>
      </c>
    </row>
    <row r="58" ht="409.6" customHeight="1" s="49">
      <c r="A58" s="32" t="n">
        <v>56</v>
      </c>
      <c r="B58" s="32"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32" t="n"/>
      <c r="D58" s="32" t="inlineStr">
        <is>
          <t>Ibuprofen</t>
        </is>
      </c>
      <c r="E58" s="32" t="inlineStr">
        <is>
          <t>Diclofenac</t>
        </is>
      </c>
      <c r="F58" s="32" t="inlineStr">
        <is>
          <t>Naproxen</t>
        </is>
      </c>
      <c r="G58" s="32" t="inlineStr">
        <is>
          <t>Celecoxib</t>
        </is>
      </c>
      <c r="H58" s="32" t="inlineStr">
        <is>
          <t>Piroxicam</t>
        </is>
      </c>
      <c r="I58" s="32" t="n">
        <v>3</v>
      </c>
      <c r="J58" s="32"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32" t="n"/>
      <c r="L58" s="32" t="inlineStr">
        <is>
          <t>Osteoarthritis</t>
        </is>
      </c>
      <c r="M58" s="32" t="inlineStr">
        <is>
          <t>Clinic</t>
        </is>
      </c>
      <c r="N58" s="32" t="inlineStr">
        <is>
          <t>ACR 2019 Knee OA: Strongly recommend Topical NSAIDs over oral NSAIDs; Exercise &amp; weight management are core non-pharmacologic interventions.</t>
        </is>
      </c>
      <c r="O58" s="32" t="inlineStr">
        <is>
          <t>ข้อสอบจริง</t>
        </is>
      </c>
      <c r="P58" s="32" t="inlineStr">
        <is>
          <t>2559</t>
        </is>
      </c>
    </row>
    <row r="59" ht="409.6" customHeight="1" s="49">
      <c r="A59" s="32" t="n">
        <v>57</v>
      </c>
      <c r="B59" s="32" t="inlineStr">
        <is>
          <t>ผู้ป่วยรายนี้ควรได้รับยาในข้อใดเป็นทางเลือกแรก (First-line) สำหรับการบรรเทาอาการปวดตามแนวทางเวชปฏิบัติ</t>
        </is>
      </c>
      <c r="C59" s="32" t="n"/>
      <c r="D59" s="32" t="inlineStr">
        <is>
          <t>Tramadol</t>
        </is>
      </c>
      <c r="E59" s="32" t="inlineStr">
        <is>
          <t>Piroxicam</t>
        </is>
      </c>
      <c r="F59" s="32" t="inlineStr">
        <is>
          <t>Colchicine</t>
        </is>
      </c>
      <c r="G59" s="32" t="inlineStr">
        <is>
          <t>Acetaminophen</t>
        </is>
      </c>
      <c r="H59" s="32" t="inlineStr">
        <is>
          <t>Orphenadrine + Paracetamol</t>
        </is>
      </c>
      <c r="I59" s="32" t="n">
        <v>4</v>
      </c>
      <c r="J59" s="32"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32" t="n"/>
      <c r="L59" s="32" t="inlineStr">
        <is>
          <t>Gout</t>
        </is>
      </c>
      <c r="M59" s="32" t="inlineStr">
        <is>
          <t>Clinic</t>
        </is>
      </c>
      <c r="N59" s="32" t="inlineStr">
        <is>
          <t>OA Treatment Hierarchy: Paracetamol หรือ Topical NSAIDs เป็นตัวเลือกลำดับแรกในข้อเข่าเสื่อม</t>
        </is>
      </c>
      <c r="O59" s="32" t="inlineStr">
        <is>
          <t>ข้อสอบจริง</t>
        </is>
      </c>
      <c r="P59" s="32" t="inlineStr">
        <is>
          <t>2559</t>
        </is>
      </c>
    </row>
    <row r="60" ht="409.6" customHeight="1" s="49">
      <c r="A60" s="32" t="n">
        <v>58</v>
      </c>
      <c r="B60" s="32" t="inlineStr">
        <is>
          <t>ยา Naproxen มีกลไกการออกฤทธิ์ทางเภสัชวิทยาต้านการอักเสบอย่างไร</t>
        </is>
      </c>
      <c r="C60" s="32" t="n"/>
      <c r="D60" s="32" t="inlineStr">
        <is>
          <t>ลดการสร้างสาร Leukotriene</t>
        </is>
      </c>
      <c r="E60" s="32" t="inlineStr">
        <is>
          <t>ลดการสร้างสาร Thromboxane A2</t>
        </is>
      </c>
      <c r="F60" s="32" t="inlineStr">
        <is>
          <t>ยับยั้งการทำงานของ Prostaglandin receptor</t>
        </is>
      </c>
      <c r="G60" s="32" t="inlineStr">
        <is>
          <t>ยับยั้งการทำงานของเอนไซม์ Lipo-oxygenase</t>
        </is>
      </c>
      <c r="H60" s="32" t="inlineStr">
        <is>
          <t>ยับยั้งการทำงานของเอนไซม์ Cyclo-oxygenase</t>
        </is>
      </c>
      <c r="I60" s="32" t="n">
        <v>5</v>
      </c>
      <c r="J60" s="32"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32" t="n"/>
      <c r="L60" s="32" t="inlineStr">
        <is>
          <t>Gout</t>
        </is>
      </c>
      <c r="M60" s="32" t="inlineStr">
        <is>
          <t>Clinic</t>
        </is>
      </c>
      <c r="N60" s="32" t="inlineStr">
        <is>
          <t>NSAIDs Mechanism: ยับยั้งเอนไซม์ Cyclooxygenase (COX) ลดการสร้าง Prostaglandins บรรเทาปวดอักเสบ</t>
        </is>
      </c>
      <c r="O60" s="32" t="inlineStr">
        <is>
          <t>ข้อสอบจริง</t>
        </is>
      </c>
      <c r="P60" s="32" t="inlineStr">
        <is>
          <t>2559</t>
        </is>
      </c>
    </row>
    <row r="61" ht="409.6" customHeight="1" s="49">
      <c r="A61" s="32" t="n">
        <v>59</v>
      </c>
      <c r="B61" s="32"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32" t="n"/>
      <c r="D61" s="32" t="inlineStr">
        <is>
          <t>เปลี่ยนเป็นยา Celecoxib</t>
        </is>
      </c>
      <c r="E61" s="32" t="inlineStr">
        <is>
          <t>เปลี่ยนเป็นยา Tramadol</t>
        </is>
      </c>
      <c r="F61" s="32" t="inlineStr">
        <is>
          <t>เปลี่ยนเป็นยา Methotrexate</t>
        </is>
      </c>
      <c r="G61" s="32" t="inlineStr">
        <is>
          <t>รับประทาน Naproxen 250 mg ร่วมกับ Antacid</t>
        </is>
      </c>
      <c r="H61" s="32" t="inlineStr">
        <is>
          <t>รับประทาน Naproxen 500 mg ร่วมกับ Omeprazole</t>
        </is>
      </c>
      <c r="I61" s="32" t="n">
        <v>5</v>
      </c>
      <c r="J61" s="32"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32" t="n"/>
      <c r="L61" s="32" t="inlineStr">
        <is>
          <t>Gout</t>
        </is>
      </c>
      <c r="M61" s="32" t="inlineStr">
        <is>
          <t>Clinic</t>
        </is>
      </c>
      <c r="N61" s="32" t="inlineStr">
        <is>
          <t>NSAIDs GI Prevention: ให้ PPI (เช่น Omeprazole) ร่วมกับ NSAID ช่วยป้องกันการเกิด Gastric &amp; Duodenal ulcers</t>
        </is>
      </c>
      <c r="O61" s="32" t="inlineStr">
        <is>
          <t>ข้อสอบจริง</t>
        </is>
      </c>
      <c r="P61" s="32" t="inlineStr">
        <is>
          <t>2559</t>
        </is>
      </c>
    </row>
    <row r="62" ht="409.6" customHeight="1" s="49">
      <c r="A62" s="32" t="n">
        <v>60</v>
      </c>
      <c r="B62" s="32"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32" t="n"/>
      <c r="D62" s="32" t="inlineStr">
        <is>
          <t>Renal toxicity</t>
        </is>
      </c>
      <c r="E62" s="32" t="inlineStr">
        <is>
          <t>Hepatotoxicity</t>
        </is>
      </c>
      <c r="F62" s="32" t="inlineStr">
        <is>
          <t>Retinal toxicity (พิษต่อจอประสาทตา)</t>
        </is>
      </c>
      <c r="G62" s="32" t="inlineStr">
        <is>
          <t>Hematologic toxicity</t>
        </is>
      </c>
      <c r="H62" s="32" t="inlineStr">
        <is>
          <t>Gastrointestinal toxicity</t>
        </is>
      </c>
      <c r="I62" s="32" t="n">
        <v>3</v>
      </c>
      <c r="J62" s="32"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32" t="n"/>
      <c r="L62" s="32" t="inlineStr">
        <is>
          <t>Gout</t>
        </is>
      </c>
      <c r="M62" s="32" t="inlineStr">
        <is>
          <t>Clinic</t>
        </is>
      </c>
      <c r="N62" s="32" t="inlineStr">
        <is>
          <t>Hydroxychloroquine Ocular Toxicity: ตกตะกอนที่ Retinal pigment epithelium ต้องตรวจลานสายตาและจอประสาทตาทุกปี</t>
        </is>
      </c>
      <c r="O62" s="32" t="inlineStr">
        <is>
          <t>ข้อสอบจริง</t>
        </is>
      </c>
      <c r="P62" s="32" t="inlineStr">
        <is>
          <t>2559</t>
        </is>
      </c>
    </row>
    <row r="63" ht="409.6" customHeight="1" s="49">
      <c r="A63" s="32" t="n">
        <v>61</v>
      </c>
      <c r="B63" s="32" t="inlineStr">
        <is>
          <t>สารสำคัญทางธรรมชาติที่มีผลต่อนวัตกรรมหรือการบำบัดสรรพคุณลดปวดอักเสบที่ผสมอยู่ในเจลพริกคือสารใด</t>
        </is>
      </c>
      <c r="C63" s="32" t="n"/>
      <c r="D63" s="32" t="inlineStr">
        <is>
          <t>Eugenol</t>
        </is>
      </c>
      <c r="E63" s="32" t="inlineStr">
        <is>
          <t>Capsaicin</t>
        </is>
      </c>
      <c r="F63" s="32" t="inlineStr">
        <is>
          <t>Piperazine</t>
        </is>
      </c>
      <c r="G63" s="32" t="inlineStr">
        <is>
          <t>Volatile oil</t>
        </is>
      </c>
      <c r="H63" s="32" t="inlineStr">
        <is>
          <t>Curcuminoid</t>
        </is>
      </c>
      <c r="I63" s="32" t="n">
        <v>2</v>
      </c>
      <c r="J63" s="32"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32" t="n"/>
      <c r="L63" s="32" t="inlineStr">
        <is>
          <t>Gout / Herbal Medicine</t>
        </is>
      </c>
      <c r="M63" s="32" t="inlineStr">
        <is>
          <t>Clinic</t>
        </is>
      </c>
      <c r="N63" s="32" t="inlineStr">
        <is>
          <t>Capsaicin Gel: สารสกัดจากพริก ยับยั้งการหลั่ง Substance P จากปลายประสาทรับความรู้สึกปวด</t>
        </is>
      </c>
      <c r="O63" s="32" t="inlineStr">
        <is>
          <t>ข้อสอบจริง</t>
        </is>
      </c>
      <c r="P63" s="32" t="inlineStr">
        <is>
          <t>2559</t>
        </is>
      </c>
    </row>
    <row r="64" ht="409.6" customHeight="1" s="49">
      <c r="A64" s="32" t="n">
        <v>62</v>
      </c>
      <c r="B64" s="32"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32" t="n"/>
      <c r="D64" s="32" t="inlineStr">
        <is>
          <t>อายุของผู้ป่วย</t>
        </is>
      </c>
      <c r="E64" s="32" t="inlineStr">
        <is>
          <t>การเกิดพยาธิสภาพที่ข้อเข่าทั้งสองข้างพร้อมกัน</t>
        </is>
      </c>
      <c r="F64" s="32" t="inlineStr">
        <is>
          <t>ตรวจคลำดูแล้วบวมเล็กน้อย ไม่มีปวดแดงร้อนรุนแรง</t>
        </is>
      </c>
      <c r="G64" s="32" t="inlineStr">
        <is>
          <t>มีอาการข้อฝืดขัดหลังตื่นนอนตอนเช้านานน้อยกว่า 30 นาที</t>
        </is>
      </c>
      <c r="H64" s="32" t="inlineStr">
        <is>
          <t>มีเสียงกรอบแกรบในข้อเข่าขณะขยับเคลื่อนไหว</t>
        </is>
      </c>
      <c r="I64" s="32" t="n">
        <v>2</v>
      </c>
      <c r="J64" s="32"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32" t="n"/>
      <c r="L64" s="32" t="inlineStr">
        <is>
          <t>Osteoarthritis</t>
        </is>
      </c>
      <c r="M64" s="32" t="inlineStr">
        <is>
          <t>Clinic</t>
        </is>
      </c>
      <c r="N64" s="32" t="inlineStr">
        <is>
          <t>OA Diagnostic Criteria: Morning stiffness นานเกิน 1 ชั่วโมง เป็นลักษณะของ RA ไม่ใช่ OA (OA &lt; 30 นาที)</t>
        </is>
      </c>
      <c r="O64" s="32" t="inlineStr">
        <is>
          <t>ข้อสอบจริง</t>
        </is>
      </c>
      <c r="P64" s="32" t="inlineStr">
        <is>
          <t>2558</t>
        </is>
      </c>
    </row>
    <row r="65" ht="409.6" customHeight="1" s="49">
      <c r="A65" s="32" t="n">
        <v>63</v>
      </c>
      <c r="B65" s="32"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32" t="n"/>
      <c r="D65" s="32" t="inlineStr">
        <is>
          <t>Paracetamol (Acetaminophen)</t>
        </is>
      </c>
      <c r="E65" s="32" t="inlineStr">
        <is>
          <t>Glucosamine sulfate</t>
        </is>
      </c>
      <c r="F65" s="32" t="inlineStr">
        <is>
          <t>Diclofenac sodium</t>
        </is>
      </c>
      <c r="G65" s="32" t="inlineStr">
        <is>
          <t>Tramadol</t>
        </is>
      </c>
      <c r="H65" s="32" t="inlineStr">
        <is>
          <t>Naproxen</t>
        </is>
      </c>
      <c r="I65" s="32" t="n">
        <v>1</v>
      </c>
      <c r="J65" s="32"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32" t="n"/>
      <c r="L65" s="32" t="inlineStr">
        <is>
          <t>Osteoarthritis</t>
        </is>
      </c>
      <c r="M65" s="32" t="inlineStr">
        <is>
          <t>Clinic</t>
        </is>
      </c>
      <c r="N65" s="32" t="inlineStr">
        <is>
          <t>OA First-line Analgesic: Paracetamol ขนาดไม่เกิน 3,000-4,000 mg/day เหมาะสำหรับ Mild-to-moderate OA pain</t>
        </is>
      </c>
      <c r="O65" s="32" t="inlineStr">
        <is>
          <t>ข้อสอบจริง</t>
        </is>
      </c>
      <c r="P65" s="32" t="inlineStr">
        <is>
          <t>2558</t>
        </is>
      </c>
    </row>
    <row r="66" ht="409.6" customHeight="1" s="49">
      <c r="A66" s="32" t="n">
        <v>64</v>
      </c>
      <c r="B66" s="32"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32" t="n"/>
      <c r="D66" s="32" t="inlineStr">
        <is>
          <t>ขมิ้นชัน</t>
        </is>
      </c>
      <c r="E66" s="32" t="inlineStr">
        <is>
          <t>ใบฝรั่ง</t>
        </is>
      </c>
      <c r="F66" s="32" t="inlineStr">
        <is>
          <t>เมล็ดน้อยหน่า</t>
        </is>
      </c>
      <c r="G66" s="32" t="inlineStr">
        <is>
          <t>เถาวัลย์เปรียง</t>
        </is>
      </c>
      <c r="H66" s="32" t="inlineStr">
        <is>
          <t>เจลพริก</t>
        </is>
      </c>
      <c r="I66" s="32" t="n">
        <v>1</v>
      </c>
      <c r="J66" s="32"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32" t="n"/>
      <c r="L66" s="32" t="inlineStr">
        <is>
          <t>Osteoarthritis / Herbal Medicine</t>
        </is>
      </c>
      <c r="M66" s="32" t="inlineStr">
        <is>
          <t>Clinic</t>
        </is>
      </c>
      <c r="N66" s="32" t="inlineStr">
        <is>
          <t>Curcumin in Knee OA: สารสกัดขมิ้นชัน มีฤทธิ์ลดปวดข้อเข่าเสื่อมได้ดีเทียบเท่า Ibuprofen และ GI safety สูงกว่า</t>
        </is>
      </c>
      <c r="O66" s="32" t="inlineStr">
        <is>
          <t>ข้อสอบจริง</t>
        </is>
      </c>
      <c r="P66" s="32" t="inlineStr">
        <is>
          <t>2558</t>
        </is>
      </c>
    </row>
    <row r="67" ht="409.6" customHeight="1" s="49">
      <c r="A67" s="32" t="n">
        <v>65</v>
      </c>
      <c r="B67" s="32"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32" t="n"/>
      <c r="D67" s="32" t="inlineStr">
        <is>
          <t>Cimetidine</t>
        </is>
      </c>
      <c r="E67" s="32" t="inlineStr">
        <is>
          <t>Omeprazole</t>
        </is>
      </c>
      <c r="F67" s="32" t="inlineStr">
        <is>
          <t>Sucralfate</t>
        </is>
      </c>
      <c r="G67" s="32" t="inlineStr">
        <is>
          <t>Antacid</t>
        </is>
      </c>
      <c r="H67" s="32" t="inlineStr">
        <is>
          <t>Misoprostol</t>
        </is>
      </c>
      <c r="I67" s="32" t="n">
        <v>2</v>
      </c>
      <c r="J67" s="32"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32" t="n"/>
      <c r="L67" s="32" t="inlineStr">
        <is>
          <t>Osteoarthritis</t>
        </is>
      </c>
      <c r="M67" s="32" t="inlineStr">
        <is>
          <t>Clinic</t>
        </is>
      </c>
      <c r="N67" s="32" t="inlineStr">
        <is>
          <t>PPI Co-prescription: Omeprazole เป็นยาทางเลือกมาตรฐานในการป้องกัน NSAID-induced ulcer</t>
        </is>
      </c>
      <c r="O67" s="32" t="inlineStr">
        <is>
          <t>ข้อสอบจริง</t>
        </is>
      </c>
      <c r="P67" s="32" t="inlineStr">
        <is>
          <t>2558</t>
        </is>
      </c>
    </row>
    <row r="68" ht="409.6" customHeight="1" s="49">
      <c r="A68" s="32" t="n">
        <v>66</v>
      </c>
      <c r="B68" s="32" t="inlineStr">
        <is>
          <t>ยากลุ่ม NSAIDs ตัวใดต่อไปนี้ที่มีความปลอดภัยและส่งผลกระทบต่อระบบหัวใจและหลอดเลือด (Cardiovascular safety) ต่ำที่สุด</t>
        </is>
      </c>
      <c r="C68" s="32" t="n"/>
      <c r="D68" s="32" t="inlineStr">
        <is>
          <t>Ibuprofen</t>
        </is>
      </c>
      <c r="E68" s="32" t="inlineStr">
        <is>
          <t>Diclofenac</t>
        </is>
      </c>
      <c r="F68" s="32" t="inlineStr">
        <is>
          <t>Naproxen</t>
        </is>
      </c>
      <c r="G68" s="32" t="inlineStr">
        <is>
          <t>Sulindac</t>
        </is>
      </c>
      <c r="H68" s="32" t="inlineStr">
        <is>
          <t>Parecoxib</t>
        </is>
      </c>
      <c r="I68" s="32" t="n">
        <v>5</v>
      </c>
      <c r="J68" s="32"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32" t="n"/>
      <c r="L68" s="32" t="inlineStr">
        <is>
          <t>Osteoarthritis</t>
        </is>
      </c>
      <c r="M68" s="32" t="inlineStr">
        <is>
          <t>Clinic</t>
        </is>
      </c>
      <c r="N68" s="32" t="inlineStr">
        <is>
          <t>NSAIDs CV Risk: Parecoxib / Selective COX-2 inhibitors มีความเสี่ยงต่อ CV events สูงสุด</t>
        </is>
      </c>
      <c r="O68" s="32" t="inlineStr">
        <is>
          <t>ข้อสอบจริง</t>
        </is>
      </c>
      <c r="P68" s="32" t="inlineStr">
        <is>
          <t>2558</t>
        </is>
      </c>
    </row>
    <row r="69" ht="409.6" customHeight="1" s="49">
      <c r="A69" s="32" t="n">
        <v>67</v>
      </c>
      <c r="B69" s="32" t="inlineStr">
        <is>
          <t>ปฏิกิริยาการแพ้ยาในผู้ป่วยรายนี้ (Toxic Epidermal Necrolysis: TEN) จัดอยู่ในการแพ้ยาประเภทใดตามสากล (Coombs and Gell classification)</t>
        </is>
      </c>
      <c r="C69" s="32" t="n"/>
      <c r="D69" s="32" t="inlineStr">
        <is>
          <t>Type I</t>
        </is>
      </c>
      <c r="E69" s="32" t="inlineStr">
        <is>
          <t>Type II</t>
        </is>
      </c>
      <c r="F69" s="32" t="inlineStr">
        <is>
          <t>Type III</t>
        </is>
      </c>
      <c r="G69" s="32" t="inlineStr">
        <is>
          <t>Type IV</t>
        </is>
      </c>
      <c r="H69" s="32" t="inlineStr">
        <is>
          <t>Mixed type</t>
        </is>
      </c>
      <c r="I69" s="32" t="n">
        <v>4</v>
      </c>
      <c r="J69" s="32"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32" t="n"/>
      <c r="L69" s="32" t="inlineStr">
        <is>
          <t>Gout</t>
        </is>
      </c>
      <c r="M69" s="32" t="inlineStr">
        <is>
          <t>Clinic</t>
        </is>
      </c>
      <c r="N69" s="32" t="inlineStr">
        <is>
          <t>TEN Hypersensitivity: จัดเป็น Type IV (Delayed cell-mediated) hypersensitivity กระตุ้นโดย CD8+ T cells</t>
        </is>
      </c>
      <c r="O69" s="32" t="inlineStr">
        <is>
          <t>ข้อสอบจริง</t>
        </is>
      </c>
      <c r="P69" s="32" t="inlineStr">
        <is>
          <t>2558</t>
        </is>
      </c>
    </row>
    <row r="70" ht="409.6" customHeight="1" s="49">
      <c r="A70" s="32" t="n">
        <v>68</v>
      </c>
      <c r="B70" s="32" t="inlineStr">
        <is>
          <t>ยาในข้อใดต่อไปนี้ที่เป็นสาเหตุหรือตัวกระตุ้นหลักที่มีโอกาสทำให้เกิดการแพ้ยารุนแรงชนิด TEN ในผู้ป่วยรายนี้มากที่สุด</t>
        </is>
      </c>
      <c r="C70" s="32" t="n"/>
      <c r="D70" s="32" t="inlineStr">
        <is>
          <t>การรับประทานยา Paracetamol</t>
        </is>
      </c>
      <c r="E70" s="32" t="inlineStr">
        <is>
          <t>การรับประทานยา Allopurinol</t>
        </is>
      </c>
      <c r="F70" s="32" t="inlineStr">
        <is>
          <t>ประวัติการเจ็บป่วยเป็นเบาหวานและไขมันในเลือดสูง</t>
        </is>
      </c>
      <c r="G70" s="32" t="inlineStr">
        <is>
          <t>เพศหญิงและสถานะการแต่งงานของผู้ป่วย</t>
        </is>
      </c>
      <c r="H70" s="32" t="inlineStr">
        <is>
          <t>สภาพแวดล้อมหรือโรคความดันโลหิตสูงที่เป็นอยู่</t>
        </is>
      </c>
      <c r="I70" s="32" t="n">
        <v>2</v>
      </c>
      <c r="J70" s="32"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32" t="n"/>
      <c r="L70" s="32" t="inlineStr">
        <is>
          <t>Gout</t>
        </is>
      </c>
      <c r="M70" s="32" t="inlineStr">
        <is>
          <t>Clinic</t>
        </is>
      </c>
      <c r="N70" s="32" t="inlineStr">
        <is>
          <t>Allopurinol-induced TEN: Allopurinol เป็นสาเหตุพบบ่อยอันดับต้น ๆ ของ SJS/TEN ในประเทศไทย</t>
        </is>
      </c>
      <c r="O70" s="32" t="inlineStr">
        <is>
          <t>ข้อสอบจริง</t>
        </is>
      </c>
      <c r="P70" s="32" t="inlineStr">
        <is>
          <t>2558</t>
        </is>
      </c>
    </row>
    <row r="71" ht="409.6" customHeight="1" s="49">
      <c r="A71" s="32" t="n">
        <v>69</v>
      </c>
      <c r="B71" s="32" t="inlineStr">
        <is>
          <t>ข้อใดต่อไปนี้ ไม่เกี่ยวข้อง หรือไม่ได้ใช้เป็นเกณฑ์การวินิจฉัยและการประเมินความรุนแรงของโรค Toxic Epidermal Necrolysis (TEN)</t>
        </is>
      </c>
      <c r="C71" s="32" t="n"/>
      <c r="D71" s="32" t="inlineStr">
        <is>
          <t>มีผื่นผิวหนังลอกไหม้มากกว่าร้อยละ 30 ของร่างกาย</t>
        </is>
      </c>
      <c r="E71" s="32" t="inlineStr">
        <is>
          <t>อาการนำเริ่มต้น เช่น มีไข้ เจ็บคอ และมีผื่นแดงเกิดขึ้น</t>
        </is>
      </c>
      <c r="F71" s="32" t="inlineStr">
        <is>
          <t>ประวัติได้รับยากลุ่มที่มีความถี่การแพ้สูง (High incidence drug)</t>
        </is>
      </c>
      <c r="G71" s="32" t="inlineStr">
        <is>
          <t>การเกิดแผลและผดพุพองตามเยื่อบุอวัยวะต่าง ๆ</t>
        </is>
      </c>
      <c r="H71" s="32" t="inlineStr">
        <is>
          <t>ระยะเวลาการเป็นโรคประจำตัวเรื้อรังนานกว่า 2 สัปดาห์ขึ้นไป</t>
        </is>
      </c>
      <c r="I71" s="32" t="n">
        <v>5</v>
      </c>
      <c r="J71" s="32"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32" t="n"/>
      <c r="L71" s="32" t="inlineStr">
        <is>
          <t>Gout</t>
        </is>
      </c>
      <c r="M71" s="32" t="inlineStr">
        <is>
          <t>Clinic</t>
        </is>
      </c>
      <c r="N71" s="32" t="inlineStr">
        <is>
          <t>TEN Diagnosis: เกณฑ์การวินิจฉัยประเมินจาก Skin detachment &gt; 30% BSA, Mucosal involvement, และ SCORTEN</t>
        </is>
      </c>
      <c r="O71" s="32" t="inlineStr">
        <is>
          <t>ข้อสอบจริง</t>
        </is>
      </c>
      <c r="P71" s="32" t="inlineStr">
        <is>
          <t>2558</t>
        </is>
      </c>
    </row>
    <row r="72" ht="409.6" customHeight="1" s="49">
      <c r="A72" s="32" t="n">
        <v>70</v>
      </c>
      <c r="B72" s="32"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32" t="n"/>
      <c r="D72" s="32" t="inlineStr">
        <is>
          <t>Mild severity</t>
        </is>
      </c>
      <c r="E72" s="32" t="inlineStr">
        <is>
          <t>Moderate severity</t>
        </is>
      </c>
      <c r="F72" s="32" t="inlineStr">
        <is>
          <t>Severe severity (หรือ Life-threatening)</t>
        </is>
      </c>
      <c r="G72" s="32" t="inlineStr">
        <is>
          <t>Minor severity</t>
        </is>
      </c>
      <c r="H72" s="32" t="inlineStr">
        <is>
          <t>Chronic severity</t>
        </is>
      </c>
      <c r="I72" s="32" t="n">
        <v>3</v>
      </c>
      <c r="J72" s="32"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32" t="n"/>
      <c r="L72" s="32" t="inlineStr">
        <is>
          <t>Gout</t>
        </is>
      </c>
      <c r="M72" s="32" t="inlineStr">
        <is>
          <t>Clinic</t>
        </is>
      </c>
      <c r="N72" s="32" t="inlineStr">
        <is>
          <t>TEN Severity Level: SJS/TEN เป็นอาการไม่พึงประสงค์ระดับ Life-threatening ที่มีอัตราการเสียชีวิตสูง</t>
        </is>
      </c>
      <c r="O72" s="32" t="inlineStr">
        <is>
          <t>ข้อสอบจริง</t>
        </is>
      </c>
      <c r="P72" s="32" t="inlineStr">
        <is>
          <t>2558</t>
        </is>
      </c>
    </row>
    <row r="73" ht="409.6" customHeight="1" s="49">
      <c r="A73" s="32" t="n">
        <v>71</v>
      </c>
      <c r="B73"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32" t="n"/>
      <c r="D73" s="32" t="inlineStr">
        <is>
          <t>Rheumatoid arthritis</t>
        </is>
      </c>
      <c r="E73" s="32" t="inlineStr">
        <is>
          <t>Osteoarthritis</t>
        </is>
      </c>
      <c r="F73" s="32" t="inlineStr">
        <is>
          <t>Osteoporosis</t>
        </is>
      </c>
      <c r="G73" s="32" t="inlineStr">
        <is>
          <t>Acute gout</t>
        </is>
      </c>
      <c r="H73" s="32" t="inlineStr">
        <is>
          <t>Osteomalacia</t>
        </is>
      </c>
      <c r="I73" s="32" t="n">
        <v>4</v>
      </c>
      <c r="J73" s="32"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32" t="n"/>
      <c r="L73" s="32" t="inlineStr">
        <is>
          <t>Gout</t>
        </is>
      </c>
      <c r="M73" s="32" t="inlineStr">
        <is>
          <t>Clinic</t>
        </is>
      </c>
      <c r="N73" s="32" t="inlineStr">
        <is>
          <t>ข้อ 1 Pharma Plus เล่มม่วง (เฉลยข้อ ง)</t>
        </is>
      </c>
      <c r="O73" s="32" t="inlineStr">
        <is>
          <t>ข้อสอบจริง</t>
        </is>
      </c>
      <c r="P73" s="32" t="inlineStr">
        <is>
          <t>Pharma Plus เล่มม่วง</t>
        </is>
      </c>
    </row>
    <row r="74" ht="409.6" customHeight="1" s="49">
      <c r="A74" s="32" t="n">
        <v>72</v>
      </c>
      <c r="B74"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32" t="n"/>
      <c r="D74" s="32" t="inlineStr">
        <is>
          <t>Paracetamol</t>
        </is>
      </c>
      <c r="E74" s="32" t="inlineStr">
        <is>
          <t>Probenecid</t>
        </is>
      </c>
      <c r="F74" s="32" t="inlineStr">
        <is>
          <t>Colchicine</t>
        </is>
      </c>
      <c r="G74" s="32" t="inlineStr">
        <is>
          <t>Tramadol</t>
        </is>
      </c>
      <c r="H74" s="32" t="inlineStr">
        <is>
          <t>Allopurinol</t>
        </is>
      </c>
      <c r="I74" s="32" t="n">
        <v>3</v>
      </c>
      <c r="J74" s="32"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32" t="n"/>
      <c r="L74" s="32" t="inlineStr">
        <is>
          <t>Gout</t>
        </is>
      </c>
      <c r="M74" s="32" t="inlineStr">
        <is>
          <t>Clinic</t>
        </is>
      </c>
      <c r="N74" s="32" t="inlineStr">
        <is>
          <t>ข้อ 2 Pharma Plus เล่มม่วง (เฉลยข้อ ค)</t>
        </is>
      </c>
      <c r="O74" s="32" t="inlineStr">
        <is>
          <t>ข้อสอบจริง</t>
        </is>
      </c>
      <c r="P74" s="32" t="inlineStr">
        <is>
          <t>Pharma Plus เล่มม่วง</t>
        </is>
      </c>
    </row>
    <row r="75" ht="409.6" customHeight="1" s="49">
      <c r="A75" s="32" t="n">
        <v>73</v>
      </c>
      <c r="B75"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32" t="n"/>
      <c r="D75" s="32" t="inlineStr">
        <is>
          <t>Prednisolone</t>
        </is>
      </c>
      <c r="E75" s="32" t="inlineStr">
        <is>
          <t>Indomethacin</t>
        </is>
      </c>
      <c r="F75" s="32" t="inlineStr">
        <is>
          <t>Allopurinol</t>
        </is>
      </c>
      <c r="G75" s="32" t="inlineStr">
        <is>
          <t>Paracetamol</t>
        </is>
      </c>
      <c r="H75" s="32" t="inlineStr">
        <is>
          <t>Tramadol</t>
        </is>
      </c>
      <c r="I75" s="32" t="n">
        <v>3</v>
      </c>
      <c r="J75" s="32"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32" t="n"/>
      <c r="L75" s="32" t="inlineStr">
        <is>
          <t>Gout</t>
        </is>
      </c>
      <c r="M75" s="32" t="inlineStr">
        <is>
          <t>Clinic</t>
        </is>
      </c>
      <c r="N75" s="32" t="inlineStr">
        <is>
          <t>ข้อ 3 Pharma Plus เล่มม่วง (เฉลยข้อ ค)</t>
        </is>
      </c>
      <c r="O75" s="32" t="inlineStr">
        <is>
          <t>ข้อสอบจริง</t>
        </is>
      </c>
      <c r="P75" s="32" t="inlineStr">
        <is>
          <t>Pharma Plus เล่มม่วง</t>
        </is>
      </c>
    </row>
    <row r="76" ht="409.6" customHeight="1" s="49">
      <c r="A76" s="32" t="n">
        <v>74</v>
      </c>
      <c r="B76"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32" t="n"/>
      <c r="D76" s="32" t="inlineStr">
        <is>
          <t>Corticosteroid</t>
        </is>
      </c>
      <c r="E76" s="32" t="inlineStr">
        <is>
          <t>Xanthine oxidase inhibitor</t>
        </is>
      </c>
      <c r="F76" s="32" t="inlineStr">
        <is>
          <t>Uricosuric agent</t>
        </is>
      </c>
      <c r="G76" s="32" t="inlineStr">
        <is>
          <t>NSAID</t>
        </is>
      </c>
      <c r="H76" s="32" t="inlineStr">
        <is>
          <t>Para-aminophenol derivatives</t>
        </is>
      </c>
      <c r="I76" s="32" t="n">
        <v>5</v>
      </c>
      <c r="J76" s="32"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32" t="n"/>
      <c r="L76" s="32" t="inlineStr">
        <is>
          <t>Gout</t>
        </is>
      </c>
      <c r="M76" s="32" t="inlineStr">
        <is>
          <t>Clinic</t>
        </is>
      </c>
      <c r="N76" s="32" t="inlineStr">
        <is>
          <t>ข้อ 4 Pharma Plus เล่มม่วง (เฉลยข้อ จ)</t>
        </is>
      </c>
      <c r="O76" s="32" t="inlineStr">
        <is>
          <t>ข้อสอบจริง</t>
        </is>
      </c>
      <c r="P76" s="32" t="inlineStr">
        <is>
          <t>Pharma Plus เล่มม่วง</t>
        </is>
      </c>
    </row>
    <row r="77" ht="409.6" customHeight="1" s="49">
      <c r="A77" s="32" t="n">
        <v>75</v>
      </c>
      <c r="B77" s="32"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32" t="n"/>
      <c r="D77" s="32" t="inlineStr">
        <is>
          <t>Glucosamine sulfate</t>
        </is>
      </c>
      <c r="E77" s="32" t="inlineStr">
        <is>
          <t>Hydroxychloroquine</t>
        </is>
      </c>
      <c r="F77" s="32" t="inlineStr">
        <is>
          <t>Auranofin</t>
        </is>
      </c>
      <c r="G77" s="32" t="inlineStr">
        <is>
          <t>Prednisolone</t>
        </is>
      </c>
      <c r="H77" s="32" t="inlineStr">
        <is>
          <t>Methotrexate</t>
        </is>
      </c>
      <c r="I77" s="32" t="n">
        <v>1</v>
      </c>
      <c r="J77" s="32"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32" t="n"/>
      <c r="L77" s="32" t="inlineStr">
        <is>
          <t>Osteoarthritis</t>
        </is>
      </c>
      <c r="M77" s="32" t="inlineStr">
        <is>
          <t>Clinic</t>
        </is>
      </c>
      <c r="N77" s="32" t="inlineStr">
        <is>
          <t>ข้อ 5 Pharma Plus เล่มม่วง (เฉลยข้อ ก)</t>
        </is>
      </c>
      <c r="O77" s="32" t="inlineStr">
        <is>
          <t>ข้อสอบจริง</t>
        </is>
      </c>
      <c r="P77" s="32" t="inlineStr">
        <is>
          <t>Pharma Plus เล่มม่วง</t>
        </is>
      </c>
    </row>
    <row r="78" ht="409.6" customHeight="1" s="49">
      <c r="A78" s="32" t="n">
        <v>76</v>
      </c>
      <c r="B78" s="32" t="inlineStr">
        <is>
          <t>ข้อใดเป็นข้อแนะนำที่ไม่เหมาะสมสำหรับผู้ป่วย</t>
        </is>
      </c>
      <c r="C78" s="32" t="n"/>
      <c r="D78" s="32" t="inlineStr">
        <is>
          <t>ลดน้ำหนัก</t>
        </is>
      </c>
      <c r="E78" s="32" t="inlineStr">
        <is>
          <t>ให้ออกกำลังกาย</t>
        </is>
      </c>
      <c r="F78" s="32" t="inlineStr">
        <is>
          <t>การใช้อุปกรณ์พยุงข้อเข่า (Knee brace) เพื่อช่วยแบ่งเบาภาระการรับน้ำหนัก</t>
        </is>
      </c>
      <c r="G78" s="32" t="inlineStr">
        <is>
          <t>หลีกเลี่ยงการฉีดยาเข้าข้อในและติดต่อกัน</t>
        </is>
      </c>
      <c r="H78" s="32" t="inlineStr">
        <is>
          <t>รับประทานยา codeine เมื่อมีอาการปวดทันที</t>
        </is>
      </c>
      <c r="I78" s="32" t="n">
        <v>5</v>
      </c>
      <c r="J78" s="32"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ซึ่งแนวทางเวชปฏิบัติทั้งระดับสากล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32" t="n"/>
      <c r="L78" s="32" t="inlineStr">
        <is>
          <t>Osteoarthritis</t>
        </is>
      </c>
      <c r="M78" s="32" t="inlineStr">
        <is>
          <t>Clinic</t>
        </is>
      </c>
      <c r="N78" s="32" t="inlineStr">
        <is>
          <t>ข้อ 6 Pharma Plus เล่มม่วง (เฉลยข้อ จ)</t>
        </is>
      </c>
      <c r="O78" s="32" t="inlineStr">
        <is>
          <t>ข้อสอบจริง</t>
        </is>
      </c>
      <c r="P78" s="32" t="inlineStr">
        <is>
          <t>Pharma Plus เล่มม่วง</t>
        </is>
      </c>
    </row>
    <row r="79" ht="409.6" customHeight="1" s="49">
      <c r="A79" s="32" t="n">
        <v>77</v>
      </c>
      <c r="B79" s="32" t="inlineStr">
        <is>
          <t>ท่านคิดว่าผลิตภัณฑ์จากสมุนไพรข้อใด มีข้อบ่งใช้ใกล้เคียงกับ diclofenac emulsion gel มากที่สุด</t>
        </is>
      </c>
      <c r="C79" s="32" t="n"/>
      <c r="D79" s="32" t="inlineStr">
        <is>
          <t>เจลพพลู</t>
        </is>
      </c>
      <c r="E79" s="32" t="inlineStr">
        <is>
          <t>ครีมชุมเห็ดเทศ</t>
        </is>
      </c>
      <c r="F79" s="32" t="inlineStr">
        <is>
          <t>เจลว่านหางจระเข้</t>
        </is>
      </c>
      <c r="G79" s="32" t="inlineStr">
        <is>
          <t>ครีมไพล</t>
        </is>
      </c>
      <c r="H79" s="32" t="inlineStr">
        <is>
          <t>ครีมพญายอ</t>
        </is>
      </c>
      <c r="I79" s="32" t="n">
        <v>4</v>
      </c>
      <c r="J79" s="32"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32" t="n"/>
      <c r="L79" s="32" t="inlineStr">
        <is>
          <t>Osteoarthritis / Herbal Medicine</t>
        </is>
      </c>
      <c r="M79" s="32" t="inlineStr">
        <is>
          <t>Clinic</t>
        </is>
      </c>
      <c r="N79" s="32" t="inlineStr">
        <is>
          <t>ข้อ 7 Pharma Plus เล่มม่วง (เฉลยข้อ ง)</t>
        </is>
      </c>
      <c r="O79" s="32" t="inlineStr">
        <is>
          <t>ข้อสอบจริง</t>
        </is>
      </c>
      <c r="P79" s="32" t="inlineStr">
        <is>
          <t>Pharma Plus เล่มม่วง</t>
        </is>
      </c>
    </row>
    <row r="80" ht="409.6" customHeight="1" s="49">
      <c r="A80" s="32" t="n">
        <v>78</v>
      </c>
      <c r="B80" s="32" t="inlineStr">
        <is>
          <t>ข้อใดถูกต้อง</t>
        </is>
      </c>
      <c r="C80" s="32" t="n"/>
      <c r="D80" s="32" t="inlineStr">
        <is>
          <t>เมื่อโรคข้อเสื่อมเกิดการอักเสบร่วมด้วยควรเลือกใช้ยา opioid analgesic จะเหมาะสมกว่ากลุ่ม NSAIDs</t>
        </is>
      </c>
      <c r="E80" s="32" t="inlineStr">
        <is>
          <t>Opioid analgesic ไม่ควรใช้ติดต่อกันนานเพราะจะทำให้เกิดการติดยา</t>
        </is>
      </c>
      <c r="F80" s="32" t="inlineStr">
        <is>
          <t>การใช้ยา NSAIDs ควรเริ่มในขนาดที่สูงก่อนเพื่อบรรเทาอาการเจ็บปวดทันทีก่อน</t>
        </is>
      </c>
      <c r="G80" s="32" t="inlineStr">
        <is>
          <t>ผลข้างเคียงของการใช้ยากลุ่ม opioid analgesic ที่พบบ่อย คือ ท้องเสีย</t>
        </is>
      </c>
      <c r="H80" s="32" t="inlineStr">
        <is>
          <t>ยากลุ่ม cox-1 มีผลต่อการเกาะกลุ่มของเกล็ดเลือดมากกว่ายากลุ่ม cox-2</t>
        </is>
      </c>
      <c r="I80" s="32" t="n">
        <v>2</v>
      </c>
      <c r="J80" s="32"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32" t="n"/>
      <c r="L80" s="32" t="inlineStr">
        <is>
          <t>Osteoarthritis</t>
        </is>
      </c>
      <c r="M80" s="32" t="inlineStr">
        <is>
          <t>Clinic</t>
        </is>
      </c>
      <c r="N80" s="32" t="inlineStr">
        <is>
          <t>ข้อ 8 Pharma Plus เล่มม่วง (เฉลยข้อ ข)</t>
        </is>
      </c>
      <c r="O80" s="32" t="inlineStr">
        <is>
          <t>ข้อสอบจริง</t>
        </is>
      </c>
      <c r="P80" s="32" t="inlineStr">
        <is>
          <t>Pharma Plus เล่มม่วง</t>
        </is>
      </c>
    </row>
    <row r="81" ht="409.6" customHeight="1" s="49">
      <c r="A81" s="32" t="n">
        <v>79</v>
      </c>
      <c r="B81" s="32" t="inlineStr">
        <is>
          <t>เมื่อแพทย์พิจารณาแล้วจึงจ่ายยากลุ่ม cox-2 selective inhibitor ข้อใดถูกต้องเกี่ยวกับ cox-2 selective inhibitor</t>
        </is>
      </c>
      <c r="C81" s="32" t="n"/>
      <c r="D81" s="32" t="inlineStr">
        <is>
          <t>ในโครงสร้างของยากลุ่ม Cox-2 inhibitor มี Carboxyl group เป็นส่วนสำคัญที่ใช้ในการจับกับของ enzyme cox-2</t>
        </is>
      </c>
      <c r="E81" s="32" t="inlineStr">
        <is>
          <t>ยากลุ่ม cox-2 inhibitor ไม่มีผลข้างเคียงต่อกระเพาะอาหาร เนื่องจากยับยั้งเอนไซม์ cox-2 ที่กระเพาะอาหาร</t>
        </is>
      </c>
      <c r="F81" s="32" t="inlineStr">
        <is>
          <t>ยากลุ่ม cox-2 inhibitor แต่ละตัวมี cox-2/cox-1 Selective ratio ที่แตกต่างกัน</t>
        </is>
      </c>
      <c r="G81" s="32" t="inlineStr">
        <is>
          <t>ยากลุ่ม cox-2 inhibitor ทุกตัวไม่สามารถให้ในผู้ป่วยที่แพ้ยากลุ่ม sulfonamide ได้</t>
        </is>
      </c>
      <c r="H81" s="32" t="inlineStr">
        <is>
          <t>ยากลุ่ม cox-2 inhibitor ออกฤทธิ์จับกับ Cox-2 เท่านั้น โดยไม่สามารถจับกับเอนไซม์ cox-1 ได้</t>
        </is>
      </c>
      <c r="I81" s="32" t="n">
        <v>3</v>
      </c>
      <c r="J81" s="32"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32" t="n"/>
      <c r="L81" s="32" t="inlineStr">
        <is>
          <t>Osteoarthritis</t>
        </is>
      </c>
      <c r="M81" s="32" t="inlineStr">
        <is>
          <t>Clinic</t>
        </is>
      </c>
      <c r="N81" s="32" t="inlineStr">
        <is>
          <t>ข้อ 9 Pharma Plus เล่มม่วง (เฉลยข้อ ค)</t>
        </is>
      </c>
      <c r="O81" s="32" t="inlineStr">
        <is>
          <t>ข้อสอบจริง</t>
        </is>
      </c>
      <c r="P81" s="32" t="inlineStr">
        <is>
          <t>Pharma Plus เล่มม่วง</t>
        </is>
      </c>
    </row>
    <row r="82" ht="409.6" customHeight="1" s="49">
      <c r="A82" s="32" t="n">
        <v>80</v>
      </c>
      <c r="B82" s="32"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32" t="n"/>
      <c r="D82" s="32" t="inlineStr">
        <is>
          <t>ปวดบวมข้อที่นิ้วมือและเท้า</t>
        </is>
      </c>
      <c r="E82" s="32" t="inlineStr">
        <is>
          <t>ปวดบวมแดงร้อน</t>
        </is>
      </c>
      <c r="F82" s="32" t="inlineStr">
        <is>
          <t>Uric acid</t>
        </is>
      </c>
      <c r="G82" s="32" t="inlineStr">
        <is>
          <t>Scr</t>
        </is>
      </c>
      <c r="H82" s="32" t="inlineStr">
        <is>
          <t>Synovial crystal</t>
        </is>
      </c>
      <c r="I82" s="32" t="n">
        <v>5</v>
      </c>
      <c r="J82" s="32"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32" t="n"/>
      <c r="L82" s="32" t="inlineStr">
        <is>
          <t>Gout</t>
        </is>
      </c>
      <c r="M82" s="32" t="inlineStr">
        <is>
          <t>Clinic</t>
        </is>
      </c>
      <c r="N82" s="32" t="inlineStr">
        <is>
          <t>ข้อ 10 Pharma Plus เล่มม่วง (เฉลยข้อ จ)</t>
        </is>
      </c>
      <c r="O82" s="32" t="inlineStr">
        <is>
          <t>ข้อสอบจริง</t>
        </is>
      </c>
      <c r="P82" s="32" t="inlineStr">
        <is>
          <t>Pharma Plus เล่มม่วง</t>
        </is>
      </c>
    </row>
    <row r="83" ht="409.6" customHeight="1" s="49">
      <c r="A83" s="32" t="n">
        <v>81</v>
      </c>
      <c r="B83" s="32"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32" t="n"/>
      <c r="D83" s="32" t="inlineStr">
        <is>
          <t>Allopurinol</t>
        </is>
      </c>
      <c r="E83" s="32" t="inlineStr">
        <is>
          <t>Aspirin</t>
        </is>
      </c>
      <c r="F83" s="32" t="inlineStr">
        <is>
          <t>Colchicine</t>
        </is>
      </c>
      <c r="G83" s="32" t="inlineStr">
        <is>
          <t>Prednisolone</t>
        </is>
      </c>
      <c r="H83" s="32" t="inlineStr">
        <is>
          <t>Probenecid</t>
        </is>
      </c>
      <c r="I83" s="32" t="n">
        <v>3</v>
      </c>
      <c r="J83" s="32"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32" t="n"/>
      <c r="L83" s="32" t="inlineStr">
        <is>
          <t>Gout</t>
        </is>
      </c>
      <c r="M83" s="32" t="inlineStr">
        <is>
          <t>Clinic</t>
        </is>
      </c>
      <c r="N83" s="32" t="inlineStr">
        <is>
          <t>ข้อ 11 Pharma Plus เล่มม่วง (เฉลยข้อ ค)</t>
        </is>
      </c>
      <c r="O83" s="32" t="inlineStr">
        <is>
          <t>ข้อสอบจริง</t>
        </is>
      </c>
      <c r="P83" s="32" t="inlineStr">
        <is>
          <t>Pharma Plus เล่มม่วง</t>
        </is>
      </c>
    </row>
    <row r="84" ht="409.6" customHeight="1" s="49">
      <c r="A84" s="32" t="n">
        <v>82</v>
      </c>
      <c r="B84" s="32"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32" t="n"/>
      <c r="D84" s="32" t="inlineStr">
        <is>
          <t>CaCO3</t>
        </is>
      </c>
      <c r="E84" s="32" t="inlineStr">
        <is>
          <t>HCTZ</t>
        </is>
      </c>
      <c r="F84" s="32" t="inlineStr">
        <is>
          <t>Ibuprofen</t>
        </is>
      </c>
      <c r="G84" s="32" t="inlineStr">
        <is>
          <t>MFM</t>
        </is>
      </c>
      <c r="H84" s="32" t="inlineStr">
        <is>
          <t>Simvastatin</t>
        </is>
      </c>
      <c r="I84" s="32" t="n">
        <v>4</v>
      </c>
      <c r="J84" s="32"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32" t="n"/>
      <c r="L84" s="32" t="inlineStr">
        <is>
          <t>Gout</t>
        </is>
      </c>
      <c r="M84" s="32" t="inlineStr">
        <is>
          <t>Clinic</t>
        </is>
      </c>
      <c r="N84" s="32" t="inlineStr">
        <is>
          <t>ข้อ 12 Pharma Plus เล่มม่วง (เฉลยข้อ ง)</t>
        </is>
      </c>
      <c r="O84" s="32" t="inlineStr">
        <is>
          <t>ข้อสอบจริง</t>
        </is>
      </c>
      <c r="P84" s="32" t="inlineStr">
        <is>
          <t>Pharma Plus เล่มม่วง</t>
        </is>
      </c>
    </row>
    <row r="85" ht="409.6" customHeight="1" s="49">
      <c r="A85" s="32" t="n">
        <v>83</v>
      </c>
      <c r="B85" s="32" t="inlineStr">
        <is>
          <t>ยาใดควรระวังในกลุ่ม sulfonamide</t>
        </is>
      </c>
      <c r="C85" s="32" t="n"/>
      <c r="D85" s="32" t="inlineStr">
        <is>
          <t>Allopurinol</t>
        </is>
      </c>
      <c r="E85" s="32" t="inlineStr">
        <is>
          <t>Colchicine</t>
        </is>
      </c>
      <c r="F85" s="32" t="inlineStr">
        <is>
          <t>HCTZ</t>
        </is>
      </c>
      <c r="G85" s="32" t="inlineStr">
        <is>
          <t>Ibuprofen</t>
        </is>
      </c>
      <c r="H85" s="32" t="inlineStr">
        <is>
          <t>Naproxen</t>
        </is>
      </c>
      <c r="I85" s="32" t="n">
        <v>3</v>
      </c>
      <c r="J85" s="32"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32" t="n"/>
      <c r="L85" s="32" t="inlineStr">
        <is>
          <t>Gout</t>
        </is>
      </c>
      <c r="M85" s="32" t="inlineStr">
        <is>
          <t>Clinic</t>
        </is>
      </c>
      <c r="N85" s="32" t="inlineStr">
        <is>
          <t>ข้อ 13 Pharma Plus เล่มม่วง (เฉลยข้อ ค)</t>
        </is>
      </c>
      <c r="O85" s="32" t="inlineStr">
        <is>
          <t>ข้อสอบจริง</t>
        </is>
      </c>
      <c r="P85" s="32" t="inlineStr">
        <is>
          <t>Pharma Plus เล่มม่วง</t>
        </is>
      </c>
    </row>
    <row r="86" ht="409.6" customHeight="1" s="49">
      <c r="A86" s="32" t="n">
        <v>84</v>
      </c>
      <c r="B86" s="32" t="inlineStr">
        <is>
          <t>NSAID ที่มีฤทธิ์เปลี่ยนแปลงระดับ uric acid ในเลือด</t>
        </is>
      </c>
      <c r="C86" s="32" t="n"/>
      <c r="D86" s="32" t="inlineStr">
        <is>
          <t>Aspirin</t>
        </is>
      </c>
      <c r="E86" s="32" t="inlineStr">
        <is>
          <t>Celecoxib</t>
        </is>
      </c>
      <c r="F86" s="32" t="inlineStr">
        <is>
          <t>Ibuprofen</t>
        </is>
      </c>
      <c r="G86" s="32" t="inlineStr">
        <is>
          <t>Nimesulide</t>
        </is>
      </c>
      <c r="H86" s="32" t="inlineStr">
        <is>
          <t>Piroxicam</t>
        </is>
      </c>
      <c r="I86" s="32" t="n">
        <v>1</v>
      </c>
      <c r="J86" s="32"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32" t="n"/>
      <c r="L86" s="32" t="inlineStr">
        <is>
          <t>Gout</t>
        </is>
      </c>
      <c r="M86" s="32" t="inlineStr">
        <is>
          <t>Clinic</t>
        </is>
      </c>
      <c r="N86" s="32" t="inlineStr">
        <is>
          <t>ข้อ 14 Pharma Plus เล่มม่วง (เฉลยข้อ ก)</t>
        </is>
      </c>
      <c r="O86" s="32" t="inlineStr">
        <is>
          <t>ข้อสอบจริง</t>
        </is>
      </c>
      <c r="P86" s="32" t="inlineStr">
        <is>
          <t>Pharma Plus เล่มม่วง</t>
        </is>
      </c>
    </row>
    <row r="87" ht="409.6" customHeight="1" s="49">
      <c r="A87" s="32" t="n">
        <v>85</v>
      </c>
      <c r="B87"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32" t="n"/>
      <c r="D87" s="32" t="inlineStr">
        <is>
          <t>เกิดจากการสร้าง uric acid มากเกินไป</t>
        </is>
      </c>
      <c r="E87" s="32" t="inlineStr">
        <is>
          <t>เกิดจากการที่ขับ uric acid ได้น้อยลง</t>
        </is>
      </c>
      <c r="F87" s="32" t="inlineStr">
        <is>
          <t>อาการจะค่อยๆปวด มากขึ้นเรื่อย ๆ</t>
        </is>
      </c>
      <c r="G87" s="32" t="inlineStr">
        <is>
          <t>อาการมักจะเกิดตอนกลางคืนหรือเช้ามืด</t>
        </is>
      </c>
      <c r="H87" s="32" t="inlineStr">
        <is>
          <t>อาจพบนิ่วตกตะกอนที่ไตได้</t>
        </is>
      </c>
      <c r="I87" s="32" t="n">
        <v>3</v>
      </c>
      <c r="J87" s="32"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32" t="n"/>
      <c r="L87" s="32" t="inlineStr">
        <is>
          <t>Gout</t>
        </is>
      </c>
      <c r="M87" s="32" t="inlineStr">
        <is>
          <t>Clinic</t>
        </is>
      </c>
      <c r="N87" s="32" t="inlineStr">
        <is>
          <t>ข้อ 15 Pharma Plus เล่มม่วง (เฉลยข้อ ค)</t>
        </is>
      </c>
      <c r="O87" s="32" t="inlineStr">
        <is>
          <t>ข้อสอบจริง</t>
        </is>
      </c>
      <c r="P87" s="32" t="inlineStr">
        <is>
          <t>Pharma Plus เล่มม่วง</t>
        </is>
      </c>
    </row>
    <row r="88" ht="409.6" customHeight="1" s="49">
      <c r="A88" s="32" t="n">
        <v>86</v>
      </c>
      <c r="B88"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32" t="n"/>
      <c r="D88" s="32" t="inlineStr">
        <is>
          <t>โรคที่อาจมีผลทำให้ระดับ uric acid สูงขึ้น ได้แก่ เบาหวาน ความดันโลหิตสูง</t>
        </is>
      </c>
      <c r="E88" s="32" t="inlineStr">
        <is>
          <t>หากผู้ป่วยมีอาการปวดข้อ ข้อบวมควรรีบให้ยาลดระดับ uric acid ในเลือด</t>
        </is>
      </c>
      <c r="F88" s="32" t="inlineStr">
        <is>
          <t>การให้ยา aspirin ในขนาด 3 g ต่อวัน มีผลให้ระดับ uric acid ลดลง</t>
        </is>
      </c>
      <c r="G88" s="32" t="inlineStr">
        <is>
          <t>ยา colchicine จะให้ผลการรักษาที่ดีใน 2 วันแรกของ gout attack</t>
        </is>
      </c>
      <c r="H88" s="32" t="inlineStr">
        <is>
          <t>พันธุกรรม มีผลต่อการเกิดโรค</t>
        </is>
      </c>
      <c r="I88" s="32" t="n">
        <v>2</v>
      </c>
      <c r="J88" s="32"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32" t="n"/>
      <c r="L88" s="32" t="inlineStr">
        <is>
          <t>Gout</t>
        </is>
      </c>
      <c r="M88" s="32" t="inlineStr">
        <is>
          <t>Clinic</t>
        </is>
      </c>
      <c r="N88" s="32" t="inlineStr">
        <is>
          <t>ข้อ 16 Pharma Plus เล่มม่วง (เฉลยข้อ ข)</t>
        </is>
      </c>
      <c r="O88" s="32" t="inlineStr">
        <is>
          <t>ข้อสอบจริง</t>
        </is>
      </c>
      <c r="P88" s="32" t="inlineStr">
        <is>
          <t>Pharma Plus เล่มม่วง</t>
        </is>
      </c>
    </row>
    <row r="89" ht="409.6" customHeight="1" s="49">
      <c r="A89" s="32" t="n">
        <v>87</v>
      </c>
      <c r="B89"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32" t="n"/>
      <c r="D89" s="32" t="inlineStr">
        <is>
          <t>Indomethacin</t>
        </is>
      </c>
      <c r="E89" s="32" t="inlineStr">
        <is>
          <t>Colchicine</t>
        </is>
      </c>
      <c r="F89" s="32" t="inlineStr">
        <is>
          <t>Indomethacin + colchicine</t>
        </is>
      </c>
      <c r="G89" s="32" t="inlineStr">
        <is>
          <t>Colchicine + allopurinol</t>
        </is>
      </c>
      <c r="H89" s="32" t="inlineStr">
        <is>
          <t>Indomethacin + colchicine + allopurinol</t>
        </is>
      </c>
      <c r="I89" s="32" t="n">
        <v>1</v>
      </c>
      <c r="J89" s="32"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32" t="n"/>
      <c r="L89" s="32" t="inlineStr">
        <is>
          <t>Gout</t>
        </is>
      </c>
      <c r="M89" s="32" t="inlineStr">
        <is>
          <t>Clinic</t>
        </is>
      </c>
      <c r="N89" s="32" t="inlineStr">
        <is>
          <t>ข้อ 17 Pharma Plus เล่มม่วง (เฉลยข้อ ก)</t>
        </is>
      </c>
      <c r="O89" s="32" t="inlineStr">
        <is>
          <t>ข้อสอบจริง</t>
        </is>
      </c>
      <c r="P89" s="32" t="inlineStr">
        <is>
          <t>Pharma Plus เล่มม่วง</t>
        </is>
      </c>
    </row>
    <row r="90" ht="396" customHeight="1" s="49">
      <c r="A90" s="32" t="n">
        <v>88</v>
      </c>
      <c r="B90"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32" t="n"/>
      <c r="D90" s="32" t="inlineStr">
        <is>
          <t>Rheumatoid arthritis</t>
        </is>
      </c>
      <c r="E90" s="32" t="inlineStr">
        <is>
          <t>Osteoarthritis</t>
        </is>
      </c>
      <c r="F90" s="32" t="inlineStr">
        <is>
          <t>Acute Gout</t>
        </is>
      </c>
      <c r="G90" s="32" t="inlineStr">
        <is>
          <t>Osteoporosis</t>
        </is>
      </c>
      <c r="H90" s="32" t="inlineStr">
        <is>
          <t>Osteomalacia</t>
        </is>
      </c>
      <c r="I90" s="32" t="n">
        <v>3</v>
      </c>
      <c r="J90" s="32"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32" t="n"/>
      <c r="L90" s="32" t="inlineStr">
        <is>
          <t>Gout</t>
        </is>
      </c>
      <c r="M90" s="32" t="inlineStr">
        <is>
          <t>Clinic</t>
        </is>
      </c>
      <c r="N90" s="32" t="inlineStr">
        <is>
          <t>ข้อ 18 Pharma Plus เล่มม่วง (เฉลยข้อ ค)</t>
        </is>
      </c>
      <c r="O90" s="32" t="inlineStr">
        <is>
          <t>ข้อสอบจริง</t>
        </is>
      </c>
      <c r="P90" s="32" t="inlineStr">
        <is>
          <t>Pharma Plus เล่มม่วง</t>
        </is>
      </c>
    </row>
    <row r="91" ht="409.6" customHeight="1" s="49">
      <c r="A91" s="32" t="n">
        <v>89</v>
      </c>
      <c r="B91"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32" t="n"/>
      <c r="D91" s="32" t="inlineStr">
        <is>
          <t>เกิดจากการมีภาวะกรดยูริกในเลือดสูง และมีผลึก monosodium glutamate ตกตะกอนในข้อ</t>
        </is>
      </c>
      <c r="E91" s="32" t="inlineStr">
        <is>
          <t>เกิดจากการเสื่อมสภาพของกระดูกอ่อน โดยถูกทำลายจนเกิดการผิดรูปร่างไป</t>
        </is>
      </c>
      <c r="F91" s="32" t="inlineStr">
        <is>
          <t>เกิดจากการอักเสบเรื้อรังของเนื้อเยื่อไขกระดูกและกระดูกอ่อนถูกทำลาย</t>
        </is>
      </c>
      <c r="G91" s="32" t="inlineStr">
        <is>
          <t>เกิดจากโรค autoimmune ทำให้มีปุ่ม tophi เกิดขึ้นบริเวณข้ออักเสบ</t>
        </is>
      </c>
      <c r="H91" s="32" t="inlineStr">
        <is>
          <t>ไม่มีข้อใดถูก</t>
        </is>
      </c>
      <c r="I91" s="32" t="n">
        <v>5</v>
      </c>
      <c r="J91" s="32"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32" t="n"/>
      <c r="L91" s="32" t="inlineStr">
        <is>
          <t>Gout</t>
        </is>
      </c>
      <c r="M91" s="32" t="inlineStr">
        <is>
          <t>Clinic</t>
        </is>
      </c>
      <c r="N91" s="32" t="inlineStr">
        <is>
          <t>ข้อ 19 Pharma Plus เล่มม่วง (เฉลยข้อ จ)</t>
        </is>
      </c>
      <c r="O91" s="32" t="inlineStr">
        <is>
          <t>ข้อสอบจริง</t>
        </is>
      </c>
      <c r="P91" s="32" t="inlineStr">
        <is>
          <t>Pharma Plus เล่มม่วง</t>
        </is>
      </c>
    </row>
    <row r="92" ht="409.6" customHeight="1" s="49">
      <c r="A92" s="32" t="n">
        <v>90</v>
      </c>
      <c r="B92"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32" t="n"/>
      <c r="D92" s="32" t="inlineStr">
        <is>
          <t>Diuretic</t>
        </is>
      </c>
      <c r="E92" s="32" t="inlineStr">
        <is>
          <t>Salicylates low dose</t>
        </is>
      </c>
      <c r="F92" s="32" t="inlineStr">
        <is>
          <t>Pyrazinamide</t>
        </is>
      </c>
      <c r="G92" s="32" t="inlineStr">
        <is>
          <t>Ethambutol</t>
        </is>
      </c>
      <c r="H92" s="32" t="inlineStr">
        <is>
          <t>ไม่มีข้อใดถูก</t>
        </is>
      </c>
      <c r="I92" s="32" t="n">
        <v>5</v>
      </c>
      <c r="J92" s="32"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32" t="n"/>
      <c r="L92" s="32" t="inlineStr">
        <is>
          <t>Gout</t>
        </is>
      </c>
      <c r="M92" s="32" t="inlineStr">
        <is>
          <t>Clinic</t>
        </is>
      </c>
      <c r="N92" s="32" t="inlineStr">
        <is>
          <t>ข้อ 20 Pharma Plus เล่มม่วง (เฉลยข้อ จ)</t>
        </is>
      </c>
      <c r="O92" s="32" t="inlineStr">
        <is>
          <t>ข้อสอบจริง</t>
        </is>
      </c>
      <c r="P92" s="32" t="inlineStr">
        <is>
          <t>Pharma Plus เล่มม่วง</t>
        </is>
      </c>
    </row>
    <row r="93" ht="409.6" customHeight="1" s="49">
      <c r="A93" s="32" t="n">
        <v>91</v>
      </c>
      <c r="B93"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32" t="n"/>
      <c r="D93" s="32" t="inlineStr">
        <is>
          <t>Aspirin</t>
        </is>
      </c>
      <c r="E93" s="32" t="inlineStr">
        <is>
          <t>Colchicine</t>
        </is>
      </c>
      <c r="F93" s="32" t="inlineStr">
        <is>
          <t>Indomethacin + colchicine</t>
        </is>
      </c>
      <c r="G93" s="32" t="inlineStr">
        <is>
          <t>Colchicine + allopurinol</t>
        </is>
      </c>
      <c r="H93" s="32" t="inlineStr">
        <is>
          <t>Indomethacin + colchicine+ allopurinol</t>
        </is>
      </c>
      <c r="I93" s="32" t="n">
        <v>2</v>
      </c>
      <c r="J93" s="32"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32" t="n"/>
      <c r="L93" s="32" t="inlineStr">
        <is>
          <t>Gout</t>
        </is>
      </c>
      <c r="M93" s="32" t="inlineStr">
        <is>
          <t>Clinic</t>
        </is>
      </c>
      <c r="N93" s="32" t="inlineStr">
        <is>
          <t>ข้อ 21 Pharma Plus เล่มม่วง (เฉลยข้อ ข)</t>
        </is>
      </c>
      <c r="O93" s="32" t="inlineStr">
        <is>
          <t>ข้อสอบจริง</t>
        </is>
      </c>
      <c r="P93" s="32" t="inlineStr">
        <is>
          <t>Pharma Plus เล่มม่วง</t>
        </is>
      </c>
    </row>
    <row r="94" ht="409.6" customHeight="1" s="49">
      <c r="A94" s="32" t="n">
        <v>92</v>
      </c>
      <c r="B94"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32" t="n"/>
      <c r="D94" s="32" t="inlineStr">
        <is>
          <t>ตับอักเสบ</t>
        </is>
      </c>
      <c r="E94" s="32" t="inlineStr">
        <is>
          <t>ท้องเสีย</t>
        </is>
      </c>
      <c r="F94" s="32" t="inlineStr">
        <is>
          <t>ปัสสาวะเป็นสีโค้ก</t>
        </is>
      </c>
      <c r="G94" s="32" t="inlineStr">
        <is>
          <t>กดการทำงานของไขกระดูก</t>
        </is>
      </c>
      <c r="H94" s="32" t="inlineStr">
        <is>
          <t>ถูกทุกข้อ</t>
        </is>
      </c>
      <c r="I94" s="32" t="n">
        <v>5</v>
      </c>
      <c r="J94" s="32"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32" t="n"/>
      <c r="L94" s="32" t="inlineStr">
        <is>
          <t>Gout</t>
        </is>
      </c>
      <c r="M94" s="32" t="inlineStr">
        <is>
          <t>Clinic</t>
        </is>
      </c>
      <c r="N94" s="32" t="inlineStr">
        <is>
          <t>ข้อ 22 Pharma Plus เล่มม่วง (เฉลยข้อ จ)</t>
        </is>
      </c>
      <c r="O94" s="32" t="inlineStr">
        <is>
          <t>ข้อสอบจริง</t>
        </is>
      </c>
      <c r="P94" s="32" t="inlineStr">
        <is>
          <t>Pharma Plus เล่มม่วง</t>
        </is>
      </c>
    </row>
    <row r="95" ht="409.6" customHeight="1" s="49">
      <c r="A95" s="32" t="n">
        <v>93</v>
      </c>
      <c r="B95"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32" t="n"/>
      <c r="D95" s="32" t="inlineStr">
        <is>
          <t>Corticosteroid</t>
        </is>
      </c>
      <c r="E95" s="32" t="inlineStr">
        <is>
          <t>NSAIDs</t>
        </is>
      </c>
      <c r="F95" s="32" t="inlineStr">
        <is>
          <t>Xanthine oxidase inhibitors</t>
        </is>
      </c>
      <c r="G95" s="32" t="inlineStr">
        <is>
          <t>Uricosuric agent</t>
        </is>
      </c>
      <c r="H95" s="32" t="inlineStr">
        <is>
          <t>ถูกทั้งข้อ ค. และ ง.</t>
        </is>
      </c>
      <c r="I95" s="32" t="n">
        <v>5</v>
      </c>
      <c r="J95" s="32"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32" t="n"/>
      <c r="L95" s="32" t="inlineStr">
        <is>
          <t>Gout</t>
        </is>
      </c>
      <c r="M95" s="32" t="inlineStr">
        <is>
          <t>Clinic</t>
        </is>
      </c>
      <c r="N95" s="32" t="inlineStr">
        <is>
          <t>ข้อ 23 Pharma Plus เล่มม่วง (เฉลยข้อ จ)</t>
        </is>
      </c>
      <c r="O95" s="32" t="inlineStr">
        <is>
          <t>ข้อสอบจริง</t>
        </is>
      </c>
      <c r="P95" s="32" t="inlineStr">
        <is>
          <t>Pharma Plus เล่มม่วง</t>
        </is>
      </c>
    </row>
    <row r="96" ht="409.6" customHeight="1" s="49">
      <c r="A96" s="32" t="n">
        <v>94</v>
      </c>
      <c r="B96" s="32" t="inlineStr">
        <is>
          <t>ข้อใดกล่าวผิด</t>
        </is>
      </c>
      <c r="C96" s="32" t="n"/>
      <c r="D96" s="32" t="inlineStr">
        <is>
          <t>Colchicine ออกฤทธิ์ลดการอักเสบของข้อ แต่ไม่มีฤทธิ์ analgesic</t>
        </is>
      </c>
      <c r="E96" s="32" t="inlineStr">
        <is>
          <t>Allopurinol ออกฤทธิ์ลดการสร้างกรดยูริก โดยยับยั้งเอนไซม์ xanthine oxidase</t>
        </is>
      </c>
      <c r="F96" s="32" t="inlineStr">
        <is>
          <t>Probenecid ออกฤทธิ์ยับยั้งการดูดกลับของกรดยูริกที่ท่อไต และเพิ่มการขับออกของกรดยูริกทางไตด้วย</t>
        </is>
      </c>
      <c r="G96" s="32" t="inlineStr">
        <is>
          <t>ข้อ ก. และข้อ ค. กล่าวผิด</t>
        </is>
      </c>
      <c r="H96" s="32" t="inlineStr">
        <is>
          <t>กล่าวถูกทุกข้อ</t>
        </is>
      </c>
      <c r="I96" s="32" t="n">
        <v>1</v>
      </c>
      <c r="J96" s="32"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32" t="n"/>
      <c r="L96" s="32" t="inlineStr">
        <is>
          <t>Gout</t>
        </is>
      </c>
      <c r="M96" s="32" t="inlineStr">
        <is>
          <t>Clinic</t>
        </is>
      </c>
      <c r="N96" s="32" t="inlineStr">
        <is>
          <t>ข้อ 24 Pharma Plus เล่มม่วง (เฉลยข้อ ก)</t>
        </is>
      </c>
      <c r="O96" s="32" t="inlineStr">
        <is>
          <t>Mock</t>
        </is>
      </c>
      <c r="P96" s="32" t="inlineStr">
        <is>
          <t>Pharma Plus เล่มม่วง</t>
        </is>
      </c>
    </row>
    <row r="97" ht="409.6" customHeight="1" s="49">
      <c r="A97" s="32" t="n">
        <v>95</v>
      </c>
      <c r="B97" s="32"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32" t="n"/>
      <c r="D97" s="32" t="inlineStr">
        <is>
          <t>ยา allopurinol เนื่องจากเป็นยาอันตราย</t>
        </is>
      </c>
      <c r="E97" s="32" t="inlineStr">
        <is>
          <t>ยา colchicine เนื่องจากเป็นยาอันตราย</t>
        </is>
      </c>
      <c r="F97" s="32" t="inlineStr">
        <is>
          <t>ยา etoricoxib เนื่องจากเป็นยาควบคุมพิเศษ</t>
        </is>
      </c>
      <c r="G97" s="32" t="inlineStr">
        <is>
          <t>ยา prednisolone เนื่องจากเป็นยาควบคุมพิเศษ</t>
        </is>
      </c>
      <c r="H97" s="32" t="inlineStr">
        <is>
          <t>เภสัชกรสามารถจ่ายยาได้ทุกข้อ</t>
        </is>
      </c>
      <c r="I97" s="32" t="n">
        <v>4</v>
      </c>
      <c r="J97" s="32"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32" t="n"/>
      <c r="L97" s="32" t="inlineStr">
        <is>
          <t>Gout / Pharmacy Laws &amp; Ethics</t>
        </is>
      </c>
      <c r="M97" s="32" t="inlineStr">
        <is>
          <t>Clinic</t>
        </is>
      </c>
      <c r="N97" s="32" t="inlineStr">
        <is>
          <t>ข้อ 25 Pharma Plus เล่มม่วง (เฉลยข้อ ง)</t>
        </is>
      </c>
      <c r="O97" s="32" t="inlineStr">
        <is>
          <t>Mock</t>
        </is>
      </c>
      <c r="P97" s="32" t="inlineStr">
        <is>
          <t>Pharma Plus เล่มม่วง</t>
        </is>
      </c>
    </row>
    <row r="98" ht="409.6" customHeight="1" s="49">
      <c r="A98" s="32" t="n">
        <v>96</v>
      </c>
      <c r="B98"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32" t="n"/>
      <c r="D98" s="32" t="inlineStr">
        <is>
          <t>SLE</t>
        </is>
      </c>
      <c r="E98" s="32" t="inlineStr">
        <is>
          <t>Gout</t>
        </is>
      </c>
      <c r="F98" s="32" t="inlineStr">
        <is>
          <t>Tendonitis</t>
        </is>
      </c>
      <c r="G98" s="32" t="inlineStr">
        <is>
          <t>Osteoarthritis</t>
        </is>
      </c>
      <c r="H98" s="32" t="inlineStr">
        <is>
          <t>Rheumatoid arthritis</t>
        </is>
      </c>
      <c r="I98" s="32" t="n">
        <v>2</v>
      </c>
      <c r="J98" s="32"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32" t="n"/>
      <c r="L98" s="32" t="inlineStr">
        <is>
          <t>Gout</t>
        </is>
      </c>
      <c r="M98" s="32" t="inlineStr">
        <is>
          <t>Clinic</t>
        </is>
      </c>
      <c r="N98" s="32" t="inlineStr">
        <is>
          <t>ข้อ 26 Pharma Plus เล่มม่วง (เฉลยข้อ ข)</t>
        </is>
      </c>
      <c r="O98" s="32" t="inlineStr">
        <is>
          <t>Mock</t>
        </is>
      </c>
      <c r="P98" s="32" t="inlineStr">
        <is>
          <t>Pharma Plus เล่มม่วง</t>
        </is>
      </c>
    </row>
    <row r="99" ht="409.6" customHeight="1" s="49">
      <c r="A99" s="32" t="n">
        <v>97</v>
      </c>
      <c r="B99"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32" t="n"/>
      <c r="D99" s="32" t="inlineStr">
        <is>
          <t>ALT (SGPT)</t>
        </is>
      </c>
      <c r="E99" s="32" t="inlineStr">
        <is>
          <t>FBS</t>
        </is>
      </c>
      <c r="F99" s="32" t="inlineStr">
        <is>
          <t>Hct</t>
        </is>
      </c>
      <c r="G99" s="32" t="inlineStr">
        <is>
          <t>BUN</t>
        </is>
      </c>
      <c r="H99" s="32" t="inlineStr">
        <is>
          <t>Uric acid</t>
        </is>
      </c>
      <c r="I99" s="32" t="n">
        <v>5</v>
      </c>
      <c r="J99" s="32"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32" t="n"/>
      <c r="L99" s="32" t="inlineStr">
        <is>
          <t>Gout</t>
        </is>
      </c>
      <c r="M99" s="32" t="inlineStr">
        <is>
          <t>Clinic</t>
        </is>
      </c>
      <c r="N99" s="32" t="inlineStr">
        <is>
          <t>ข้อ 27 Pharma Plus เล่มม่วง (เฉลยข้อ จ)</t>
        </is>
      </c>
      <c r="O99" s="32" t="inlineStr">
        <is>
          <t>Mock</t>
        </is>
      </c>
      <c r="P99" s="32" t="inlineStr">
        <is>
          <t>Pharma Plus เล่มม่วง</t>
        </is>
      </c>
    </row>
    <row r="100" ht="409.6" customHeight="1" s="49">
      <c r="A100" s="32" t="n">
        <v>98</v>
      </c>
      <c r="B100"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32" t="n"/>
      <c r="D100" s="32" t="inlineStr">
        <is>
          <t>ASA</t>
        </is>
      </c>
      <c r="E100" s="32" t="inlineStr">
        <is>
          <t>Allopurinol</t>
        </is>
      </c>
      <c r="F100" s="32" t="inlineStr">
        <is>
          <t>Colchicine</t>
        </is>
      </c>
      <c r="G100" s="32" t="inlineStr">
        <is>
          <t>Tramadol</t>
        </is>
      </c>
      <c r="H100" s="32" t="inlineStr">
        <is>
          <t>Paracetamol</t>
        </is>
      </c>
      <c r="I100" s="32" t="n">
        <v>1</v>
      </c>
      <c r="J100" s="32"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32" t="n"/>
      <c r="L100" s="32" t="inlineStr">
        <is>
          <t>Gout</t>
        </is>
      </c>
      <c r="M100" s="32" t="inlineStr">
        <is>
          <t>Clinic</t>
        </is>
      </c>
      <c r="N100" s="32" t="inlineStr">
        <is>
          <t>ข้อ 28 Pharma Plus เล่มม่วง (เฉลยข้อ ก ข)</t>
        </is>
      </c>
      <c r="O100" s="32" t="inlineStr">
        <is>
          <t>Mock</t>
        </is>
      </c>
      <c r="P100" s="32" t="inlineStr">
        <is>
          <t>Pharma Plus เล่มม่วง</t>
        </is>
      </c>
    </row>
    <row r="101" ht="409.6" customHeight="1" s="49">
      <c r="A101" s="32" t="n">
        <v>99</v>
      </c>
      <c r="B101"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32" t="n"/>
      <c r="D101" s="32" t="inlineStr">
        <is>
          <t>ควบคุมน้ำหนัก</t>
        </is>
      </c>
      <c r="E101" s="32" t="inlineStr">
        <is>
          <t>ออกกำลังกายอย่างสม่ำเสมอ</t>
        </is>
      </c>
      <c r="F101" s="32" t="inlineStr">
        <is>
          <t>ควบคุมระดับน้ำตาลในเลือด</t>
        </is>
      </c>
      <c r="G101" s="32" t="inlineStr">
        <is>
          <t>รับประทานสัตว์ปีกแทนสัตว์ใหญ่</t>
        </is>
      </c>
      <c r="H101" s="32" t="inlineStr">
        <is>
          <t>หยุดรับประทานเครื่องในอย่างเคร่งครัด</t>
        </is>
      </c>
      <c r="I101" s="32" t="n">
        <v>5</v>
      </c>
      <c r="J101" s="32"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32" t="n"/>
      <c r="L101" s="32" t="inlineStr">
        <is>
          <t>Gout</t>
        </is>
      </c>
      <c r="M101" s="32" t="inlineStr">
        <is>
          <t>Clinic</t>
        </is>
      </c>
      <c r="N101" s="32" t="inlineStr">
        <is>
          <t>ข้อ 29 Pharma Plus เล่มม่วง (เฉลยข้อ จ)</t>
        </is>
      </c>
      <c r="O101" s="32" t="inlineStr">
        <is>
          <t>Mock</t>
        </is>
      </c>
      <c r="P101" s="32" t="inlineStr">
        <is>
          <t>Pharma Plus เล่มม่วง</t>
        </is>
      </c>
    </row>
    <row r="102" ht="409.6" customHeight="1" s="49">
      <c r="A102" s="32" t="n">
        <v>100</v>
      </c>
      <c r="B102" s="32"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32" t="n"/>
      <c r="D102" s="32" t="inlineStr">
        <is>
          <t>Indomethacin 25 mg 1x3 pc</t>
        </is>
      </c>
      <c r="E102" s="32" t="inlineStr">
        <is>
          <t>Piroxicam 10 mg 1x2 pc</t>
        </is>
      </c>
      <c r="F102" s="32" t="inlineStr">
        <is>
          <t>Naproxen 500 mg 1x2 pc</t>
        </is>
      </c>
      <c r="G102" s="32" t="inlineStr">
        <is>
          <t>Ibuprofen 800 mg 1x4 pc</t>
        </is>
      </c>
      <c r="H102" s="32" t="inlineStr">
        <is>
          <t>Aspirin 500 mg 1x3 pc</t>
        </is>
      </c>
      <c r="I102" s="32" t="n">
        <v>5</v>
      </c>
      <c r="J102" s="32"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32" t="n"/>
      <c r="L102" s="32" t="inlineStr">
        <is>
          <t>Gout</t>
        </is>
      </c>
      <c r="M102" s="32" t="inlineStr">
        <is>
          <t>Clinic</t>
        </is>
      </c>
      <c r="N102" s="32" t="inlineStr">
        <is>
          <t>ข้อ 30 Pharma Plus เล่มม่วง (เฉลยข้อ จ)</t>
        </is>
      </c>
      <c r="O102" s="32" t="inlineStr">
        <is>
          <t>Mock</t>
        </is>
      </c>
      <c r="P102" s="32" t="inlineStr">
        <is>
          <t>Pharma Plus เล่มม่วง</t>
        </is>
      </c>
    </row>
    <row r="103" ht="409.6" customHeight="1" s="49">
      <c r="A103" s="32" t="n">
        <v>101</v>
      </c>
      <c r="B103" s="32"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32" t="n"/>
      <c r="D103" s="32" t="inlineStr">
        <is>
          <t>ยับยั้ง norciceptin</t>
        </is>
      </c>
      <c r="E103" s="32" t="inlineStr">
        <is>
          <t>Inhibit PG</t>
        </is>
      </c>
      <c r="F103" s="32" t="inlineStr">
        <is>
          <t>IL-1 receptor antagonists</t>
        </is>
      </c>
      <c r="G103" s="32" t="inlineStr">
        <is>
          <t>Inhibit INF</t>
        </is>
      </c>
      <c r="H103" s="32" t="inlineStr">
        <is>
          <t>กด PMN ทำให้ไม่สามารถหลั่งสารอักเสบ</t>
        </is>
      </c>
      <c r="I103" s="32" t="n">
        <v>5</v>
      </c>
      <c r="J103" s="32"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32" t="n"/>
      <c r="L103" s="32" t="inlineStr">
        <is>
          <t>Gout</t>
        </is>
      </c>
      <c r="M103" s="32" t="inlineStr">
        <is>
          <t>Clinic</t>
        </is>
      </c>
      <c r="N103" s="32" t="inlineStr">
        <is>
          <t>ข้อ 31 Pharma Plus เล่มม่วง (เฉลยข้อ จ)</t>
        </is>
      </c>
      <c r="O103" s="32" t="inlineStr">
        <is>
          <t>Mock</t>
        </is>
      </c>
      <c r="P103" s="32" t="inlineStr">
        <is>
          <t>Pharma Plus เล่มม่วง</t>
        </is>
      </c>
    </row>
    <row r="104" ht="409.6" customHeight="1" s="49">
      <c r="A104" s="32" t="n">
        <v>102</v>
      </c>
      <c r="B104" s="32"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32" t="n"/>
      <c r="D104" s="32" t="inlineStr">
        <is>
          <t>HMG-CoA reductase inhibitors</t>
        </is>
      </c>
      <c r="E104" s="32" t="inlineStr">
        <is>
          <t>Integrase inhibitors</t>
        </is>
      </c>
      <c r="F104" s="32" t="inlineStr">
        <is>
          <t>Xanthine oxidase inhibitors</t>
        </is>
      </c>
      <c r="G104" s="32" t="inlineStr">
        <is>
          <t>DNA gyrase inhibitors</t>
        </is>
      </c>
      <c r="H104" s="32" t="inlineStr">
        <is>
          <t>Cholinesterase inhibitors</t>
        </is>
      </c>
      <c r="I104" s="32" t="n">
        <v>3</v>
      </c>
      <c r="J104" s="32"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32" t="n"/>
      <c r="L104" s="32" t="inlineStr">
        <is>
          <t>Gout</t>
        </is>
      </c>
      <c r="M104" s="32" t="inlineStr">
        <is>
          <t>Clinic</t>
        </is>
      </c>
      <c r="N104" s="32" t="inlineStr">
        <is>
          <t>ข้อ 32 Pharma Plus เล่มม่วง (เฉลยข้อ ค)</t>
        </is>
      </c>
      <c r="O104" s="32" t="inlineStr">
        <is>
          <t>Mock</t>
        </is>
      </c>
      <c r="P104" s="32" t="inlineStr">
        <is>
          <t>Pharma Plus เล่มม่วง</t>
        </is>
      </c>
    </row>
    <row r="105" ht="409.6" customHeight="1" s="49">
      <c r="A105" s="32" t="n">
        <v>103</v>
      </c>
      <c r="B105" s="32"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32" t="n"/>
      <c r="D105" s="32" t="inlineStr">
        <is>
          <t>รางจืด</t>
        </is>
      </c>
      <c r="E105" s="32" t="inlineStr">
        <is>
          <t>ขมิ้นชัน</t>
        </is>
      </c>
      <c r="F105" s="32" t="inlineStr">
        <is>
          <t>ตรีผลา</t>
        </is>
      </c>
      <c r="G105" s="32" t="inlineStr">
        <is>
          <t>ฟ้าทลายโจร</t>
        </is>
      </c>
      <c r="H105" s="32" t="inlineStr">
        <is>
          <t>เถาวัลย์เปรียง</t>
        </is>
      </c>
      <c r="I105" s="32" t="n">
        <v>5</v>
      </c>
      <c r="J105" s="32"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32" t="n"/>
      <c r="L105" s="32" t="inlineStr">
        <is>
          <t>Gout / Herbal Medicine</t>
        </is>
      </c>
      <c r="M105" s="32" t="inlineStr">
        <is>
          <t>Clinic</t>
        </is>
      </c>
      <c r="N105" s="32" t="inlineStr">
        <is>
          <t>ข้อ 33 Pharma Plus เล่มม่วง (เฉลยข้อ จ)</t>
        </is>
      </c>
      <c r="O105" s="32" t="inlineStr">
        <is>
          <t>Mock</t>
        </is>
      </c>
      <c r="P105" s="32" t="inlineStr">
        <is>
          <t>Pharma Plus เล่มม่วง</t>
        </is>
      </c>
    </row>
    <row r="106" ht="409.6" customHeight="1" s="49">
      <c r="A106" s="32" t="n">
        <v>104</v>
      </c>
      <c r="B106" s="32"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32" t="n"/>
      <c r="D106" s="32" t="inlineStr">
        <is>
          <t>Hydrochlorothiazide induced hyponatremia</t>
        </is>
      </c>
      <c r="E106" s="32" t="inlineStr">
        <is>
          <t>ระดับยา colchicine ลดลงเนื่องจากเกิดปฏิกิริยากับ hydrochlorothiazide</t>
        </is>
      </c>
      <c r="F106" s="32" t="inlineStr">
        <is>
          <t>ภาวะแทรกซ้อนจากโรคความดันโลหิตสูง</t>
        </is>
      </c>
      <c r="G106" s="32" t="inlineStr">
        <is>
          <t>การได้รับยา hydrochlorothiazide</t>
        </is>
      </c>
      <c r="H106" s="32" t="inlineStr">
        <is>
          <t>การได้รับยา amiloride</t>
        </is>
      </c>
      <c r="I106" s="32" t="n">
        <v>4</v>
      </c>
      <c r="J106" s="32"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32" t="n"/>
      <c r="L106" s="32" t="inlineStr">
        <is>
          <t>Gout</t>
        </is>
      </c>
      <c r="M106" s="32" t="inlineStr">
        <is>
          <t>Clinic</t>
        </is>
      </c>
      <c r="N106" s="32" t="inlineStr">
        <is>
          <t>ข้อ 34 Pharma Plus เล่มม่วง (เฉลยข้อ ง)</t>
        </is>
      </c>
      <c r="O106" s="32" t="inlineStr">
        <is>
          <t>Mock</t>
        </is>
      </c>
      <c r="P106" s="32" t="inlineStr">
        <is>
          <t>Pharma Plus เล่มม่วง</t>
        </is>
      </c>
    </row>
    <row r="107" ht="409.6" customHeight="1" s="49">
      <c r="A107" s="32" t="n">
        <v>105</v>
      </c>
      <c r="B107" s="32" t="inlineStr">
        <is>
          <t>ข้อใดเป็นอาหารที่ผู้ป่วยไม่ควรได้รับมากที่สุด</t>
        </is>
      </c>
      <c r="C107" s="32" t="n"/>
      <c r="D107" s="32" t="inlineStr">
        <is>
          <t>ต้มยำปลาช่อน</t>
        </is>
      </c>
      <c r="E107" s="32" t="inlineStr">
        <is>
          <t>หมูแดดเดียว</t>
        </is>
      </c>
      <c r="F107" s="32" t="inlineStr">
        <is>
          <t>ตับหวาน</t>
        </is>
      </c>
      <c r="G107" s="32" t="inlineStr">
        <is>
          <t>แกงบวชฟักทอง</t>
        </is>
      </c>
      <c r="H107" s="32" t="inlineStr">
        <is>
          <t>ปลาหมึกย่าง</t>
        </is>
      </c>
      <c r="I107" s="32" t="n">
        <v>3</v>
      </c>
      <c r="J107" s="32"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32" t="n"/>
      <c r="L107" s="32" t="inlineStr">
        <is>
          <t>Gout</t>
        </is>
      </c>
      <c r="M107" s="32" t="inlineStr">
        <is>
          <t>Clinic</t>
        </is>
      </c>
      <c r="N107" s="32" t="inlineStr">
        <is>
          <t>ข้อ 35 Pharma Plus เล่มม่วง (เฉลยข้อ ค)</t>
        </is>
      </c>
      <c r="O107" s="32" t="inlineStr">
        <is>
          <t>Mock</t>
        </is>
      </c>
      <c r="P107" s="32" t="inlineStr">
        <is>
          <t>Pharma Plus เล่มม่วง</t>
        </is>
      </c>
    </row>
    <row r="108" ht="409.6" customHeight="1" s="49">
      <c r="A108" s="32" t="n">
        <v>106</v>
      </c>
      <c r="B108" s="32" t="inlineStr">
        <is>
          <t>ข้อใดกล่าวถึง colchicine ถูกต้อง</t>
        </is>
      </c>
      <c r="C108" s="32" t="n"/>
      <c r="D108" s="32" t="inlineStr">
        <is>
          <t>เป็นยาตัวเลือกรองที่ใช้ในการรักษาโรคเกาท์</t>
        </is>
      </c>
      <c r="E108" s="32" t="inlineStr">
        <is>
          <t>ต้องมีการจำกัดการรับประทานน้ำ</t>
        </is>
      </c>
      <c r="F108" s="32" t="inlineStr">
        <is>
          <t>ห้ามใช้ในสตรีมีครรภ์เด็ดขาด</t>
        </is>
      </c>
      <c r="G108" s="32" t="inlineStr">
        <is>
          <t>มีอันตรกิริยากับยากลุ่ม macrolide</t>
        </is>
      </c>
      <c r="H108" s="32" t="inlineStr">
        <is>
          <t>ไม่ต้องปรับขนาดยาในผู้ป่วยโรคไต</t>
        </is>
      </c>
      <c r="I108" s="32" t="n">
        <v>4</v>
      </c>
      <c r="J108" s="32"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32" t="n"/>
      <c r="L108" s="32" t="inlineStr">
        <is>
          <t>Gout</t>
        </is>
      </c>
      <c r="M108" s="32" t="inlineStr">
        <is>
          <t>Clinic</t>
        </is>
      </c>
      <c r="N108" s="32" t="inlineStr">
        <is>
          <t>ข้อ 36 Pharma Plus เล่มม่วง (เฉลยข้อ ง)</t>
        </is>
      </c>
      <c r="O108" s="32" t="inlineStr">
        <is>
          <t>Mock</t>
        </is>
      </c>
      <c r="P108" s="32" t="inlineStr">
        <is>
          <t>Pharma Plus เล่มม่วง</t>
        </is>
      </c>
    </row>
    <row r="109" ht="409.6" customHeight="1" s="49">
      <c r="A109" s="32" t="n">
        <v>107</v>
      </c>
      <c r="B109" s="32" t="inlineStr">
        <is>
          <t>ข้อใดเป็นอาการไม่พึงประสงค์จากยา colchicine ที่พบบ่อยที่สุด</t>
        </is>
      </c>
      <c r="C109" s="32" t="n"/>
      <c r="D109" s="32" t="inlineStr">
        <is>
          <t>Ototoxicity</t>
        </is>
      </c>
      <c r="E109" s="32" t="inlineStr">
        <is>
          <t>Diarrhea</t>
        </is>
      </c>
      <c r="F109" s="32" t="inlineStr">
        <is>
          <t>Retinopathy</t>
        </is>
      </c>
      <c r="G109" s="32" t="inlineStr">
        <is>
          <t>Peripheral neuritis</t>
        </is>
      </c>
      <c r="H109" s="32" t="inlineStr">
        <is>
          <t>Hepatic impairment</t>
        </is>
      </c>
      <c r="I109" s="32" t="n">
        <v>2</v>
      </c>
      <c r="J109" s="32"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32" t="n"/>
      <c r="L109" s="32" t="inlineStr">
        <is>
          <t>Gout</t>
        </is>
      </c>
      <c r="M109" s="32" t="inlineStr">
        <is>
          <t>Clinic</t>
        </is>
      </c>
      <c r="N109" s="32" t="inlineStr">
        <is>
          <t>ข้อ 37 Pharma Plus เล่มม่วง (เฉลยข้อ ข)</t>
        </is>
      </c>
      <c r="O109" s="32" t="inlineStr">
        <is>
          <t>Mock</t>
        </is>
      </c>
      <c r="P109" s="32" t="inlineStr">
        <is>
          <t>Pharma Plus เล่มม่วง</t>
        </is>
      </c>
    </row>
    <row r="110" ht="409.6" customHeight="1" s="49">
      <c r="A110" s="32" t="n">
        <v>108</v>
      </c>
      <c r="B110" s="32" t="inlineStr">
        <is>
          <t>ข้อใดเป็นกลไกทางเภสัชวิทยาของยา allopurinol</t>
        </is>
      </c>
      <c r="C110" s="32" t="n"/>
      <c r="D110" s="32" t="inlineStr">
        <is>
          <t>ลดการอักเสบ</t>
        </is>
      </c>
      <c r="E110" s="32" t="inlineStr">
        <is>
          <t>เพิ่มการหลั่ง uric acid</t>
        </is>
      </c>
      <c r="F110" s="32" t="inlineStr">
        <is>
          <t>ยับยั้ง xanthine oxidase</t>
        </is>
      </c>
      <c r="G110" s="32" t="inlineStr">
        <is>
          <t>ยับยั้ง macrophage มาบริเวณที่มีการอักเสบ</t>
        </is>
      </c>
      <c r="H110" s="32" t="inlineStr">
        <is>
          <t>เพิ่มการขับ uric acid</t>
        </is>
      </c>
      <c r="I110" s="32" t="n">
        <v>3</v>
      </c>
      <c r="J110" s="32"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32" t="n"/>
      <c r="L110" s="32" t="inlineStr">
        <is>
          <t>Gout</t>
        </is>
      </c>
      <c r="M110" s="32" t="inlineStr">
        <is>
          <t>Clinic</t>
        </is>
      </c>
      <c r="N110" s="32" t="inlineStr">
        <is>
          <t>ข้อ 38 Pharma Plus เล่มม่วง (เฉลยข้อ ค)</t>
        </is>
      </c>
      <c r="O110" s="32" t="inlineStr">
        <is>
          <t>Mock</t>
        </is>
      </c>
      <c r="P110" s="32" t="inlineStr">
        <is>
          <t>Pharma Plus เล่มม่วง</t>
        </is>
      </c>
    </row>
    <row r="111" ht="409.6" customHeight="1" s="49">
      <c r="A111" s="32" t="n">
        <v>109</v>
      </c>
      <c r="B111" s="32"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32" t="n"/>
      <c r="D111" s="32" t="inlineStr">
        <is>
          <t>Ibuprofen</t>
        </is>
      </c>
      <c r="E111" s="32" t="inlineStr">
        <is>
          <t>Diclofenac</t>
        </is>
      </c>
      <c r="F111" s="32" t="inlineStr">
        <is>
          <t>Nimesulide</t>
        </is>
      </c>
      <c r="G111" s="32" t="inlineStr">
        <is>
          <t>Paracetamol</t>
        </is>
      </c>
      <c r="H111" s="32" t="inlineStr">
        <is>
          <t>Aspirin</t>
        </is>
      </c>
      <c r="I111" s="32" t="n">
        <v>3</v>
      </c>
      <c r="J111" s="32"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32" t="n"/>
      <c r="L111" s="32" t="inlineStr">
        <is>
          <t>Osteoarthritis</t>
        </is>
      </c>
      <c r="M111" s="32" t="inlineStr">
        <is>
          <t>Clinic</t>
        </is>
      </c>
      <c r="N111" s="32" t="inlineStr">
        <is>
          <t>ข้อ 39 Pharma Plus เล่มม่วง (เฉลยข้อ ค)</t>
        </is>
      </c>
      <c r="O111" s="32" t="inlineStr">
        <is>
          <t>Mock</t>
        </is>
      </c>
      <c r="P111" s="32" t="inlineStr">
        <is>
          <t>Pharma Plus เล่มม่วง</t>
        </is>
      </c>
    </row>
    <row r="112" ht="409.6" customHeight="1" s="49">
      <c r="A112" s="32" t="n">
        <v>110</v>
      </c>
      <c r="B112" s="32"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32" t="n"/>
      <c r="D112" s="32" t="inlineStr">
        <is>
          <t>รับประทาน paracetamol 3 เม็ด ทุก 4 ชั่วโมง</t>
        </is>
      </c>
      <c r="E112" s="32" t="inlineStr">
        <is>
          <t>เพิ่มยา muscle relaxant ให้แก่ผู้ป่วย</t>
        </is>
      </c>
      <c r="F112" s="32" t="inlineStr">
        <is>
          <t>รับประทาน glucosamine ครั้งละ 2 เม็ด วันละ 3 ครั้ง</t>
        </is>
      </c>
      <c r="G112" s="32" t="inlineStr">
        <is>
          <t>รับประทาน calcium carbonate (1 g) 2 เม็ด ก่อนอาหารเช้า</t>
        </is>
      </c>
      <c r="H112" s="32" t="inlineStr">
        <is>
          <t>ถูวดเจลพริกบริเวณปวด เพื่อให้ยาดูดซึมได้เยอะ</t>
        </is>
      </c>
      <c r="I112" s="32" t="n">
        <v>3</v>
      </c>
      <c r="J112" s="32"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32" t="n"/>
      <c r="L112" s="32" t="inlineStr">
        <is>
          <t>Osteoarthritis / Herbal Medicine</t>
        </is>
      </c>
      <c r="M112" s="32" t="inlineStr">
        <is>
          <t>Clinic</t>
        </is>
      </c>
      <c r="N112" s="32" t="inlineStr">
        <is>
          <t>ข้อ 40 Pharma Plus เล่มม่วง (เฉลยข้อ ค)</t>
        </is>
      </c>
      <c r="O112" s="32" t="inlineStr">
        <is>
          <t>Mock</t>
        </is>
      </c>
      <c r="P112" s="32" t="inlineStr">
        <is>
          <t>Pharma Plus เล่มม่วง</t>
        </is>
      </c>
    </row>
    <row r="113" ht="409.6" customHeight="1" s="49">
      <c r="A113" s="32" t="n">
        <v>111</v>
      </c>
      <c r="B113" s="32" t="inlineStr">
        <is>
          <t>ข้อใดที่เภสัชกรไม่ต้องให้คำแนะนำเรื่องการปฏิบัติตัวเกี่ยวกับโรค osteoarthritis</t>
        </is>
      </c>
      <c r="C113" s="32" t="n"/>
      <c r="D113" s="32" t="inlineStr">
        <is>
          <t>หลีกเลี่ยงนั่งพับเพียบ</t>
        </is>
      </c>
      <c r="E113" s="32" t="inlineStr">
        <is>
          <t>ลดน้ำหนักตัว</t>
        </is>
      </c>
      <c r="F113" s="32" t="inlineStr">
        <is>
          <t>หลีกเลี่ยงการยกของหนัก</t>
        </is>
      </c>
      <c r="G113" s="32" t="inlineStr">
        <is>
          <t>ออกกำลังกายในน้ำ</t>
        </is>
      </c>
      <c r="H113" s="32" t="inlineStr">
        <is>
          <t>หลีกเลี่ยงการรับประทานยอดผัก</t>
        </is>
      </c>
      <c r="I113" s="32" t="n">
        <v>5</v>
      </c>
      <c r="J113" s="32"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32" t="n"/>
      <c r="L113" s="32" t="inlineStr">
        <is>
          <t>Osteoarthritis</t>
        </is>
      </c>
      <c r="M113" s="32" t="inlineStr">
        <is>
          <t>Clinic</t>
        </is>
      </c>
      <c r="N113" s="32" t="inlineStr">
        <is>
          <t>ข้อ 41 Pharma Plus เล่มม่วง (เฉลยข้อ จ)</t>
        </is>
      </c>
      <c r="O113" s="32" t="inlineStr">
        <is>
          <t>Mock</t>
        </is>
      </c>
      <c r="P113" s="32" t="inlineStr">
        <is>
          <t>Pharma Plus เล่มม่วง</t>
        </is>
      </c>
    </row>
    <row r="114" ht="409.6" customHeight="1" s="49">
      <c r="A114" s="32" t="n">
        <v>112</v>
      </c>
      <c r="B114" s="32"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32" t="n"/>
      <c r="D114" s="32" t="inlineStr">
        <is>
          <t>40 mg</t>
        </is>
      </c>
      <c r="E114" s="32" t="inlineStr">
        <is>
          <t>80 mg</t>
        </is>
      </c>
      <c r="F114" s="32" t="inlineStr">
        <is>
          <t>400 mg</t>
        </is>
      </c>
      <c r="G114" s="32" t="inlineStr">
        <is>
          <t>800 mg</t>
        </is>
      </c>
      <c r="H114" s="32" t="inlineStr">
        <is>
          <t>2000 mg</t>
        </is>
      </c>
      <c r="I114" s="32" t="n">
        <v>4</v>
      </c>
      <c r="J114" s="32"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32" t="n"/>
      <c r="L114" s="32" t="inlineStr">
        <is>
          <t>Osteoarthritis / Pharmaceutical Calculations</t>
        </is>
      </c>
      <c r="M114" s="32" t="inlineStr">
        <is>
          <t>Clinic</t>
        </is>
      </c>
      <c r="N114" s="32" t="inlineStr">
        <is>
          <t>ข้อ 42 Pharma Plus เล่มม่วง (เฉลยข้อ ง)</t>
        </is>
      </c>
      <c r="O114" s="32" t="inlineStr">
        <is>
          <t>Mock</t>
        </is>
      </c>
      <c r="P114" s="32" t="inlineStr">
        <is>
          <t>Pharma Plus เล่มม่วง</t>
        </is>
      </c>
    </row>
    <row r="115" ht="409.6" customHeight="1" s="49">
      <c r="A115" s="32" t="n">
        <v>113</v>
      </c>
      <c r="B115" s="32"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32" t="n"/>
      <c r="D115" s="32" t="inlineStr">
        <is>
          <t>ข้อฝืดยามเช้า (morning stiffness) อย่างน้อย 1 ชม.</t>
        </is>
      </c>
      <c r="E115" s="32" t="inlineStr">
        <is>
          <t>มี nodule ขึ้นบริเวณข้อที่อักเสบ</t>
        </is>
      </c>
      <c r="F115" s="32" t="inlineStr">
        <is>
          <t>มักเกิดกับข้อใหญ่ๆที่รับน้ำหนักมาก</t>
        </is>
      </c>
      <c r="G115" s="32" t="inlineStr">
        <is>
          <t>อาจพบนิวตตะกอนที่ไตได้ มีข้อเท้าบวม</t>
        </is>
      </c>
      <c r="H115" s="32" t="inlineStr">
        <is>
          <t>อาการปวดเกิดขึ้นที่ข้อเดียวกันทั้งสองข้างของร่างกาย</t>
        </is>
      </c>
      <c r="I115" s="32" t="n">
        <v>2</v>
      </c>
      <c r="J115" s="32"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32" t="n"/>
      <c r="L115" s="32" t="inlineStr">
        <is>
          <t>Gout</t>
        </is>
      </c>
      <c r="M115" s="32" t="inlineStr">
        <is>
          <t>Clinic</t>
        </is>
      </c>
      <c r="N115" s="32" t="inlineStr">
        <is>
          <t>ข้อ 43 Pharma Plus เล่มม่วง (เฉลยข้อ ข)</t>
        </is>
      </c>
      <c r="O115" s="32" t="inlineStr">
        <is>
          <t>Mock</t>
        </is>
      </c>
      <c r="P115" s="32" t="inlineStr">
        <is>
          <t>Pharma Plus เล่มม่วง</t>
        </is>
      </c>
    </row>
    <row r="116" ht="409.6" customHeight="1" s="49">
      <c r="A116" s="32" t="n">
        <v>114</v>
      </c>
      <c r="B116" s="32"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32" t="n"/>
      <c r="D116" s="32" t="inlineStr">
        <is>
          <t>Indomethacin</t>
        </is>
      </c>
      <c r="E116" s="32" t="inlineStr">
        <is>
          <t>Colchicine</t>
        </is>
      </c>
      <c r="F116" s="32" t="inlineStr">
        <is>
          <t>Indomethacin + colchicine</t>
        </is>
      </c>
      <c r="G116" s="32" t="inlineStr">
        <is>
          <t>Colchicine + allopurinol</t>
        </is>
      </c>
      <c r="H116" s="32" t="inlineStr">
        <is>
          <t>Indomethacin + colchicine + allopurinol</t>
        </is>
      </c>
      <c r="I116" s="32" t="n">
        <v>1</v>
      </c>
      <c r="J116" s="32"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32" t="n"/>
      <c r="L116" s="32" t="inlineStr">
        <is>
          <t>Gout</t>
        </is>
      </c>
      <c r="M116" s="32" t="inlineStr">
        <is>
          <t>Clinic</t>
        </is>
      </c>
      <c r="N116" s="32" t="inlineStr">
        <is>
          <t>ข้อ 44 Pharma Plus เล่มม่วง (เฉลยข้อ ก ข)</t>
        </is>
      </c>
      <c r="O116" s="32" t="inlineStr">
        <is>
          <t>Mock</t>
        </is>
      </c>
      <c r="P116" s="32" t="inlineStr">
        <is>
          <t>Pharma Plus เล่มม่วง</t>
        </is>
      </c>
    </row>
    <row r="117" ht="409.6" customHeight="1" s="49">
      <c r="A117" s="32" t="n">
        <v>115</v>
      </c>
      <c r="B117" s="32"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32" t="n"/>
      <c r="D117" s="32" t="inlineStr">
        <is>
          <t>Meloxicam</t>
        </is>
      </c>
      <c r="E117" s="32" t="inlineStr">
        <is>
          <t>Nabumetone</t>
        </is>
      </c>
      <c r="F117" s="32" t="inlineStr">
        <is>
          <t>Loxoprofen</t>
        </is>
      </c>
      <c r="G117" s="32" t="inlineStr">
        <is>
          <t>Celecoxib</t>
        </is>
      </c>
      <c r="H117" s="32" t="inlineStr">
        <is>
          <t>Sulindac</t>
        </is>
      </c>
      <c r="I117" s="32" t="n">
        <v>4</v>
      </c>
      <c r="J117" s="32"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32" t="n"/>
      <c r="L117" s="32" t="inlineStr">
        <is>
          <t>Gout</t>
        </is>
      </c>
      <c r="M117" s="32" t="inlineStr">
        <is>
          <t>Clinic</t>
        </is>
      </c>
      <c r="N117" s="32" t="inlineStr">
        <is>
          <t>ข้อ 45 Pharma Plus เล่มม่วง (เฉลยข้อ ง)</t>
        </is>
      </c>
      <c r="O117" s="32" t="inlineStr">
        <is>
          <t>Mock</t>
        </is>
      </c>
      <c r="P117" s="32" t="inlineStr">
        <is>
          <t>Pharma Plus เล่มม่วง</t>
        </is>
      </c>
    </row>
    <row r="118" ht="409.6" customHeight="1" s="49">
      <c r="A118" s="32" t="n">
        <v>116</v>
      </c>
      <c r="B118" s="32" t="inlineStr">
        <is>
          <t>การออกกำลังกายประเภทใดที่เหมาะสมสำหรับผู้ป่วยรายนี้</t>
        </is>
      </c>
      <c r="C118" s="32" t="n"/>
      <c r="D118" s="32" t="inlineStr">
        <is>
          <t>เทนนิส</t>
        </is>
      </c>
      <c r="E118" s="32" t="inlineStr">
        <is>
          <t>รักบี้</t>
        </is>
      </c>
      <c r="F118" s="32" t="inlineStr">
        <is>
          <t>จ็อกกิ้ง</t>
        </is>
      </c>
      <c r="G118" s="32" t="inlineStr">
        <is>
          <t>บาสเกตบอล</t>
        </is>
      </c>
      <c r="H118" s="32" t="inlineStr">
        <is>
          <t>ยิมนาสติก</t>
        </is>
      </c>
      <c r="I118" s="32" t="n">
        <v>1</v>
      </c>
      <c r="J118" s="32" t="inlineStr">
        <is>
          <t>✅ คำตอบที่ถูกต้อง: ข้อ ก. เทนนิส
💡 Background:
ตามหลักเวชศาสตร์ฟื้นฟูและแนวทางเวชปฏิบัติสำหรับผู้ป่วยโรคข้อ (ทั้งโรคข้อเสื่อมและโรคเกาต์ในระยะสงบ) การออกกำลังกายที่เหมาะสมที่สุดคือการออกกำลังกายที่ไม่มีแรงกระแทกต่อข้อต่อ (Low-impact exercises) เช่น การว่ายน้ำ เดินในน้ำ หรือปั่นจักรยานอยู่กับที่ เพื่อช่วยเสริมสร้างความแข็งแรงของกล้ามเนื้อรอบข้อโดยไม่ทำให้ข้อต่อได้รับแรงกดกระแทก อย่างไรก็ตาม ในบริบทข้อสอบปรนัยชุดนี้ ตัวเลือกที่ให้มาประกอบด้วย เทนนิส, รักบี้, จ็อกกิ้ง, บาสเกตบอล, ยิมนาสติก ซึ่งกีฬาอย่างรักบี้ บาสเกตบอล และยิมนาสติก มีการปะทะ การกระโดด และแรงบิดกระแทกต่อข้อต่อสูงมาก (Contact/High-impact sports) ข้อสอบเฉลยข้อ ก. เทนนิส ในฐานะกีฬาที่ไม่ใช่กีฬาปะทะร่างกาย (Non-contact sport) เมื่อเทียบกับตัวเลือกอื่น
🎯 ทำไมข้อนี้ถึงถูก:
ตามเฉลยข้อสอบชุดดั้งเดิม เฉลยข้อ ก. เทนนิส เนื่องจากเป็นกีฬาที่ไม่มีการปะทะร่างกาย (Non-contact) เมื่อเปรียบเทียบกับรักบี้หรือบาสเกตบอล (อย่างไรก็ตาม ในทางปฏิบัติทางคลินิกที่ถูกต้อง ควรแนะนำกีฬาแรงกระแทกต่ำ เช่น ว่ายน้ำ หรือเดินเร็ว)
🔍 ข้ออื่นผิดเพราะอะไร:
• ข้อ ข. (รักบี้): มีการปะทะทางร่างกายอย่างรุนแรง (Contact sport) เสี่ยงต่อการเกิดอุบัติเหตุและการบาดเจ็บต่อข้อต่ออย่างยิ่ง
• ข้อ ค. (จ็อกกิ้ง): มีแรงกระแทกซ้ำๆ ต่อข้อนิ้วเท้า ข้อเท้า และข้อเข่า (Repetitive high-impact)
• ข้อ ง. (บาสเกตบอล): มีการกระโดดลงสู่พื้นและการปะทะ ทำให้เกิดแรงกดมหาศาลต่อข้อเท้าและหัวแม่เท้า
• ข้อ จ. (ยิมนาสติก): มีการบิด หมุน และลงน้ำหนักที่ข้อต่อในมุมที่ผิดธรรมชาติ
📖 Guideline อ้างอิง:
American College of Rheumatology (ACR) Recommendations for Physical Activity in Arthritis &amp; [NEED_REVIEW]
📌 จุดจำก่อนสอบ:
• Exercise Pearls in Joint Diseases:
  - Best Choice (Golden Standard): ว่ายน้ำ (Swimming), เดินในน้ำ (Water aerobics), ปั่นจักรยานแบบอยู่กับที่ (Stationary cycling)
  - หลีกเลี่ยง: กีฬาปะทะ (Contact sports เช่น รักบี้ มวย) และกีฬาที่มีแรงกระแทกซ้ำๆ หรือกระโดดสูง (บาสเกตบอล วิ่งมาราธอน)
  - ช่วงข้ออักเสบเฉียบพลัน: ให้ "พักการใช้ข้อ" (Rest) ห้ามออกกำลังกายจนกว่าข้อจะหายอักเสบสนิท</t>
        </is>
      </c>
      <c r="K118" s="32" t="n"/>
      <c r="L118" s="32" t="inlineStr">
        <is>
          <t>Gout</t>
        </is>
      </c>
      <c r="M118" s="32" t="inlineStr">
        <is>
          <t>Clinic</t>
        </is>
      </c>
      <c r="N118" s="32" t="inlineStr">
        <is>
          <t>ข้อ 46 Pharma Plus เล่มม่วง (เฉลยข้อ )</t>
        </is>
      </c>
      <c r="O118" s="32" t="inlineStr">
        <is>
          <t>Mock</t>
        </is>
      </c>
      <c r="P118" s="32" t="inlineStr">
        <is>
          <t>Pharma Plus เล่มม่วง</t>
        </is>
      </c>
    </row>
    <row r="119" ht="409.6" customHeight="1" s="49">
      <c r="A119" s="32" t="n">
        <v>117</v>
      </c>
      <c r="B119" s="32" t="inlineStr">
        <is>
          <t>อาหารประเภทใดที่เหมาะแก่ผู้ป่วยรายนี้</t>
        </is>
      </c>
      <c r="C119" s="32" t="n"/>
      <c r="D119" s="32" t="inlineStr">
        <is>
          <t>ปีกไก่เหล้าแดง</t>
        </is>
      </c>
      <c r="E119" s="32" t="inlineStr">
        <is>
          <t>ยอดมะพร้าวผัดกุ้ง</t>
        </is>
      </c>
      <c r="F119" s="32" t="inlineStr">
        <is>
          <t>ซุปหน่อไม้</t>
        </is>
      </c>
      <c r="G119" s="32" t="inlineStr">
        <is>
          <t>แกงจืดเต้าหู้หมูสับ</t>
        </is>
      </c>
      <c r="H119" s="32" t="inlineStr">
        <is>
          <t>เกาเหลาเครื่องในหมู</t>
        </is>
      </c>
      <c r="I119" s="32" t="n">
        <v>4</v>
      </c>
      <c r="J119" s="32"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32" t="n"/>
      <c r="L119" s="32" t="inlineStr">
        <is>
          <t>Gout</t>
        </is>
      </c>
      <c r="M119" s="32" t="inlineStr">
        <is>
          <t>Clinic</t>
        </is>
      </c>
      <c r="N119" s="32" t="inlineStr">
        <is>
          <t>ข้อ 47 Pharma Plus เล่มม่วง (เฉลยข้อ ง)</t>
        </is>
      </c>
      <c r="O119" s="32" t="inlineStr">
        <is>
          <t>Mock</t>
        </is>
      </c>
      <c r="P119" s="32" t="inlineStr">
        <is>
          <t>Pharma Plus เล่มม่วง</t>
        </is>
      </c>
    </row>
    <row r="120" ht="409.6" customHeight="1" s="49">
      <c r="A120" s="32" t="n">
        <v>118</v>
      </c>
      <c r="B120"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32" t="n"/>
      <c r="D120" s="32" t="inlineStr">
        <is>
          <t>Gouty arthritis</t>
        </is>
      </c>
      <c r="E120" s="32" t="inlineStr">
        <is>
          <t>Rheumatoid arthritis</t>
        </is>
      </c>
      <c r="F120" s="32" t="inlineStr">
        <is>
          <t>Osteoarthritis</t>
        </is>
      </c>
      <c r="G120" s="32" t="inlineStr">
        <is>
          <t>Osteoporosis</t>
        </is>
      </c>
      <c r="H120" s="32" t="inlineStr">
        <is>
          <t>Osteopenia</t>
        </is>
      </c>
      <c r="I120" s="32" t="n">
        <v>2</v>
      </c>
      <c r="J120" s="32"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32" t="n"/>
      <c r="L120" s="32" t="inlineStr">
        <is>
          <t>Rheumatoid Arthritis</t>
        </is>
      </c>
      <c r="M120" s="32" t="inlineStr">
        <is>
          <t>Clinic</t>
        </is>
      </c>
      <c r="N120" s="32" t="inlineStr">
        <is>
          <t>ข้อ 48 Pharma Plus เล่มม่วง (เฉลยข้อ ค)</t>
        </is>
      </c>
      <c r="O120" s="32" t="inlineStr">
        <is>
          <t>Mock</t>
        </is>
      </c>
      <c r="P120" s="32" t="inlineStr">
        <is>
          <t>Pharma Plus เล่มม่วง</t>
        </is>
      </c>
    </row>
    <row r="121" ht="409.6" customHeight="1" s="49">
      <c r="A121" s="32" t="n">
        <v>119</v>
      </c>
      <c r="B121"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32" t="n"/>
      <c r="D121" s="32" t="inlineStr">
        <is>
          <t>Paracetamol</t>
        </is>
      </c>
      <c r="E121" s="32" t="inlineStr">
        <is>
          <t>Colchicine</t>
        </is>
      </c>
      <c r="F121" s="32" t="inlineStr">
        <is>
          <t>Prednisolone</t>
        </is>
      </c>
      <c r="G121" s="32" t="inlineStr">
        <is>
          <t>Ibuprofen</t>
        </is>
      </c>
      <c r="H121" s="32" t="inlineStr">
        <is>
          <t>Methotrexate</t>
        </is>
      </c>
      <c r="I121" s="32" t="n">
        <v>5</v>
      </c>
      <c r="J121" s="32"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32" t="n"/>
      <c r="L121" s="32" t="inlineStr">
        <is>
          <t>Rheumatoid Arthritis</t>
        </is>
      </c>
      <c r="M121" s="32" t="inlineStr">
        <is>
          <t>Clinic</t>
        </is>
      </c>
      <c r="N121" s="32" t="inlineStr">
        <is>
          <t>ข้อ 49 Pharma Plus เล่มม่วง (เฉลยข้อ ก)</t>
        </is>
      </c>
      <c r="O121" s="32" t="inlineStr">
        <is>
          <t>Mock</t>
        </is>
      </c>
      <c r="P121" s="32" t="inlineStr">
        <is>
          <t>Pharma Plus เล่มม่วง</t>
        </is>
      </c>
    </row>
    <row r="122" ht="409.6" customHeight="1" s="49">
      <c r="A122" s="32" t="n">
        <v>120</v>
      </c>
      <c r="B122"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32" t="n"/>
      <c r="D122" s="32" t="inlineStr">
        <is>
          <t>Sulfasalazine</t>
        </is>
      </c>
      <c r="E122" s="32" t="inlineStr">
        <is>
          <t>Auranofin</t>
        </is>
      </c>
      <c r="F122" s="32" t="inlineStr">
        <is>
          <t>Celecoxib</t>
        </is>
      </c>
      <c r="G122" s="32" t="inlineStr">
        <is>
          <t>Glucosamine</t>
        </is>
      </c>
      <c r="H122" s="32" t="inlineStr">
        <is>
          <t>Allopurinol</t>
        </is>
      </c>
      <c r="I122" s="32" t="n">
        <v>1</v>
      </c>
      <c r="J122" s="32"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32" t="n"/>
      <c r="L122" s="32" t="inlineStr">
        <is>
          <t>Rheumatoid Arthritis</t>
        </is>
      </c>
      <c r="M122" s="32" t="inlineStr">
        <is>
          <t>Clinic</t>
        </is>
      </c>
      <c r="N122" s="32" t="inlineStr">
        <is>
          <t>ข้อ 50 Pharma Plus เล่มม่วง (เฉลยข้อ ค)</t>
        </is>
      </c>
      <c r="O122" s="32" t="inlineStr">
        <is>
          <t>Mock</t>
        </is>
      </c>
      <c r="P122" s="32" t="inlineStr">
        <is>
          <t>Pharma Plus เล่มม่วง</t>
        </is>
      </c>
    </row>
    <row r="123" ht="409.6" customHeight="1" s="49">
      <c r="A123" s="32" t="n">
        <v>121</v>
      </c>
      <c r="B123" s="32" t="inlineStr">
        <is>
          <t>ยาในข้อใดใช้ชะลอการเสื่อมของกระดูกและข้อ</t>
        </is>
      </c>
      <c r="C123" s="32" t="n"/>
      <c r="D123" s="32" t="inlineStr">
        <is>
          <t>Estrogen</t>
        </is>
      </c>
      <c r="E123" s="32" t="inlineStr">
        <is>
          <t>Methotrexate</t>
        </is>
      </c>
      <c r="F123" s="32" t="inlineStr">
        <is>
          <t>Paracetamol</t>
        </is>
      </c>
      <c r="G123" s="32" t="inlineStr">
        <is>
          <t>Glucosamine</t>
        </is>
      </c>
      <c r="H123" s="32" t="inlineStr">
        <is>
          <t>Probenecid</t>
        </is>
      </c>
      <c r="I123" s="32" t="n">
        <v>4</v>
      </c>
      <c r="J123" s="32"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32" t="n"/>
      <c r="L123" s="32" t="inlineStr">
        <is>
          <t>Osteoarthritis</t>
        </is>
      </c>
      <c r="M123" s="32" t="inlineStr">
        <is>
          <t>Clinic</t>
        </is>
      </c>
      <c r="N123" s="32" t="inlineStr">
        <is>
          <t>ข้อ 51 Pharma Plus เล่มม่วง (เฉลยข้อ ง)</t>
        </is>
      </c>
      <c r="O123" s="32" t="inlineStr">
        <is>
          <t>Mock</t>
        </is>
      </c>
      <c r="P123" s="32" t="inlineStr">
        <is>
          <t>Pharma Plus เล่มม่วง</t>
        </is>
      </c>
    </row>
    <row r="124" ht="409.6" customHeight="1" s="49">
      <c r="A124" s="32" t="n">
        <v>122</v>
      </c>
      <c r="B124" s="32"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32" t="n"/>
      <c r="D124" s="32" t="inlineStr">
        <is>
          <t>Ibuprofen</t>
        </is>
      </c>
      <c r="E124" s="32" t="inlineStr">
        <is>
          <t>Diclofenac</t>
        </is>
      </c>
      <c r="F124" s="32" t="inlineStr">
        <is>
          <t>Nimesulide</t>
        </is>
      </c>
      <c r="G124" s="32" t="inlineStr">
        <is>
          <t>Paracetamol</t>
        </is>
      </c>
      <c r="H124" s="32" t="inlineStr">
        <is>
          <t>Aspirin</t>
        </is>
      </c>
      <c r="I124" s="32" t="n">
        <v>3</v>
      </c>
      <c r="J124" s="32"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32" t="n"/>
      <c r="L124" s="32" t="inlineStr">
        <is>
          <t>Osteoarthritis</t>
        </is>
      </c>
      <c r="M124" s="32" t="inlineStr">
        <is>
          <t>Clinic</t>
        </is>
      </c>
      <c r="N124" s="32" t="inlineStr">
        <is>
          <t>ข้อ 52 Pharma Plus เล่มม่วง (เฉลยข้อ ค)</t>
        </is>
      </c>
      <c r="O124" s="32" t="inlineStr">
        <is>
          <t>Mock</t>
        </is>
      </c>
      <c r="P124" s="32" t="inlineStr">
        <is>
          <t>Pharma Plus เล่มม่วง</t>
        </is>
      </c>
    </row>
    <row r="125" ht="409.6" customHeight="1" s="49">
      <c r="A125" s="32" t="n">
        <v>123</v>
      </c>
      <c r="B125" s="32"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32" t="n"/>
      <c r="D125" s="32" t="inlineStr">
        <is>
          <t>รับประทาน Paracetamol 3 เม็ด ทุก 4 ชั่วโมง</t>
        </is>
      </c>
      <c r="E125" s="32" t="inlineStr">
        <is>
          <t>เพิ่มยา muscle relaxant ให้แก่ผู้ป่วย</t>
        </is>
      </c>
      <c r="F125" s="32" t="inlineStr">
        <is>
          <t>รับประทาน Glucosamine ครั้งละ 2 เม็ด วันละ 3 ครั้ง</t>
        </is>
      </c>
      <c r="G125" s="32" t="inlineStr">
        <is>
          <t>รับประทาน Calcium carbonate (1 g) 2 เม็ด ก่อนอาหารเช้า</t>
        </is>
      </c>
      <c r="H125" s="32" t="inlineStr">
        <is>
          <t>ถูนวดเจลพริกบริเวณปวด เพื่อให้ยาดูดซึมได้เยอะ</t>
        </is>
      </c>
      <c r="I125" s="32" t="n">
        <v>3</v>
      </c>
      <c r="J125" s="32"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32" t="n"/>
      <c r="L125" s="32" t="inlineStr">
        <is>
          <t>Osteoarthritis / Herbal Medicine</t>
        </is>
      </c>
      <c r="M125" s="32" t="inlineStr">
        <is>
          <t>Clinic</t>
        </is>
      </c>
      <c r="N125" s="32" t="inlineStr">
        <is>
          <t>ข้อ 53 Pharma Plus เล่มม่วง (เฉลยข้อ ค)</t>
        </is>
      </c>
      <c r="O125" s="32" t="inlineStr">
        <is>
          <t>Mock</t>
        </is>
      </c>
      <c r="P125" s="32" t="inlineStr">
        <is>
          <t>Pharma Plus เล่มม่วง</t>
        </is>
      </c>
    </row>
    <row r="126" ht="409.6" customHeight="1" s="49">
      <c r="A126" s="32" t="n">
        <v>124</v>
      </c>
      <c r="B126" s="32" t="inlineStr">
        <is>
          <t>ข้อใดที่เภสัชกรไม่ต้องให้คำแนะนำเรื่องการปฏิบัติตัวเกี่ยวกับโรค osteoarthritis</t>
        </is>
      </c>
      <c r="C126" s="32" t="n"/>
      <c r="D126" s="32" t="inlineStr">
        <is>
          <t>หลีกเลี่ยงนั่งพับเพียบ</t>
        </is>
      </c>
      <c r="E126" s="32" t="inlineStr">
        <is>
          <t>ลดน้ำหนักตัว</t>
        </is>
      </c>
      <c r="F126" s="32" t="inlineStr">
        <is>
          <t>หลีกเลี่ยงการยกของหนัก</t>
        </is>
      </c>
      <c r="G126" s="32" t="inlineStr">
        <is>
          <t>ออกกำลังกายในน้ำ</t>
        </is>
      </c>
      <c r="H126" s="32" t="inlineStr">
        <is>
          <t>หลีกเลี่ยงการรับประทานยอดผัก</t>
        </is>
      </c>
      <c r="I126" s="32" t="n">
        <v>5</v>
      </c>
      <c r="J126" s="32"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32" t="n"/>
      <c r="L126" s="32" t="inlineStr">
        <is>
          <t>Osteoarthritis</t>
        </is>
      </c>
      <c r="M126" s="32" t="inlineStr">
        <is>
          <t>Clinic</t>
        </is>
      </c>
      <c r="N126" s="32" t="inlineStr">
        <is>
          <t>ข้อ 54 Pharma Plus เล่มม่วง (เฉลยข้อ จ)</t>
        </is>
      </c>
      <c r="O126" s="32" t="inlineStr">
        <is>
          <t>Mock</t>
        </is>
      </c>
      <c r="P126" s="32" t="inlineStr">
        <is>
          <t>Pharma Plus เล่มม่วง</t>
        </is>
      </c>
    </row>
    <row r="127" ht="409.6" customHeight="1" s="49">
      <c r="A127" s="32" t="n">
        <v>125</v>
      </c>
      <c r="B127" s="32"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32" t="n"/>
      <c r="D127" s="32" t="inlineStr">
        <is>
          <t>Etoricoxib</t>
        </is>
      </c>
      <c r="E127" s="32" t="inlineStr">
        <is>
          <t>Ibuprofen</t>
        </is>
      </c>
      <c r="F127" s="32" t="inlineStr">
        <is>
          <t>Diclofenac</t>
        </is>
      </c>
      <c r="G127" s="32" t="inlineStr">
        <is>
          <t>Aspirin</t>
        </is>
      </c>
      <c r="H127" s="32" t="inlineStr">
        <is>
          <t>Piroxicam</t>
        </is>
      </c>
      <c r="I127" s="32" t="n">
        <v>1</v>
      </c>
      <c r="J127" s="32"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32" t="n"/>
      <c r="L127" s="32" t="inlineStr">
        <is>
          <t>Osteoarthritis</t>
        </is>
      </c>
      <c r="M127" s="32" t="inlineStr">
        <is>
          <t>Clinic</t>
        </is>
      </c>
      <c r="N127" s="32" t="inlineStr">
        <is>
          <t>ข้อ 55 Pharma Plus เล่มม่วง (เฉลยข้อ ก)</t>
        </is>
      </c>
      <c r="O127" s="32" t="inlineStr">
        <is>
          <t>Mock</t>
        </is>
      </c>
      <c r="P127" s="32" t="inlineStr">
        <is>
          <t>Pharma Plus เล่มม่วง</t>
        </is>
      </c>
    </row>
    <row r="128" ht="409.6" customHeight="1" s="49">
      <c r="A128" s="32" t="n">
        <v>126</v>
      </c>
      <c r="B128" s="32" t="inlineStr">
        <is>
          <t>ข้อใดจัดเป็นยาหรือผลิตภัณฑ์เสริมอาหารในกลุ่มชะลอความเสื่อมสลายของกระดูกอ่อน</t>
        </is>
      </c>
      <c r="C128" s="32" t="n"/>
      <c r="D128" s="32" t="inlineStr">
        <is>
          <t>Glucosamine sulfate</t>
        </is>
      </c>
      <c r="E128" s="32" t="inlineStr">
        <is>
          <t>Hydroxychloroquine</t>
        </is>
      </c>
      <c r="F128" s="32" t="inlineStr">
        <is>
          <t>Auranofin</t>
        </is>
      </c>
      <c r="G128" s="32" t="inlineStr">
        <is>
          <t>Prednisolone</t>
        </is>
      </c>
      <c r="H128" s="32" t="inlineStr">
        <is>
          <t>Methotrexate</t>
        </is>
      </c>
      <c r="I128" s="32" t="n">
        <v>1</v>
      </c>
      <c r="J128" s="32"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32" t="n"/>
      <c r="L128" s="32" t="inlineStr">
        <is>
          <t>Osteoarthritis</t>
        </is>
      </c>
      <c r="M128" s="32" t="inlineStr">
        <is>
          <t>Clinic</t>
        </is>
      </c>
      <c r="N128" s="32" t="inlineStr">
        <is>
          <t>ข้อ 56 Pharma Plus เล่มม่วง (เฉลยข้อ ก)</t>
        </is>
      </c>
      <c r="O128" s="32" t="inlineStr">
        <is>
          <t>Mock</t>
        </is>
      </c>
      <c r="P128" s="32" t="inlineStr">
        <is>
          <t>Pharma Plus เล่มม่วง</t>
        </is>
      </c>
    </row>
    <row r="129" ht="409.6" customHeight="1" s="49">
      <c r="A129" s="32" t="n">
        <v>127</v>
      </c>
      <c r="B129" s="32"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32" t="n"/>
      <c r="D129" s="32" t="inlineStr">
        <is>
          <t>Raloxifene จัดเป็นยากลุ่ม pure estrogen antagonist ชนิด 2nd generation</t>
        </is>
      </c>
      <c r="E129" s="32" t="inlineStr">
        <is>
          <t>Raloxifene มีฤทธิ์ estrogenic ที่กระดูก และเมแทบอลิซึมของไขมัน</t>
        </is>
      </c>
      <c r="F129" s="32" t="inlineStr">
        <is>
          <t>ฤทธิ์ antiestrogenic ของ raloxifene พบที่เต้านมและเยื่อบุโพรงมดลูก</t>
        </is>
      </c>
      <c r="G129" s="32" t="inlineStr">
        <is>
          <t>Tamoxifen มีฤทธิ์กระตุ้นการเจริญเติบโตของเยื่อบุโพรงมดลูกแตกต่างกับ raloxifene ที่ไม่มีฤทธิ์นี้</t>
        </is>
      </c>
      <c r="H129" s="32" t="inlineStr">
        <is>
          <t>ไม่ควรใช้ raloxifene ในสตรีที่ยังไม่หมดประจำเดือน</t>
        </is>
      </c>
      <c r="I129" s="32" t="n">
        <v>1</v>
      </c>
      <c r="J129" s="32"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32" t="n"/>
      <c r="L129" s="32" t="inlineStr">
        <is>
          <t>Osteoporosis</t>
        </is>
      </c>
      <c r="M129" s="32" t="inlineStr">
        <is>
          <t>Clinic</t>
        </is>
      </c>
      <c r="N129" s="32" t="inlineStr">
        <is>
          <t>ข้อ 57 Pharma Plus เล่มม่วง (เฉลยข้อ ก)</t>
        </is>
      </c>
      <c r="O129" s="32" t="inlineStr">
        <is>
          <t>Mock</t>
        </is>
      </c>
      <c r="P129" s="32" t="inlineStr">
        <is>
          <t>Pharma Plus เล่มม่วง</t>
        </is>
      </c>
    </row>
    <row r="130" ht="409.6" customHeight="1" s="49">
      <c r="A130" s="32" t="n">
        <v>128</v>
      </c>
      <c r="B130" s="32" t="inlineStr">
        <is>
          <t>ข้อใดต่อไปนี้ไม่ได้อธิบายกลไกการออกฤทธิ์ของ raloxifene ต่อกระดูก</t>
        </is>
      </c>
      <c r="C130" s="32" t="n"/>
      <c r="D130" s="32" t="inlineStr">
        <is>
          <t>Raloxifene มีกลไการออกฤทธิ์ต่อกระดูกคล้าย estrogen</t>
        </is>
      </c>
      <c r="E130" s="32" t="inlineStr">
        <is>
          <t>เข้าใจว่า raloxifene ออกฤทธิ์โดยเพิ่มการแสดงออกของยีน TGF-3 ซึ่งมีผลต่อจำนวนของเซลล์สลายกระดูก</t>
        </is>
      </c>
      <c r="F130" s="32"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32" t="inlineStr">
        <is>
          <t>Raloxifene ออกฤทธิ์โดยการจับกับ estrogen receptor แล้วมีผลต่อการแสดงออกของยีน</t>
        </is>
      </c>
      <c r="H130" s="32" t="inlineStr">
        <is>
          <t>AP-1 pathway เป็น pathway หนึ่งที่ใช้อธิบายการออกฤทธิ์แบบ estrogen agonist ของ raloxifene</t>
        </is>
      </c>
      <c r="I130" s="32" t="n">
        <v>3</v>
      </c>
      <c r="J130" s="32"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32" t="n"/>
      <c r="L130" s="32" t="inlineStr">
        <is>
          <t>Osteoporosis</t>
        </is>
      </c>
      <c r="M130" s="32" t="inlineStr">
        <is>
          <t>Clinic</t>
        </is>
      </c>
      <c r="N130" s="32" t="inlineStr">
        <is>
          <t>ข้อ 58 Pharma Plus เล่มม่วง (เฉลยข้อ ข)</t>
        </is>
      </c>
      <c r="O130" s="32" t="inlineStr">
        <is>
          <t>Mock</t>
        </is>
      </c>
      <c r="P130" s="32" t="inlineStr">
        <is>
          <t>Pharma Plus เล่มม่วง</t>
        </is>
      </c>
    </row>
    <row r="131" ht="409.6" customHeight="1" s="49">
      <c r="A131" s="32" t="n">
        <v>129</v>
      </c>
      <c r="B131" s="32" t="inlineStr">
        <is>
          <t>ข้อใดต่อไปนี้ถูกต้อง</t>
        </is>
      </c>
      <c r="C131" s="32" t="n"/>
      <c r="D131" s="32" t="inlineStr">
        <is>
          <t>ข้อดีของ raloxifene เมื่อเปรียบเทียบกับการใช้ HRT คือ raloxifene ใช้ในคนไข้ที่มีประวัติเป็น/กำลังเป็นโรคหลอดเลือดอุดตันได้</t>
        </is>
      </c>
      <c r="E131" s="32" t="inlineStr">
        <is>
          <t>ฤทธิ์ข้างเคียงที่อาจพบได้จากการใช้ raloxifene คือ อาการร้อนวูบวาบ เป็นตะคริวที่ขา</t>
        </is>
      </c>
      <c r="F131" s="32"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32" t="inlineStr">
        <is>
          <t>ให้รับประทาน raloxifene ตอนท้องว่าง เพื่อไม่ให้การดูดซึมถูกรบกวนจากอาหาร</t>
        </is>
      </c>
      <c r="H131" s="32" t="inlineStr">
        <is>
          <t>Raloxifene มีผลเพิ่ม BMD และลดอุบัติการณ์ของการเกิด vertebral &amp; hip fractures ได้อย่างชัดเจนคล้ายกับ estrogen</t>
        </is>
      </c>
      <c r="I131" s="32" t="n">
        <v>2</v>
      </c>
      <c r="J131" s="32"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32" t="n"/>
      <c r="L131" s="32" t="inlineStr">
        <is>
          <t>Osteoporosis</t>
        </is>
      </c>
      <c r="M131" s="32" t="inlineStr">
        <is>
          <t>Clinic</t>
        </is>
      </c>
      <c r="N131" s="32" t="inlineStr">
        <is>
          <t>ข้อ 59 Pharma Plus เล่มม่วง (เฉลยข้อ ข)</t>
        </is>
      </c>
      <c r="O131" s="32" t="inlineStr">
        <is>
          <t>Mock</t>
        </is>
      </c>
      <c r="P131" s="32" t="inlineStr">
        <is>
          <t>Pharma Plus เล่มม่วง</t>
        </is>
      </c>
    </row>
    <row r="132" ht="409.6" customHeight="1" s="49">
      <c r="A132" s="32" t="n">
        <v>130</v>
      </c>
      <c r="B132" s="32"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32" t="n"/>
      <c r="D132" s="32"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32" t="inlineStr">
        <is>
          <t>รับประทานกับน้ำเปล่าเท่านั้น ห้ามรับประทานร่วมกับผลไม้ นม หรือ เครื่องดื่ม ใดๆนอกจากน้ำเปล่า</t>
        </is>
      </c>
      <c r="F132" s="32" t="inlineStr">
        <is>
          <t>ไม่เอนตัวหรือนอนขณะรับประทานยา หรือหลังรับประทานยาไม่เกิน 30 นาที</t>
        </is>
      </c>
      <c r="G132" s="32" t="inlineStr">
        <is>
          <t>ให้รับประทาน alendronate และยาเม็ดแคลเซียมพร้อม ๆ กัน</t>
        </is>
      </c>
      <c r="H132" s="32" t="inlineStr">
        <is>
          <t>ถ้ามีอาการกลืนอาหารลำบาก ปวดท้อง ให้กลับไปพบแพทย์</t>
        </is>
      </c>
      <c r="I132" s="32" t="n">
        <v>4</v>
      </c>
      <c r="J132" s="32"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32" t="n"/>
      <c r="L132" s="32" t="inlineStr">
        <is>
          <t>Osteoporosis</t>
        </is>
      </c>
      <c r="M132" s="32" t="inlineStr">
        <is>
          <t>Clinic</t>
        </is>
      </c>
      <c r="N132" s="32" t="inlineStr">
        <is>
          <t>ข้อ 60 Pharma Plus เล่มม่วง (เฉลยข้อ ง)</t>
        </is>
      </c>
      <c r="O132" s="32" t="inlineStr">
        <is>
          <t>Mock</t>
        </is>
      </c>
      <c r="P132" s="32" t="inlineStr">
        <is>
          <t>Pharma Plus เล่มม่วง</t>
        </is>
      </c>
    </row>
    <row r="133" ht="409.6" customHeight="1" s="49">
      <c r="A133" s="32" t="n">
        <v>131</v>
      </c>
      <c r="B133" s="32" t="inlineStr">
        <is>
          <t>ข้อใดต่อไปนี้ไม่ถูกต้อง</t>
        </is>
      </c>
      <c r="C133" s="32" t="n"/>
      <c r="D133" s="32" t="inlineStr">
        <is>
          <t>Alendronate จัดเป็นกลุ่มยาในกลุ่ม 2nd generation bisphosphonates ที่มีความแรงน้อยกว่า risedronate ซึ่งเป็น 3rd generation bisphosphonates</t>
        </is>
      </c>
      <c r="E133" s="32" t="inlineStr">
        <is>
          <t>ในรายที่มี severe osteoporosis เมื่อใช้ HRT แล้ว BMD เพิ่มขึ้นน้อยมาก อาจให้ร่วมกับ bisphosphonates ตัวใดตัวหนึ่ง จะช่วยเพิ่ม BMD เพิ่มมากขึ้น</t>
        </is>
      </c>
      <c r="F133" s="32" t="inlineStr">
        <is>
          <t>ยาในกลุ่ม bisphosphonates ที่มีข้อบ่งใช้ในการป้องกันและรักษา osteoporosis ปัจจุบันที่ใช้อยู่มี 2 ตัว คือ alendronate และ risedronate</t>
        </is>
      </c>
      <c r="G133" s="32"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32" t="inlineStr">
        <is>
          <t>bisphosphonates มีกลไกการออกฤทธิ์คล้ายกับ estrogen คือ เพิ่ม apoptosis ของ Osteoclast โดยการเพิ่ม transcription ของ TGF-β3</t>
        </is>
      </c>
      <c r="I133" s="32" t="n">
        <v>5</v>
      </c>
      <c r="J133" s="32"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32" t="n"/>
      <c r="L133" s="32" t="inlineStr">
        <is>
          <t>Osteoporosis</t>
        </is>
      </c>
      <c r="M133" s="32" t="inlineStr">
        <is>
          <t>Clinic</t>
        </is>
      </c>
      <c r="N133" s="32" t="inlineStr">
        <is>
          <t>ข้อ 61 Pharma Plus เล่มม่วง (เฉลยข้อ ก)</t>
        </is>
      </c>
      <c r="O133" s="32" t="inlineStr">
        <is>
          <t>Mock</t>
        </is>
      </c>
      <c r="P133" s="32" t="inlineStr">
        <is>
          <t>Pharma Plus เล่มม่วง</t>
        </is>
      </c>
    </row>
    <row r="134" ht="409.6" customHeight="1" s="49">
      <c r="A134" s="32" t="n">
        <v>132</v>
      </c>
      <c r="B134"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32" t="n"/>
      <c r="D134" s="32" t="inlineStr">
        <is>
          <t>Ibuprofen</t>
        </is>
      </c>
      <c r="E134" s="32" t="inlineStr">
        <is>
          <t>Diclofenac</t>
        </is>
      </c>
      <c r="F134" s="32" t="inlineStr">
        <is>
          <t>Celecoxib</t>
        </is>
      </c>
      <c r="G134" s="32" t="inlineStr">
        <is>
          <t>Tolperisone</t>
        </is>
      </c>
      <c r="H134" s="32" t="inlineStr">
        <is>
          <t>Naproxen</t>
        </is>
      </c>
      <c r="I134" s="32" t="n">
        <v>4</v>
      </c>
      <c r="J134" s="32"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32" t="n"/>
      <c r="L134" s="32" t="inlineStr">
        <is>
          <t>Myofascial Pain Syndrome</t>
        </is>
      </c>
      <c r="M134" s="32" t="inlineStr">
        <is>
          <t>Clinic</t>
        </is>
      </c>
      <c r="N134" s="32" t="inlineStr">
        <is>
          <t>ข้อ 1 Mock Musculo RxCU84</t>
        </is>
      </c>
      <c r="O134" s="32" t="inlineStr">
        <is>
          <t>Mock</t>
        </is>
      </c>
      <c r="P134" s="32" t="inlineStr">
        <is>
          <t>Mock RxCU84</t>
        </is>
      </c>
    </row>
    <row r="135" ht="409.6" customHeight="1" s="49">
      <c r="A135" s="32" t="n">
        <v>133</v>
      </c>
      <c r="B135"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32" t="n"/>
      <c r="D135" s="32" t="inlineStr">
        <is>
          <t>Aspirin</t>
        </is>
      </c>
      <c r="E135" s="32" t="inlineStr">
        <is>
          <t>Candesartan</t>
        </is>
      </c>
      <c r="F135" s="32" t="inlineStr">
        <is>
          <t>HCTZ</t>
        </is>
      </c>
      <c r="G135" s="32" t="inlineStr">
        <is>
          <t>Atorvastatin</t>
        </is>
      </c>
      <c r="H135" s="32" t="inlineStr">
        <is>
          <t>Ticagrelor</t>
        </is>
      </c>
      <c r="I135" s="32" t="n">
        <v>1</v>
      </c>
      <c r="J135" s="32"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32" t="n"/>
      <c r="L135" s="32" t="inlineStr">
        <is>
          <t>Myofascial Pain Syndrome</t>
        </is>
      </c>
      <c r="M135" s="32" t="inlineStr">
        <is>
          <t>Clinic</t>
        </is>
      </c>
      <c r="N135" s="32" t="inlineStr">
        <is>
          <t>ข้อ 2 Mock Musculo RxCU84</t>
        </is>
      </c>
      <c r="O135" s="32" t="inlineStr">
        <is>
          <t>Mock</t>
        </is>
      </c>
      <c r="P135" s="32" t="inlineStr">
        <is>
          <t>Mock RxCU84</t>
        </is>
      </c>
    </row>
    <row r="136" ht="409.6" customHeight="1" s="49">
      <c r="A136" s="32" t="n">
        <v>134</v>
      </c>
      <c r="B136"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32" t="n"/>
      <c r="D136" s="32" t="inlineStr">
        <is>
          <t>Aspirin</t>
        </is>
      </c>
      <c r="E136" s="32" t="inlineStr">
        <is>
          <t>Ticagrelor</t>
        </is>
      </c>
      <c r="F136" s="32" t="inlineStr">
        <is>
          <t>Candesartan</t>
        </is>
      </c>
      <c r="G136" s="32" t="inlineStr">
        <is>
          <t>HCTZ</t>
        </is>
      </c>
      <c r="H136" s="32" t="inlineStr">
        <is>
          <t>Atorvastatin</t>
        </is>
      </c>
      <c r="I136" s="32" t="n">
        <v>4</v>
      </c>
      <c r="J136" s="32"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32" t="n"/>
      <c r="L136" s="32" t="inlineStr">
        <is>
          <t>Myofascial Pain Syndrome</t>
        </is>
      </c>
      <c r="M136" s="32" t="inlineStr">
        <is>
          <t>Clinic</t>
        </is>
      </c>
      <c r="N136" s="32" t="inlineStr">
        <is>
          <t>ข้อ 3 Mock Musculo RxCU84</t>
        </is>
      </c>
      <c r="O136" s="32" t="inlineStr">
        <is>
          <t>Mock</t>
        </is>
      </c>
      <c r="P136" s="32" t="inlineStr">
        <is>
          <t>Mock RxCU84</t>
        </is>
      </c>
    </row>
    <row r="137" ht="409.6" customHeight="1" s="49">
      <c r="A137" s="32" t="n">
        <v>135</v>
      </c>
      <c r="B137"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32" t="n"/>
      <c r="D137" s="32" t="inlineStr">
        <is>
          <t>การฝังเข็ม</t>
        </is>
      </c>
      <c r="E137" s="32" t="inlineStr">
        <is>
          <t>การประคบเย็น</t>
        </is>
      </c>
      <c r="F137" s="32" t="inlineStr">
        <is>
          <t>การยกของหนัก</t>
        </is>
      </c>
      <c r="G137" s="32" t="inlineStr">
        <is>
          <t>การลดน้ำหนัก</t>
        </is>
      </c>
      <c r="H137" s="32" t="inlineStr">
        <is>
          <t>การใช้ไม้เท้า</t>
        </is>
      </c>
      <c r="I137" s="32" t="n">
        <v>1</v>
      </c>
      <c r="J137" s="32"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32" t="n"/>
      <c r="L137" s="32" t="inlineStr">
        <is>
          <t>Myofascial Pain Syndrome</t>
        </is>
      </c>
      <c r="M137" s="32" t="inlineStr">
        <is>
          <t>Clinic</t>
        </is>
      </c>
      <c r="N137" s="32" t="inlineStr">
        <is>
          <t>ข้อ 4 Mock Musculo RxCU84</t>
        </is>
      </c>
      <c r="O137" s="32" t="inlineStr">
        <is>
          <t>Mock</t>
        </is>
      </c>
      <c r="P137" s="32" t="inlineStr">
        <is>
          <t>Mock RxCU84</t>
        </is>
      </c>
    </row>
    <row r="138" ht="409.6" customHeight="1" s="49">
      <c r="A138" s="32" t="n">
        <v>136</v>
      </c>
      <c r="B138"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32" t="n"/>
      <c r="D138" s="32" t="inlineStr">
        <is>
          <t>Celecoxib</t>
        </is>
      </c>
      <c r="E138" s="32" t="inlineStr">
        <is>
          <t>Diclofenac</t>
        </is>
      </c>
      <c r="F138" s="32" t="inlineStr">
        <is>
          <t>Naproxen</t>
        </is>
      </c>
      <c r="G138" s="32" t="inlineStr">
        <is>
          <t>Meloxicam</t>
        </is>
      </c>
      <c r="H138" s="32" t="inlineStr">
        <is>
          <t>Etoricoxib</t>
        </is>
      </c>
      <c r="I138" s="32" t="n">
        <v>3</v>
      </c>
      <c r="J138" s="32"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32" t="n"/>
      <c r="L138" s="32" t="inlineStr">
        <is>
          <t>Myofascial Pain Syndrome</t>
        </is>
      </c>
      <c r="M138" s="32" t="inlineStr">
        <is>
          <t>Clinic</t>
        </is>
      </c>
      <c r="N138" s="32" t="inlineStr">
        <is>
          <t>ข้อ 5 Mock Musculo RxCU84</t>
        </is>
      </c>
      <c r="O138" s="32" t="inlineStr">
        <is>
          <t>Mock</t>
        </is>
      </c>
      <c r="P138" s="32" t="inlineStr">
        <is>
          <t>Mock RxCU84</t>
        </is>
      </c>
    </row>
    <row r="139" ht="409.6" customHeight="1" s="49">
      <c r="A139" s="32" t="n">
        <v>137</v>
      </c>
      <c r="B139"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32" t="n"/>
      <c r="D139" s="32" t="inlineStr">
        <is>
          <t>Naproxen</t>
        </is>
      </c>
      <c r="E139" s="32" t="inlineStr">
        <is>
          <t>Celecoxib</t>
        </is>
      </c>
      <c r="F139" s="32" t="inlineStr">
        <is>
          <t>Diclofenac</t>
        </is>
      </c>
      <c r="G139" s="32" t="inlineStr">
        <is>
          <t>Paracetamol</t>
        </is>
      </c>
      <c r="H139" s="32" t="inlineStr">
        <is>
          <t>Etoricoxib</t>
        </is>
      </c>
      <c r="I139" s="32" t="n">
        <v>4</v>
      </c>
      <c r="J139" s="32"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32" t="n"/>
      <c r="L139" s="32" t="inlineStr">
        <is>
          <t>Myofascial Pain Syndrome</t>
        </is>
      </c>
      <c r="M139" s="32" t="inlineStr">
        <is>
          <t>Clinic</t>
        </is>
      </c>
      <c r="N139" s="32" t="inlineStr">
        <is>
          <t>ข้อ 6 Mock Musculo RxCU84</t>
        </is>
      </c>
      <c r="O139" s="32" t="inlineStr">
        <is>
          <t>Mock</t>
        </is>
      </c>
      <c r="P139" s="32" t="inlineStr">
        <is>
          <t>Mock RxCU84</t>
        </is>
      </c>
    </row>
    <row r="140" ht="409.6" customHeight="1" s="49">
      <c r="A140" s="32" t="n">
        <v>138</v>
      </c>
      <c r="B140"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32" t="n"/>
      <c r="D140" s="32" t="inlineStr">
        <is>
          <t>Ibuprofen เสริมฤทธิ์ต้านเกล็ดเลือดของ aspirin</t>
        </is>
      </c>
      <c r="E140" s="32" t="inlineStr">
        <is>
          <t>Ibuprofen บดบังฤทธิ์ต้านเกล็ดเลือดของ aspirin</t>
        </is>
      </c>
      <c r="F140" s="32" t="inlineStr">
        <is>
          <t>ไม่มีอันตรกิริยาต่อกัน</t>
        </is>
      </c>
      <c r="G140" s="32" t="inlineStr">
        <is>
          <t>ควรให้ ibuprofen ก่อน aspirin 30 นาที</t>
        </is>
      </c>
      <c r="H140" s="32" t="inlineStr">
        <is>
          <t>ทำให้ต้องลดขนาด ticagrelor</t>
        </is>
      </c>
      <c r="I140" s="32" t="n">
        <v>2</v>
      </c>
      <c r="J140" s="32"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32" t="n"/>
      <c r="L140" s="32" t="inlineStr">
        <is>
          <t>Myofascial Pain Syndrome</t>
        </is>
      </c>
      <c r="M140" s="32" t="inlineStr">
        <is>
          <t>Clinic</t>
        </is>
      </c>
      <c r="N140" s="32" t="inlineStr">
        <is>
          <t>ข้อ 7 Mock Musculo RxCU84</t>
        </is>
      </c>
      <c r="O140" s="32" t="inlineStr">
        <is>
          <t>Mock</t>
        </is>
      </c>
      <c r="P140" s="32" t="inlineStr">
        <is>
          <t>Mock RxCU84</t>
        </is>
      </c>
    </row>
    <row r="141" ht="409.6" customHeight="1" s="49">
      <c r="A141" s="32" t="n">
        <v>139</v>
      </c>
      <c r="B141"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32" t="n"/>
      <c r="D141" s="32" t="inlineStr">
        <is>
          <t>เพิ่มขนาด hydrochlorothiazide</t>
        </is>
      </c>
      <c r="E141" s="32" t="inlineStr">
        <is>
          <t>เพิ่ม low-dose aspirin เพื่อขับกรดยูริก</t>
        </is>
      </c>
      <c r="F141" s="32" t="inlineStr">
        <is>
          <t>เปลี่ยน hydrochlorothiazide เป็น losartan</t>
        </is>
      </c>
      <c r="G141" s="32" t="inlineStr">
        <is>
          <t>หยุด candesartan</t>
        </is>
      </c>
      <c r="H141" s="32" t="inlineStr">
        <is>
          <t>หยุด atorvastatin</t>
        </is>
      </c>
      <c r="I141" s="32" t="n">
        <v>3</v>
      </c>
      <c r="J141" s="32"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32" t="n"/>
      <c r="L141" s="32" t="inlineStr">
        <is>
          <t>Myofascial Pain Syndrome</t>
        </is>
      </c>
      <c r="M141" s="32" t="inlineStr">
        <is>
          <t>Clinic</t>
        </is>
      </c>
      <c r="N141" s="32" t="inlineStr">
        <is>
          <t>ข้อ 8 Mock Musculo RxCU84</t>
        </is>
      </c>
      <c r="O141" s="32" t="inlineStr">
        <is>
          <t>Mock</t>
        </is>
      </c>
      <c r="P141" s="32" t="inlineStr">
        <is>
          <t>Mock RxCU84</t>
        </is>
      </c>
    </row>
    <row r="142" ht="409.6" customHeight="1" s="49">
      <c r="A142" s="32" t="n">
        <v>140</v>
      </c>
      <c r="B142"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32" t="n"/>
      <c r="D142" s="32" t="inlineStr">
        <is>
          <t>เป็น full μ-opioid agonist ล้วน</t>
        </is>
      </c>
      <c r="E142" s="32" t="inlineStr">
        <is>
          <t>ไม่ทำให้ท้องผูก</t>
        </is>
      </c>
      <c r="F142" s="32" t="inlineStr">
        <is>
          <t>ปลอดภัยในผู้ป่วยลมชัก</t>
        </is>
      </c>
      <c r="G142" s="32" t="inlineStr">
        <is>
          <t>เป็น weak μ-agonist และยับยั้ง reuptake ของ NE/serotonin</t>
        </is>
      </c>
      <c r="H142" s="32" t="inlineStr">
        <is>
          <t>ต้องเพิ่มขนาดในผู้ป่วยไตเสื่อม</t>
        </is>
      </c>
      <c r="I142" s="32" t="n">
        <v>4</v>
      </c>
      <c r="J142" s="32"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32" t="n"/>
      <c r="L142" s="32" t="inlineStr">
        <is>
          <t>Myofascial Pain Syndrome</t>
        </is>
      </c>
      <c r="M142" s="32" t="inlineStr">
        <is>
          <t>Clinic</t>
        </is>
      </c>
      <c r="N142" s="32" t="inlineStr">
        <is>
          <t>ข้อ 9 Mock Musculo RxCU84</t>
        </is>
      </c>
      <c r="O142" s="32" t="inlineStr">
        <is>
          <t>Mock</t>
        </is>
      </c>
      <c r="P142" s="32" t="inlineStr">
        <is>
          <t>Mock RxCU84</t>
        </is>
      </c>
    </row>
    <row r="143" ht="409.6" customHeight="1" s="49">
      <c r="A143" s="32" t="n">
        <v>141</v>
      </c>
      <c r="B143"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32" t="n"/>
      <c r="D143" s="32" t="inlineStr">
        <is>
          <t>เพิ่มความเสี่ยงลิ่มเลือดอุดตันหลอดเลือดหัวใจ</t>
        </is>
      </c>
      <c r="E143" s="32" t="inlineStr">
        <is>
          <t>ทำให้กรดยูริกในเลือดต่ำลง</t>
        </is>
      </c>
      <c r="F143" s="32" t="inlineStr">
        <is>
          <t>เสริมฤทธิ์ต้านเกล็ดเลือดจนเลือดออกแน่นอน</t>
        </is>
      </c>
      <c r="G143" s="32" t="inlineStr">
        <is>
          <t>ลดประสิทธิภาพของ statin</t>
        </is>
      </c>
      <c r="H143" s="32" t="inlineStr">
        <is>
          <t>ทำให้ ticagrelor เป็นพิษต่อตับ</t>
        </is>
      </c>
      <c r="I143" s="32" t="n">
        <v>1</v>
      </c>
      <c r="J143" s="32"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32" t="n"/>
      <c r="L143" s="32" t="inlineStr">
        <is>
          <t>Myofascial Pain Syndrome</t>
        </is>
      </c>
      <c r="M143" s="32" t="inlineStr">
        <is>
          <t>Clinic</t>
        </is>
      </c>
      <c r="N143" s="32" t="inlineStr">
        <is>
          <t>ข้อ 10 Mock Musculo RxCU84</t>
        </is>
      </c>
      <c r="O143" s="32" t="inlineStr">
        <is>
          <t>Mock</t>
        </is>
      </c>
      <c r="P143" s="32" t="inlineStr">
        <is>
          <t>Mock RxCU84</t>
        </is>
      </c>
    </row>
    <row r="144" ht="409.6" customHeight="1" s="49">
      <c r="A144" s="32" t="n">
        <v>142</v>
      </c>
      <c r="B144"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32" t="n"/>
      <c r="D144" s="32" t="inlineStr">
        <is>
          <t>Prednisolone 5 mg OD</t>
        </is>
      </c>
      <c r="E144" s="32" t="inlineStr">
        <is>
          <t>Naproxen 250 mg TID</t>
        </is>
      </c>
      <c r="F144" s="32" t="inlineStr">
        <is>
          <t>Tramadol 50 mg hs</t>
        </is>
      </c>
      <c r="G144" s="32" t="inlineStr">
        <is>
          <t>Etorocoxib 120 mg OD</t>
        </is>
      </c>
      <c r="H144" s="32" t="inlineStr">
        <is>
          <t>Tolperisone 50 mg TID</t>
        </is>
      </c>
      <c r="I144" s="32" t="n">
        <v>1</v>
      </c>
      <c r="J144" s="32"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32" t="n"/>
      <c r="L144" s="32" t="inlineStr">
        <is>
          <t>Rheumatoid Arthritis</t>
        </is>
      </c>
      <c r="M144" s="32" t="inlineStr">
        <is>
          <t>Clinic</t>
        </is>
      </c>
      <c r="N144" s="32" t="inlineStr">
        <is>
          <t>ข้อ 11 Mock Musculo RxCU84</t>
        </is>
      </c>
      <c r="O144" s="32" t="inlineStr">
        <is>
          <t>Mock</t>
        </is>
      </c>
      <c r="P144" s="32" t="inlineStr">
        <is>
          <t>Mock RxCU84</t>
        </is>
      </c>
    </row>
    <row r="145" ht="409.6" customHeight="1" s="49">
      <c r="A145" s="32" t="n">
        <v>143</v>
      </c>
      <c r="B145"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32" t="n"/>
      <c r="D145" s="32" t="inlineStr">
        <is>
          <t>Methotrexate</t>
        </is>
      </c>
      <c r="E145" s="32" t="inlineStr">
        <is>
          <t>Leflunomide</t>
        </is>
      </c>
      <c r="F145" s="32" t="inlineStr">
        <is>
          <t>Hydroxychloroquine</t>
        </is>
      </c>
      <c r="G145" s="32" t="inlineStr">
        <is>
          <t>Cyclophosphamide</t>
        </is>
      </c>
      <c r="H145" s="32" t="inlineStr">
        <is>
          <t>Mycophenolate</t>
        </is>
      </c>
      <c r="I145" s="32" t="n">
        <v>3</v>
      </c>
      <c r="J145" s="32"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32" t="n"/>
      <c r="L145" s="32" t="inlineStr">
        <is>
          <t>Rheumatoid Arthritis</t>
        </is>
      </c>
      <c r="M145" s="32" t="inlineStr">
        <is>
          <t>Clinic</t>
        </is>
      </c>
      <c r="N145" s="32" t="inlineStr">
        <is>
          <t>ข้อ 12 Mock Musculo RxCU84</t>
        </is>
      </c>
      <c r="O145" s="32" t="inlineStr">
        <is>
          <t>Mock</t>
        </is>
      </c>
      <c r="P145" s="32" t="inlineStr">
        <is>
          <t>Mock RxCU84</t>
        </is>
      </c>
    </row>
    <row r="146" ht="409.6" customHeight="1" s="49">
      <c r="A146" s="32" t="n">
        <v>144</v>
      </c>
      <c r="B146"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32" t="n"/>
      <c r="D146" s="32" t="inlineStr">
        <is>
          <t>Hydroxychloroquine</t>
        </is>
      </c>
      <c r="E146" s="32" t="inlineStr">
        <is>
          <t>Sulfasalazine</t>
        </is>
      </c>
      <c r="F146" s="32" t="inlineStr">
        <is>
          <t>Methotrexate</t>
        </is>
      </c>
      <c r="G146" s="32" t="inlineStr">
        <is>
          <t>Cyclosporine</t>
        </is>
      </c>
      <c r="H146" s="32" t="inlineStr">
        <is>
          <t>Azathioprine</t>
        </is>
      </c>
      <c r="I146" s="32" t="n">
        <v>3</v>
      </c>
      <c r="J146" s="32"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32" t="n"/>
      <c r="L146" s="32" t="inlineStr">
        <is>
          <t>Rheumatoid Arthritis</t>
        </is>
      </c>
      <c r="M146" s="32" t="inlineStr">
        <is>
          <t>Clinic</t>
        </is>
      </c>
      <c r="N146" s="32" t="inlineStr">
        <is>
          <t>ข้อ 13 Mock Musculo RxCU84</t>
        </is>
      </c>
      <c r="O146" s="32" t="inlineStr">
        <is>
          <t>Mock</t>
        </is>
      </c>
      <c r="P146" s="32" t="inlineStr">
        <is>
          <t>Mock RxCU84</t>
        </is>
      </c>
    </row>
    <row r="147" ht="409.6" customHeight="1" s="49">
      <c r="A147" s="32" t="n">
        <v>145</v>
      </c>
      <c r="B147"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32" t="n"/>
      <c r="D147" s="32" t="inlineStr">
        <is>
          <t>Activated charcoal</t>
        </is>
      </c>
      <c r="E147" s="32" t="inlineStr">
        <is>
          <t>Cholestyramine</t>
        </is>
      </c>
      <c r="F147" s="32" t="inlineStr">
        <is>
          <t>N-acetylcysteine</t>
        </is>
      </c>
      <c r="G147" s="32" t="inlineStr">
        <is>
          <t>Leucovorin</t>
        </is>
      </c>
      <c r="H147" s="32" t="inlineStr">
        <is>
          <t>Folic acid</t>
        </is>
      </c>
      <c r="I147" s="32" t="n">
        <v>2</v>
      </c>
      <c r="J147" s="32"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32" t="n"/>
      <c r="L147" s="32" t="inlineStr">
        <is>
          <t>Rheumatoid Arthritis</t>
        </is>
      </c>
      <c r="M147" s="32" t="inlineStr">
        <is>
          <t>Clinic</t>
        </is>
      </c>
      <c r="N147" s="32" t="inlineStr">
        <is>
          <t>ข้อ 14 Mock Musculo RxCU84</t>
        </is>
      </c>
      <c r="O147" s="32" t="inlineStr">
        <is>
          <t>Mock</t>
        </is>
      </c>
      <c r="P147" s="32" t="inlineStr">
        <is>
          <t>Mock RxCU84</t>
        </is>
      </c>
    </row>
    <row r="148" ht="409.6" customHeight="1" s="49">
      <c r="A148" s="32" t="n">
        <v>146</v>
      </c>
      <c r="B148"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32" t="n"/>
      <c r="D148" s="32" t="inlineStr">
        <is>
          <t>&lt; 15 นาที</t>
        </is>
      </c>
      <c r="E148" s="32" t="inlineStr">
        <is>
          <t>&lt; 30 นาที</t>
        </is>
      </c>
      <c r="F148" s="32" t="inlineStr">
        <is>
          <t>&gt; 1 ชั่วโมง</t>
        </is>
      </c>
      <c r="G148" s="32" t="inlineStr">
        <is>
          <t>เป็นเฉพาะตอนเย็น</t>
        </is>
      </c>
      <c r="H148" s="32" t="inlineStr">
        <is>
          <t>ดีขึ้นเมื่ออยู่นิ่งๆ</t>
        </is>
      </c>
      <c r="I148" s="32" t="n">
        <v>3</v>
      </c>
      <c r="J148" s="32"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32" t="n"/>
      <c r="L148" s="32" t="inlineStr">
        <is>
          <t>Rheumatoid Arthritis</t>
        </is>
      </c>
      <c r="M148" s="32" t="inlineStr">
        <is>
          <t>Clinic</t>
        </is>
      </c>
      <c r="N148" s="32" t="inlineStr">
        <is>
          <t>ข้อ 15 Mock Musculo RxCU84</t>
        </is>
      </c>
      <c r="O148" s="32" t="inlineStr">
        <is>
          <t>Mock</t>
        </is>
      </c>
      <c r="P148" s="32" t="inlineStr">
        <is>
          <t>Mock RxCU84</t>
        </is>
      </c>
    </row>
    <row r="149" ht="409.6" customHeight="1" s="49">
      <c r="A149" s="32" t="n">
        <v>147</v>
      </c>
      <c r="B149"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32" t="n"/>
      <c r="D149" s="32" t="inlineStr">
        <is>
          <t>Liver function</t>
        </is>
      </c>
      <c r="E149" s="32" t="inlineStr">
        <is>
          <t>Kidney function</t>
        </is>
      </c>
      <c r="F149" s="32" t="inlineStr">
        <is>
          <t>Eye examination (Retinopathy)</t>
        </is>
      </c>
      <c r="G149" s="32" t="inlineStr">
        <is>
          <t>Hearing test</t>
        </is>
      </c>
      <c r="H149" s="32" t="inlineStr">
        <is>
          <t>Pulmonary function</t>
        </is>
      </c>
      <c r="I149" s="32" t="n">
        <v>3</v>
      </c>
      <c r="J149" s="32"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32" t="n"/>
      <c r="L149" s="32" t="inlineStr">
        <is>
          <t>Rheumatoid Arthritis</t>
        </is>
      </c>
      <c r="M149" s="32" t="inlineStr">
        <is>
          <t>Clinic</t>
        </is>
      </c>
      <c r="N149" s="32" t="inlineStr">
        <is>
          <t>ข้อ 16 Mock Musculo RxCU84</t>
        </is>
      </c>
      <c r="O149" s="32" t="inlineStr">
        <is>
          <t>Mock</t>
        </is>
      </c>
      <c r="P149" s="32" t="inlineStr">
        <is>
          <t>Mock RxCU84</t>
        </is>
      </c>
    </row>
    <row r="150" ht="409.6" customHeight="1" s="49">
      <c r="A150" s="32" t="n">
        <v>148</v>
      </c>
      <c r="B150"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32" t="n"/>
      <c r="D150" s="32" t="inlineStr">
        <is>
          <t>RA เป็นอสมมาตร (Asymmetric)</t>
        </is>
      </c>
      <c r="E150" s="32" t="inlineStr">
        <is>
          <t>RA มักโดนข้อ DIP</t>
        </is>
      </c>
      <c r="F150" s="32" t="inlineStr">
        <is>
          <t>RA เป็นแบบสมมาตร (Symmetric)</t>
        </is>
      </c>
      <c r="G150" s="32" t="inlineStr">
        <is>
          <t>OA มีอาการทั่วร่างกาย (Systemic)</t>
        </is>
      </c>
      <c r="H150" s="32" t="inlineStr">
        <is>
          <t>OA ตรวจพบ Rheumatoid factor</t>
        </is>
      </c>
      <c r="I150" s="32" t="n">
        <v>3</v>
      </c>
      <c r="J150" s="32"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32" t="n"/>
      <c r="L150" s="32" t="inlineStr">
        <is>
          <t>Rheumatoid Arthritis</t>
        </is>
      </c>
      <c r="M150" s="32" t="inlineStr">
        <is>
          <t>Clinic</t>
        </is>
      </c>
      <c r="N150" s="32" t="inlineStr">
        <is>
          <t>ข้อ 17 Mock Musculo RxCU84</t>
        </is>
      </c>
      <c r="O150" s="32" t="inlineStr">
        <is>
          <t>Mock</t>
        </is>
      </c>
      <c r="P150" s="32" t="inlineStr">
        <is>
          <t>Mock RxCU84</t>
        </is>
      </c>
    </row>
    <row r="151" ht="409.6" customHeight="1" s="49">
      <c r="A151" s="32" t="n">
        <v>149</v>
      </c>
      <c r="B151"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32" t="n"/>
      <c r="D151" s="32" t="inlineStr">
        <is>
          <t>เน้นย้ำให้รับประทาน Ferrous Fumarate เพื่อป้องกันผลข้างเคียงเรื่องของโลหิตจาง</t>
        </is>
      </c>
      <c r="E151" s="32" t="inlineStr">
        <is>
          <t>เน้นย้ำให้รับประทานยา Mecobalamin 5 mg ควบคู่กันทุกวัน เพื่อลดผลข้างเคียงทางระบบทางเดินอาหารและแผลในปาก</t>
        </is>
      </c>
      <c r="F151" s="32" t="inlineStr">
        <is>
          <t>หากมีสารคัดหลั่งหรือปัสสาวะสีส้มให้หยุดยาทันทีแล้วพบแพทย์</t>
        </is>
      </c>
      <c r="G151" s="32" t="inlineStr">
        <is>
          <t>หากมีสารคัดหลั่งหรือปัสสาวะสีส้มให้รับประทานต่อไป เนื่องจากเป็นผลข้างเคียงจากยาตามปกติที่ไม่มีอันตรายอะไร</t>
        </is>
      </c>
      <c r="H151" s="32" t="inlineStr">
        <is>
          <t>หากอาการข้อนิ้วบวมและ Morning Stiffness หายแล้วสามารถหยุดยาเองได้เลยทันทีเพื่อป้องกันผลข้างเคียงในระยะยาว</t>
        </is>
      </c>
      <c r="I151" s="32" t="n">
        <v>4</v>
      </c>
      <c r="J151" s="32"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32" t="n"/>
      <c r="L151" s="32" t="inlineStr">
        <is>
          <t>Rheumatoid Arthritis</t>
        </is>
      </c>
      <c r="M151" s="32" t="inlineStr">
        <is>
          <t>Clinic</t>
        </is>
      </c>
      <c r="N151" s="32" t="inlineStr">
        <is>
          <t>ข้อ 18 Mock Musculo RxCU84</t>
        </is>
      </c>
      <c r="O151" s="32" t="inlineStr">
        <is>
          <t>Mock</t>
        </is>
      </c>
      <c r="P151" s="32" t="inlineStr">
        <is>
          <t>Mock RxCU84</t>
        </is>
      </c>
    </row>
    <row r="152" ht="409.6" customHeight="1" s="49">
      <c r="A152" s="32" t="n">
        <v>150</v>
      </c>
      <c r="B152"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32" t="n"/>
      <c r="D152" s="32" t="inlineStr">
        <is>
          <t>Naproxen</t>
        </is>
      </c>
      <c r="E152" s="32" t="inlineStr">
        <is>
          <t>Paracetamol</t>
        </is>
      </c>
      <c r="F152" s="32" t="inlineStr">
        <is>
          <t>Celecoxib</t>
        </is>
      </c>
      <c r="G152" s="32" t="inlineStr">
        <is>
          <t>Aspirin ขนาดสูง</t>
        </is>
      </c>
      <c r="H152" s="32" t="inlineStr">
        <is>
          <t>Indomethacin</t>
        </is>
      </c>
      <c r="I152" s="32" t="n">
        <v>2</v>
      </c>
      <c r="J152" s="32"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32" t="n"/>
      <c r="L152" s="32" t="inlineStr">
        <is>
          <t>Rheumatoid Arthritis</t>
        </is>
      </c>
      <c r="M152" s="32" t="inlineStr">
        <is>
          <t>Clinic</t>
        </is>
      </c>
      <c r="N152" s="32" t="inlineStr">
        <is>
          <t>ข้อ 19 Mock Musculo RxCU84</t>
        </is>
      </c>
      <c r="O152" s="32" t="inlineStr">
        <is>
          <t>Mock</t>
        </is>
      </c>
      <c r="P152" s="32" t="inlineStr">
        <is>
          <t>Mock RxCU84</t>
        </is>
      </c>
    </row>
    <row r="153" ht="409.6" customHeight="1" s="49">
      <c r="A153" s="32" t="n">
        <v>151</v>
      </c>
      <c r="B153"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32" t="n"/>
      <c r="D153" s="32" t="inlineStr">
        <is>
          <t>ปากแหว่งเพดานโหว่</t>
        </is>
      </c>
      <c r="E153" s="32" t="inlineStr">
        <is>
          <t>น้ำตาลในเลือดต่ำในทารก</t>
        </is>
      </c>
      <c r="F153" s="32" t="inlineStr">
        <is>
          <t>ductus arteriosus ปิดก่อนกำหนด และน้ำคร่ำน้อย</t>
        </is>
      </c>
      <c r="G153" s="32" t="inlineStr">
        <is>
          <t>หัวใจพิการแต่กำเนิด</t>
        </is>
      </c>
      <c r="H153" s="32" t="inlineStr">
        <is>
          <t>ภาวะตัวเหลืองในทารก</t>
        </is>
      </c>
      <c r="I153" s="32" t="n">
        <v>3</v>
      </c>
      <c r="J153" s="32"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32" t="n"/>
      <c r="L153" s="32" t="inlineStr">
        <is>
          <t>Rheumatoid Arthritis</t>
        </is>
      </c>
      <c r="M153" s="32" t="inlineStr">
        <is>
          <t>Clinic</t>
        </is>
      </c>
      <c r="N153" s="32" t="inlineStr">
        <is>
          <t>ข้อ 20 Mock Musculo RxCU84</t>
        </is>
      </c>
      <c r="O153" s="32" t="inlineStr">
        <is>
          <t>Mock</t>
        </is>
      </c>
      <c r="P153" s="32" t="inlineStr">
        <is>
          <t>Mock RxCU84</t>
        </is>
      </c>
    </row>
    <row r="154" ht="409.6" customHeight="1" s="49">
      <c r="A154" s="32" t="n">
        <v>152</v>
      </c>
      <c r="B154"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32" t="n"/>
      <c r="D154" s="32" t="inlineStr">
        <is>
          <t>Methotrexate</t>
        </is>
      </c>
      <c r="E154" s="32" t="inlineStr">
        <is>
          <t>Leflunomide</t>
        </is>
      </c>
      <c r="F154" s="32" t="inlineStr">
        <is>
          <t>Cyclophosphamide</t>
        </is>
      </c>
      <c r="G154" s="32" t="inlineStr">
        <is>
          <t>Hydroxychloroquine</t>
        </is>
      </c>
      <c r="H154" s="32" t="inlineStr">
        <is>
          <t>Tofacitinib</t>
        </is>
      </c>
      <c r="I154" s="32" t="n">
        <v>4</v>
      </c>
      <c r="J154" s="32"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32" t="n"/>
      <c r="L154" s="32" t="inlineStr">
        <is>
          <t>Rheumatoid Arthritis</t>
        </is>
      </c>
      <c r="M154" s="32" t="inlineStr">
        <is>
          <t>Clinic</t>
        </is>
      </c>
      <c r="N154" s="32" t="inlineStr">
        <is>
          <t>ข้อ 21 Mock Musculo RxCU84</t>
        </is>
      </c>
      <c r="O154" s="32" t="inlineStr">
        <is>
          <t>Mock</t>
        </is>
      </c>
      <c r="P154" s="32" t="inlineStr">
        <is>
          <t>Mock RxCU84</t>
        </is>
      </c>
    </row>
    <row r="155" ht="409.6" customHeight="1" s="49">
      <c r="A155" s="32" t="n">
        <v>153</v>
      </c>
      <c r="B155"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32" t="n"/>
      <c r="D155" s="32" t="inlineStr">
        <is>
          <t>เป็นสารก่อวิรูป ห้ามใช้ในครรภ์</t>
        </is>
      </c>
      <c r="E155" s="32" t="inlineStr">
        <is>
          <t>ปลอดภัยในไตรมาส 2–3</t>
        </is>
      </c>
      <c r="F155" s="32" t="inlineStr">
        <is>
          <t>ใช้ต่อได้หากให้ folic acid สูง</t>
        </is>
      </c>
      <c r="G155" s="32" t="inlineStr">
        <is>
          <t>เป็นยาหลักในหญิงตั้งครรภ์</t>
        </is>
      </c>
      <c r="H155" s="32" t="inlineStr">
        <is>
          <t>ไม่ผ่านรก</t>
        </is>
      </c>
      <c r="I155" s="32" t="n">
        <v>1</v>
      </c>
      <c r="J155" s="32"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32" t="n"/>
      <c r="L155" s="32" t="inlineStr">
        <is>
          <t>Rheumatoid Arthritis</t>
        </is>
      </c>
      <c r="M155" s="32" t="inlineStr">
        <is>
          <t>Clinic</t>
        </is>
      </c>
      <c r="N155" s="32" t="inlineStr">
        <is>
          <t>ข้อ 22 Mock Musculo RxCU84</t>
        </is>
      </c>
      <c r="O155" s="32" t="inlineStr">
        <is>
          <t>Mock</t>
        </is>
      </c>
      <c r="P155" s="32" t="inlineStr">
        <is>
          <t>Mock RxCU84</t>
        </is>
      </c>
    </row>
    <row r="156" ht="409.6" customHeight="1" s="49">
      <c r="A156" s="32" t="n">
        <v>154</v>
      </c>
      <c r="B156"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32" t="n"/>
      <c r="D156" s="32" t="inlineStr">
        <is>
          <t>ปวดเมื่อใช้งาน ดีขึ้นเมื่อพัก</t>
        </is>
      </c>
      <c r="E156" s="32" t="inlineStr">
        <is>
          <t>ข้อฝืดตอนเช้าน้อยกว่า 30 นาที</t>
        </is>
      </c>
      <c r="F156" s="32" t="inlineStr">
        <is>
          <t>คลำได้เสียงกรอบแกรบในข้อ</t>
        </is>
      </c>
      <c r="G156" s="32" t="inlineStr">
        <is>
          <t>มักเกิดที่ข้อปลายนิ้ว (DIP)</t>
        </is>
      </c>
      <c r="H156" s="32" t="inlineStr">
        <is>
          <t>ข้อฝืดตอนเช้ามากกว่า 1 ชั่วโมง ร่วมกับข้ออักเสบสมมาตร</t>
        </is>
      </c>
      <c r="I156" s="32" t="n">
        <v>5</v>
      </c>
      <c r="J156" s="32"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32" t="n"/>
      <c r="L156" s="32" t="inlineStr">
        <is>
          <t>Rheumatoid Arthritis</t>
        </is>
      </c>
      <c r="M156" s="32" t="inlineStr">
        <is>
          <t>Clinic</t>
        </is>
      </c>
      <c r="N156" s="32" t="inlineStr">
        <is>
          <t>ข้อ 23 Mock Musculo RxCU84</t>
        </is>
      </c>
      <c r="O156" s="32" t="inlineStr">
        <is>
          <t>Mock</t>
        </is>
      </c>
      <c r="P156" s="32" t="inlineStr">
        <is>
          <t>Mock RxCU84</t>
        </is>
      </c>
    </row>
    <row r="157" ht="409.6" customHeight="1" s="49">
      <c r="A157" s="32" t="n">
        <v>155</v>
      </c>
      <c r="B157"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32" t="n"/>
      <c r="D157" s="32" t="inlineStr">
        <is>
          <t>Allopurinol</t>
        </is>
      </c>
      <c r="E157" s="32" t="inlineStr">
        <is>
          <t>Febuxostat</t>
        </is>
      </c>
      <c r="F157" s="32" t="inlineStr">
        <is>
          <t>Colchicine</t>
        </is>
      </c>
      <c r="G157" s="32" t="inlineStr">
        <is>
          <t>Probenecid</t>
        </is>
      </c>
      <c r="H157" s="32" t="inlineStr">
        <is>
          <t>Sulfinpyrazone</t>
        </is>
      </c>
      <c r="I157" s="32" t="n">
        <v>3</v>
      </c>
      <c r="J157" s="32"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32" t="n"/>
      <c r="L157" s="32" t="inlineStr">
        <is>
          <t>Gout &amp; Hyperuricemia</t>
        </is>
      </c>
      <c r="M157" s="32" t="inlineStr">
        <is>
          <t>Clinic</t>
        </is>
      </c>
      <c r="N157" s="32" t="inlineStr">
        <is>
          <t>ข้อ 24 Mock Musculo RxCU84</t>
        </is>
      </c>
      <c r="O157" s="32" t="inlineStr">
        <is>
          <t>Mock</t>
        </is>
      </c>
      <c r="P157" s="32" t="inlineStr">
        <is>
          <t>Mock RxCU84</t>
        </is>
      </c>
    </row>
    <row r="158" ht="409.6" customHeight="1" s="49">
      <c r="A158" s="32" t="n">
        <v>156</v>
      </c>
      <c r="B158"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32" t="n"/>
      <c r="D158" s="32" t="inlineStr">
        <is>
          <t>1.2 mg OD</t>
        </is>
      </c>
      <c r="E158" s="32" t="inlineStr">
        <is>
          <t>0.6 mg tid</t>
        </is>
      </c>
      <c r="F158" s="32" t="inlineStr">
        <is>
          <t>1.2 mg ทันที ตามด้วย 0.6 mg ใน 1 ชม.</t>
        </is>
      </c>
      <c r="G158" s="32" t="inlineStr">
        <is>
          <t>0.6 mg ทุก 2 ชม. จนกว่าจะท้องเสีย</t>
        </is>
      </c>
      <c r="H158" s="32" t="inlineStr">
        <is>
          <t>1.2 mg ทันที ตามด้วย 1.2 mg ใน 1 ชม. เฉลย</t>
        </is>
      </c>
      <c r="I158" s="32" t="n">
        <v>3</v>
      </c>
      <c r="J158" s="32"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32" t="n"/>
      <c r="L158" s="32" t="inlineStr">
        <is>
          <t>Gout &amp; Hyperuricemia</t>
        </is>
      </c>
      <c r="M158" s="32" t="inlineStr">
        <is>
          <t>Clinic</t>
        </is>
      </c>
      <c r="N158" s="32" t="inlineStr">
        <is>
          <t>ข้อ 25 Mock Musculo RxCU84</t>
        </is>
      </c>
      <c r="O158" s="32" t="inlineStr">
        <is>
          <t>Mock</t>
        </is>
      </c>
      <c r="P158" s="32" t="inlineStr">
        <is>
          <t>Mock RxCU84</t>
        </is>
      </c>
    </row>
    <row r="159" ht="409.6" customHeight="1" s="49">
      <c r="A159" s="32" t="n">
        <v>157</v>
      </c>
      <c r="B159"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32" t="n"/>
      <c r="D159" s="32" t="inlineStr">
        <is>
          <t>Bisoprolol</t>
        </is>
      </c>
      <c r="E159" s="32" t="inlineStr">
        <is>
          <t>Losartan</t>
        </is>
      </c>
      <c r="F159" s="32" t="inlineStr">
        <is>
          <t>Amlodipine</t>
        </is>
      </c>
      <c r="G159" s="32" t="inlineStr">
        <is>
          <t>Enalapril</t>
        </is>
      </c>
      <c r="H159" s="32" t="inlineStr">
        <is>
          <t>Diltiazem</t>
        </is>
      </c>
      <c r="I159" s="32" t="n">
        <v>2</v>
      </c>
      <c r="J159" s="32"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32" t="n"/>
      <c r="L159" s="32" t="inlineStr">
        <is>
          <t>Gout &amp; Hyperuricemia</t>
        </is>
      </c>
      <c r="M159" s="32" t="inlineStr">
        <is>
          <t>Clinic</t>
        </is>
      </c>
      <c r="N159" s="32" t="inlineStr">
        <is>
          <t>ข้อ 26 Mock Musculo RxCU84</t>
        </is>
      </c>
      <c r="O159" s="32" t="inlineStr">
        <is>
          <t>Mock</t>
        </is>
      </c>
      <c r="P159" s="32" t="inlineStr">
        <is>
          <t>Mock RxCU84</t>
        </is>
      </c>
    </row>
    <row r="160" ht="409.6" customHeight="1" s="49">
      <c r="A160" s="32" t="n">
        <v>158</v>
      </c>
      <c r="B160"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32" t="n"/>
      <c r="D160" s="32" t="inlineStr">
        <is>
          <t>ข้าวสวย</t>
        </is>
      </c>
      <c r="E160" s="32" t="inlineStr">
        <is>
          <t>ไข่ไก่</t>
        </is>
      </c>
      <c r="F160" s="32" t="inlineStr">
        <is>
          <t>เครื่องในสัตว์และเบียร์</t>
        </is>
      </c>
      <c r="G160" s="32" t="inlineStr">
        <is>
          <t>นมวัว</t>
        </is>
      </c>
      <c r="H160" s="32" t="inlineStr">
        <is>
          <t>ผลไม้</t>
        </is>
      </c>
      <c r="I160" s="32" t="n">
        <v>3</v>
      </c>
      <c r="J160" s="32"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32" t="n"/>
      <c r="L160" s="32" t="inlineStr">
        <is>
          <t>Gout &amp; Hyperuricemia</t>
        </is>
      </c>
      <c r="M160" s="32" t="inlineStr">
        <is>
          <t>Clinic</t>
        </is>
      </c>
      <c r="N160" s="32" t="inlineStr">
        <is>
          <t>ข้อ 27 Mock Musculo RxCU84</t>
        </is>
      </c>
      <c r="O160" s="32" t="inlineStr">
        <is>
          <t>Mock</t>
        </is>
      </c>
      <c r="P160" s="32" t="inlineStr">
        <is>
          <t>Mock RxCU84</t>
        </is>
      </c>
    </row>
    <row r="161" ht="409.6" customHeight="1" s="49">
      <c r="A161" s="32" t="n">
        <v>159</v>
      </c>
      <c r="B161"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32" t="n"/>
      <c r="D161" s="32" t="inlineStr">
        <is>
          <t>&lt; 4 mg/dL</t>
        </is>
      </c>
      <c r="E161" s="32" t="inlineStr">
        <is>
          <t>&lt; 5 mg/dL</t>
        </is>
      </c>
      <c r="F161" s="32" t="inlineStr">
        <is>
          <t>&lt; 6 mg/dL</t>
        </is>
      </c>
      <c r="G161" s="32" t="inlineStr">
        <is>
          <t>&lt; 7 mg/dL</t>
        </is>
      </c>
      <c r="H161" s="32" t="inlineStr">
        <is>
          <t>&lt; 8 mg/dL</t>
        </is>
      </c>
      <c r="I161" s="32" t="n">
        <v>3</v>
      </c>
      <c r="J161" s="32"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32" t="n"/>
      <c r="L161" s="32" t="inlineStr">
        <is>
          <t>Gout &amp; Hyperuricemia</t>
        </is>
      </c>
      <c r="M161" s="32" t="inlineStr">
        <is>
          <t>Clinic</t>
        </is>
      </c>
      <c r="N161" s="32" t="inlineStr">
        <is>
          <t>ข้อ 28 Mock Musculo RxCU84</t>
        </is>
      </c>
      <c r="O161" s="32" t="inlineStr">
        <is>
          <t>Mock</t>
        </is>
      </c>
      <c r="P161" s="32" t="inlineStr">
        <is>
          <t>Mock RxCU84</t>
        </is>
      </c>
    </row>
    <row r="162" ht="409.6" customHeight="1" s="49">
      <c r="A162" s="32" t="n">
        <v>160</v>
      </c>
      <c r="B162"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32" t="n"/>
      <c r="D162" s="32" t="inlineStr">
        <is>
          <t>HLA-B15:02</t>
        </is>
      </c>
      <c r="E162" s="32" t="inlineStr">
        <is>
          <t>HLA-B58:01</t>
        </is>
      </c>
      <c r="F162" s="32" t="inlineStr">
        <is>
          <t>HLA-B57:01</t>
        </is>
      </c>
      <c r="G162" s="32" t="inlineStr">
        <is>
          <t>CYP2C9</t>
        </is>
      </c>
      <c r="H162" s="32" t="inlineStr">
        <is>
          <t>DPYD</t>
        </is>
      </c>
      <c r="I162" s="32" t="n">
        <v>2</v>
      </c>
      <c r="J162" s="32"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32" t="n"/>
      <c r="L162" s="32" t="inlineStr">
        <is>
          <t>Gout &amp; Hyperuricemia</t>
        </is>
      </c>
      <c r="M162" s="32" t="inlineStr">
        <is>
          <t>Clinic</t>
        </is>
      </c>
      <c r="N162" s="32" t="inlineStr">
        <is>
          <t>ข้อ 29 Mock Musculo RxCU84</t>
        </is>
      </c>
      <c r="O162" s="32" t="inlineStr">
        <is>
          <t>Mock</t>
        </is>
      </c>
      <c r="P162" s="32" t="inlineStr">
        <is>
          <t>Mock RxCU84</t>
        </is>
      </c>
    </row>
    <row r="163" ht="409.6" customHeight="1" s="49">
      <c r="A163" s="32" t="n">
        <v>161</v>
      </c>
      <c r="B163"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32" t="n"/>
      <c r="D163" s="32" t="inlineStr">
        <is>
          <t>Metformin</t>
        </is>
      </c>
      <c r="E163" s="32" t="inlineStr">
        <is>
          <t>Bisoprolol</t>
        </is>
      </c>
      <c r="F163" s="32" t="inlineStr">
        <is>
          <t>Azathioprine</t>
        </is>
      </c>
      <c r="G163" s="32" t="inlineStr">
        <is>
          <t>Atorvastatin</t>
        </is>
      </c>
      <c r="H163" s="32" t="inlineStr">
        <is>
          <t>Losartan</t>
        </is>
      </c>
      <c r="I163" s="32" t="n">
        <v>3</v>
      </c>
      <c r="J163" s="32"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32" t="n"/>
      <c r="L163" s="32" t="inlineStr">
        <is>
          <t>Gout &amp; Hyperuricemia</t>
        </is>
      </c>
      <c r="M163" s="32" t="inlineStr">
        <is>
          <t>Clinic</t>
        </is>
      </c>
      <c r="N163" s="32" t="inlineStr">
        <is>
          <t>ข้อ 30 Mock Musculo RxCU84</t>
        </is>
      </c>
      <c r="O163" s="32" t="inlineStr">
        <is>
          <t>Mock</t>
        </is>
      </c>
      <c r="P163" s="32" t="inlineStr">
        <is>
          <t>Mock RxCU84</t>
        </is>
      </c>
    </row>
    <row r="164" ht="409.6" customHeight="1" s="49">
      <c r="A164" s="32" t="n">
        <v>162</v>
      </c>
      <c r="B164"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32" t="n"/>
      <c r="D164" s="32" t="inlineStr">
        <is>
          <t>Colchicine 0.6 mg/day นาน 3-6 เดือน</t>
        </is>
      </c>
      <c r="E164" s="32" t="inlineStr">
        <is>
          <t>Prednisolone นาน 1 ปี</t>
        </is>
      </c>
      <c r="F164" s="32" t="inlineStr">
        <is>
          <t>Aspirin 81 mg</t>
        </is>
      </c>
      <c r="G164" s="32" t="inlineStr">
        <is>
          <t>Probenecid</t>
        </is>
      </c>
      <c r="H164" s="32" t="inlineStr">
        <is>
          <t>Paracetamol</t>
        </is>
      </c>
      <c r="I164" s="32" t="n">
        <v>1</v>
      </c>
      <c r="J164" s="32"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32" t="n"/>
      <c r="L164" s="32" t="inlineStr">
        <is>
          <t>Gout &amp; Hyperuricemia</t>
        </is>
      </c>
      <c r="M164" s="32" t="inlineStr">
        <is>
          <t>Clinic</t>
        </is>
      </c>
      <c r="N164" s="32" t="inlineStr">
        <is>
          <t>ข้อ 31 Mock Musculo RxCU84</t>
        </is>
      </c>
      <c r="O164" s="32" t="inlineStr">
        <is>
          <t>Mock</t>
        </is>
      </c>
      <c r="P164" s="32" t="inlineStr">
        <is>
          <t>Mock RxCU84</t>
        </is>
      </c>
    </row>
    <row r="165" ht="409.6" customHeight="1" s="49">
      <c r="A165" s="32" t="n">
        <v>163</v>
      </c>
      <c r="B165"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32" t="n"/>
      <c r="D165" s="32" t="inlineStr">
        <is>
          <t>ยับยั้ง COX-2</t>
        </is>
      </c>
      <c r="E165" s="32" t="inlineStr">
        <is>
          <t>ยับยั้ง Xanthine oxidase</t>
        </is>
      </c>
      <c r="F165" s="32" t="inlineStr">
        <is>
          <t>ขัดขวาง Microtubule polymerization ลดการเคลื่อนที่ของ Neutrophil</t>
        </is>
      </c>
      <c r="G165" s="32" t="inlineStr">
        <is>
          <t>เพิ่มการขับ Uric acid</t>
        </is>
      </c>
      <c r="H165" s="32" t="inlineStr">
        <is>
          <t>ยับยั้ง URAT1</t>
        </is>
      </c>
      <c r="I165" s="32" t="n">
        <v>3</v>
      </c>
      <c r="J165" s="32"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32" t="n"/>
      <c r="L165" s="32" t="inlineStr">
        <is>
          <t>Gout &amp; Hyperuricemia</t>
        </is>
      </c>
      <c r="M165" s="32" t="inlineStr">
        <is>
          <t>Clinic</t>
        </is>
      </c>
      <c r="N165" s="32" t="inlineStr">
        <is>
          <t>ข้อ 32 Mock Musculo RxCU84</t>
        </is>
      </c>
      <c r="O165" s="32" t="inlineStr">
        <is>
          <t>Mock</t>
        </is>
      </c>
      <c r="P165" s="32" t="inlineStr">
        <is>
          <t>Mock RxCU84</t>
        </is>
      </c>
    </row>
    <row r="166" ht="409.6" customHeight="1" s="49">
      <c r="A166" s="32" t="n">
        <v>164</v>
      </c>
      <c r="B166"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32" t="n"/>
      <c r="D166" s="32" t="inlineStr">
        <is>
          <t>Simvastatin</t>
        </is>
      </c>
      <c r="E166" s="32" t="inlineStr">
        <is>
          <t>Atorvastatin</t>
        </is>
      </c>
      <c r="F166" s="32" t="inlineStr">
        <is>
          <t>Fenofibrate</t>
        </is>
      </c>
      <c r="G166" s="32" t="inlineStr">
        <is>
          <t>Gemfibrozil</t>
        </is>
      </c>
      <c r="H166" s="32" t="inlineStr">
        <is>
          <t>Ezetimibe</t>
        </is>
      </c>
      <c r="I166" s="32" t="n">
        <v>3</v>
      </c>
      <c r="J166" s="32"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32" t="n"/>
      <c r="L166" s="32" t="inlineStr">
        <is>
          <t>Gout &amp; Hyperuricemia</t>
        </is>
      </c>
      <c r="M166" s="32" t="inlineStr">
        <is>
          <t>Clinic</t>
        </is>
      </c>
      <c r="N166" s="32" t="inlineStr">
        <is>
          <t>ข้อ 33 Mock Musculo RxCU84</t>
        </is>
      </c>
      <c r="O166" s="32" t="inlineStr">
        <is>
          <t>Mock</t>
        </is>
      </c>
      <c r="P166" s="32" t="inlineStr">
        <is>
          <t>Mock RxCU84</t>
        </is>
      </c>
    </row>
    <row r="167" ht="409.6" customHeight="1" s="49">
      <c r="A167" s="32" t="n">
        <v>165</v>
      </c>
      <c r="B167"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32" t="n"/>
      <c r="D167" s="32" t="inlineStr">
        <is>
          <t>ควบคุมอาหารและออกกำลังกายเพื่อลดน้ำหนักตัว โดยตั้งเป้าหมายให้ดัชนีมวลกาย (BMI) ลดลงต่ำกว่า 30 kg/m2</t>
        </is>
      </c>
      <c r="E167" s="32" t="inlineStr">
        <is>
          <t>ลดหรือหลีกเลี่ยงการดื่มเครื่องดื่มแอลกอฮอล์ทุกชนิด</t>
        </is>
      </c>
      <c r="F167" s="32" t="inlineStr">
        <is>
          <t>หลีกเลี่ยงการรับประทานอาหารที่มีสารพิวรีนสูง เช่น สัตว์ปีก เครื่องในสัตว์ และยอดผัก</t>
        </is>
      </c>
      <c r="G167" s="32" t="inlineStr">
        <is>
          <t>ดื่มน้ำสะอาดในปริมาณที่เหมาะสมอย่างน้อย 2–3 ลิตรต่อวัน เพื่อช่วยขับกรดยูริกออกทางไต</t>
        </is>
      </c>
      <c r="H167" s="32" t="inlineStr">
        <is>
          <t>ถูกต้องทุกข้อที่กล่าวมา</t>
        </is>
      </c>
      <c r="I167" s="32" t="n">
        <v>5</v>
      </c>
      <c r="J167" s="32"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32" t="n"/>
      <c r="L167" s="32" t="inlineStr">
        <is>
          <t>Gout &amp; Hyperuricemia</t>
        </is>
      </c>
      <c r="M167" s="32" t="inlineStr">
        <is>
          <t>Clinic</t>
        </is>
      </c>
      <c r="N167" s="32" t="inlineStr">
        <is>
          <t>ข้อ 34 Mock Musculo RxCU84</t>
        </is>
      </c>
      <c r="O167" s="32" t="inlineStr">
        <is>
          <t>Mock</t>
        </is>
      </c>
      <c r="P167" s="32" t="inlineStr">
        <is>
          <t>Mock RxCU84</t>
        </is>
      </c>
    </row>
    <row r="168" ht="409.6" customHeight="1" s="49">
      <c r="A168" s="32" t="n">
        <v>166</v>
      </c>
      <c r="B168"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32" t="n"/>
      <c r="D168" s="32" t="inlineStr">
        <is>
          <t>เริ่ม allopurinol ทันที</t>
        </is>
      </c>
      <c r="E168" s="32" t="inlineStr">
        <is>
          <t>ให้ probenecid เร่งขับกรดยูริก</t>
        </is>
      </c>
      <c r="F168" s="32" t="inlineStr">
        <is>
          <t>ให้ colchicine/NSAIDs/steroid ยังไม่เริ่มยาลดกรดยูริก</t>
        </is>
      </c>
      <c r="G168" s="32" t="inlineStr">
        <is>
          <t>ให้ paracetamol เดี่ยว ๆ</t>
        </is>
      </c>
      <c r="H168" s="32" t="inlineStr">
        <is>
          <t>งดยาทุกชนิดรอหายเอง</t>
        </is>
      </c>
      <c r="I168" s="32" t="n">
        <v>3</v>
      </c>
      <c r="J168" s="32"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32" t="n"/>
      <c r="L168" s="32" t="inlineStr">
        <is>
          <t>Gout &amp; Hyperuricemia</t>
        </is>
      </c>
      <c r="M168" s="32" t="inlineStr">
        <is>
          <t>Clinic</t>
        </is>
      </c>
      <c r="N168" s="32" t="inlineStr">
        <is>
          <t>ข้อ 35 Mock Musculo RxCU84</t>
        </is>
      </c>
      <c r="O168" s="32" t="inlineStr">
        <is>
          <t>Mock</t>
        </is>
      </c>
      <c r="P168" s="32" t="inlineStr">
        <is>
          <t>Mock RxCU84</t>
        </is>
      </c>
    </row>
    <row r="169" ht="409.6" customHeight="1" s="49">
      <c r="A169" s="32" t="n">
        <v>167</v>
      </c>
      <c r="B169"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32" t="n"/>
      <c r="D169" s="32" t="inlineStr">
        <is>
          <t>0.6 mg วันละครั้งเท่านั้น</t>
        </is>
      </c>
      <c r="E169" s="32" t="inlineStr">
        <is>
          <t>1.0 mg แล้ว 0.5 mg ทุกชั่วโมงจนท้องเสีย</t>
        </is>
      </c>
      <c r="F169" s="32" t="inlineStr">
        <is>
          <t>2.4 mg ครั้งเดียว</t>
        </is>
      </c>
      <c r="G169" s="32" t="inlineStr">
        <is>
          <t>1.2 mg ทันที แล้ว 0.6 mg อีก 1 ชม. ต่อด้วย 0.5–0.6 mg ทุก 8–12 ชม.</t>
        </is>
      </c>
      <c r="H169" s="32" t="inlineStr">
        <is>
          <t>1.2 mg ทุก 2 ชม. รวม 6 ครั้ง</t>
        </is>
      </c>
      <c r="I169" s="32" t="n">
        <v>4</v>
      </c>
      <c r="J169" s="32"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32" t="n"/>
      <c r="L169" s="32" t="inlineStr">
        <is>
          <t>Gout &amp; Hyperuricemia</t>
        </is>
      </c>
      <c r="M169" s="32" t="inlineStr">
        <is>
          <t>Clinic</t>
        </is>
      </c>
      <c r="N169" s="32" t="inlineStr">
        <is>
          <t>ข้อ 36 Mock Musculo RxCU84</t>
        </is>
      </c>
      <c r="O169" s="32" t="inlineStr">
        <is>
          <t>Mock</t>
        </is>
      </c>
      <c r="P169" s="32" t="inlineStr">
        <is>
          <t>Mock RxCU84</t>
        </is>
      </c>
    </row>
    <row r="170" ht="409.6" customHeight="1" s="49">
      <c r="A170" s="32" t="n">
        <v>168</v>
      </c>
      <c r="B170"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32" t="n"/>
      <c r="D170" s="32" t="inlineStr">
        <is>
          <t>คง losartan ไว้เพราะช่วยขับกรดยูริก</t>
        </is>
      </c>
      <c r="E170" s="32" t="inlineStr">
        <is>
          <t>เปลี่ยน losartan เป็น hydrochlorothiazide</t>
        </is>
      </c>
      <c r="F170" s="32" t="inlineStr">
        <is>
          <t>เพิ่ม bisoprolol เพื่อลดกรดยูริก</t>
        </is>
      </c>
      <c r="G170" s="32" t="inlineStr">
        <is>
          <t>เพิ่ม low-dose aspirin</t>
        </is>
      </c>
      <c r="H170" s="32" t="inlineStr">
        <is>
          <t>หยุด losartan เพราะเพิ่มกรดยูริก</t>
        </is>
      </c>
      <c r="I170" s="32" t="n">
        <v>1</v>
      </c>
      <c r="J170" s="32"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32" t="n"/>
      <c r="L170" s="32" t="inlineStr">
        <is>
          <t>Gout &amp; Hyperuricemia</t>
        </is>
      </c>
      <c r="M170" s="32" t="inlineStr">
        <is>
          <t>Clinic</t>
        </is>
      </c>
      <c r="N170" s="32" t="inlineStr">
        <is>
          <t>ข้อ 37 Mock Musculo RxCU84</t>
        </is>
      </c>
      <c r="O170" s="32" t="inlineStr">
        <is>
          <t>Mock</t>
        </is>
      </c>
      <c r="P170" s="32" t="inlineStr">
        <is>
          <t>Mock RxCU84</t>
        </is>
      </c>
    </row>
    <row r="171" ht="409.6" customHeight="1" s="49">
      <c r="A171" s="32" t="n">
        <v>169</v>
      </c>
      <c r="B171"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32" t="n"/>
      <c r="D171" s="32" t="inlineStr">
        <is>
          <t>HLA-B15:02</t>
        </is>
      </c>
      <c r="E171" s="32" t="inlineStr">
        <is>
          <t>HLA-B58:01</t>
        </is>
      </c>
      <c r="F171" s="32" t="inlineStr">
        <is>
          <t>HLA-B57:01</t>
        </is>
      </c>
      <c r="G171" s="32" t="inlineStr">
        <is>
          <t>CYP2C9</t>
        </is>
      </c>
      <c r="H171" s="32" t="inlineStr">
        <is>
          <t>G6PD</t>
        </is>
      </c>
      <c r="I171" s="32" t="n">
        <v>2</v>
      </c>
      <c r="J171" s="32"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32" t="n"/>
      <c r="L171" s="32" t="inlineStr">
        <is>
          <t>Gout &amp; Hyperuricemia</t>
        </is>
      </c>
      <c r="M171" s="32" t="inlineStr">
        <is>
          <t>Clinic</t>
        </is>
      </c>
      <c r="N171" s="32" t="inlineStr">
        <is>
          <t>ข้อ 38 Mock Musculo RxCU84</t>
        </is>
      </c>
      <c r="O171" s="32" t="inlineStr">
        <is>
          <t>Mock</t>
        </is>
      </c>
      <c r="P171" s="32" t="inlineStr">
        <is>
          <t>Mock RxCU84</t>
        </is>
      </c>
    </row>
    <row r="172" ht="409.6" customHeight="1" s="49">
      <c r="A172" s="32" t="n">
        <v>170</v>
      </c>
      <c r="B172"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32" t="n"/>
      <c r="D172" s="32" t="inlineStr">
        <is>
          <t>น้อยกว่า 4 mg/dL</t>
        </is>
      </c>
      <c r="E172" s="32" t="inlineStr">
        <is>
          <t>น้อยกว่า 5 mg/dL</t>
        </is>
      </c>
      <c r="F172" s="32" t="inlineStr">
        <is>
          <t>น้อยกว่า 6 mg/dL</t>
        </is>
      </c>
      <c r="G172" s="32" t="inlineStr">
        <is>
          <t>น้อยกว่า 7 mg/dL</t>
        </is>
      </c>
      <c r="H172" s="32" t="inlineStr">
        <is>
          <t>น้อยกว่า 8 mg/dL</t>
        </is>
      </c>
      <c r="I172" s="32" t="n">
        <v>3</v>
      </c>
      <c r="J172" s="32"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32" t="n"/>
      <c r="L172" s="32" t="inlineStr">
        <is>
          <t>Gout &amp; Hyperuricemia</t>
        </is>
      </c>
      <c r="M172" s="32" t="inlineStr">
        <is>
          <t>Clinic</t>
        </is>
      </c>
      <c r="N172" s="32" t="inlineStr">
        <is>
          <t>ข้อ 39 Mock Musculo RxCU84</t>
        </is>
      </c>
      <c r="O172" s="32" t="inlineStr">
        <is>
          <t>Mock</t>
        </is>
      </c>
      <c r="P172" s="32" t="inlineStr">
        <is>
          <t>Mock RxCU84</t>
        </is>
      </c>
    </row>
    <row r="173" ht="409.6" customHeight="1" s="49">
      <c r="A173" s="32" t="n">
        <v>171</v>
      </c>
      <c r="B173"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32" t="n"/>
      <c r="D173" s="32" t="inlineStr">
        <is>
          <t>Oral Paracetamol</t>
        </is>
      </c>
      <c r="E173" s="32" t="inlineStr">
        <is>
          <t>Topical NSAIDs</t>
        </is>
      </c>
      <c r="F173" s="32" t="inlineStr">
        <is>
          <t>Oral Glucosamine</t>
        </is>
      </c>
      <c r="G173" s="32" t="inlineStr">
        <is>
          <t>IA Steroid</t>
        </is>
      </c>
      <c r="H173" s="32" t="inlineStr">
        <is>
          <t>Tramadol</t>
        </is>
      </c>
      <c r="I173" s="32" t="n">
        <v>2</v>
      </c>
      <c r="J173" s="32"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32" t="n"/>
      <c r="L173" s="32" t="inlineStr">
        <is>
          <t>Osteoarthritis</t>
        </is>
      </c>
      <c r="M173" s="32" t="inlineStr">
        <is>
          <t>Clinic</t>
        </is>
      </c>
      <c r="N173" s="32" t="inlineStr">
        <is>
          <t>ข้อ 40 Mock Musculo RxCU84</t>
        </is>
      </c>
      <c r="O173" s="32" t="inlineStr">
        <is>
          <t>Mock</t>
        </is>
      </c>
      <c r="P173" s="32" t="inlineStr">
        <is>
          <t>Mock RxCU84</t>
        </is>
      </c>
    </row>
    <row r="174" ht="409.6" customHeight="1" s="49">
      <c r="A174" s="32" t="n">
        <v>172</v>
      </c>
      <c r="B174"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32" t="n"/>
      <c r="D174" s="32" t="inlineStr">
        <is>
          <t>OA เป็น Autoimmune</t>
        </is>
      </c>
      <c r="E174" s="32" t="inlineStr">
        <is>
          <t>OA เกิดจากการสึกหรอของกระดูกอ่อน (Cartilage degradation)</t>
        </is>
      </c>
      <c r="F174" s="32" t="inlineStr">
        <is>
          <t>OA มี Systemic symptom</t>
        </is>
      </c>
      <c r="G174" s="32" t="inlineStr">
        <is>
          <t>OA ค่า ESR พุ่งสูง</t>
        </is>
      </c>
      <c r="H174" s="32" t="inlineStr">
        <is>
          <t>OA มักโดนข้อข้อมือ</t>
        </is>
      </c>
      <c r="I174" s="32" t="n">
        <v>2</v>
      </c>
      <c r="J174" s="32"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32" t="n"/>
      <c r="L174" s="32" t="inlineStr">
        <is>
          <t>Osteoarthritis</t>
        </is>
      </c>
      <c r="M174" s="32" t="inlineStr">
        <is>
          <t>Clinic</t>
        </is>
      </c>
      <c r="N174" s="32" t="inlineStr">
        <is>
          <t>ข้อ 41 Mock Musculo RxCU84</t>
        </is>
      </c>
      <c r="O174" s="32" t="inlineStr">
        <is>
          <t>Mock</t>
        </is>
      </c>
      <c r="P174" s="32" t="inlineStr">
        <is>
          <t>Mock RxCU84</t>
        </is>
      </c>
    </row>
    <row r="175" ht="409.6" customHeight="1" s="49">
      <c r="A175" s="32" t="n">
        <v>173</v>
      </c>
      <c r="B175"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32" t="n"/>
      <c r="D175" s="32" t="inlineStr">
        <is>
          <t>ว่ายน้ำและลดน้ำหนัก</t>
        </is>
      </c>
      <c r="E175" s="32" t="inlineStr">
        <is>
          <t>วิ่งมาราธอน</t>
        </is>
      </c>
      <c r="F175" s="32" t="inlineStr">
        <is>
          <t>การฝังเข็ม</t>
        </is>
      </c>
      <c r="G175" s="32" t="inlineStr">
        <is>
          <t>การใส่สนับเข่าตลอดเวลา</t>
        </is>
      </c>
      <c r="H175" s="32" t="inlineStr">
        <is>
          <t>การทานคอลลาเจน</t>
        </is>
      </c>
      <c r="I175" s="32" t="n">
        <v>1</v>
      </c>
      <c r="J175" s="32"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32" t="n"/>
      <c r="L175" s="32" t="inlineStr">
        <is>
          <t>Osteoarthritis</t>
        </is>
      </c>
      <c r="M175" s="32" t="inlineStr">
        <is>
          <t>Clinic</t>
        </is>
      </c>
      <c r="N175" s="32" t="inlineStr">
        <is>
          <t>ข้อ 42 Mock Musculo RxCU84</t>
        </is>
      </c>
      <c r="O175" s="32" t="inlineStr">
        <is>
          <t>Mock</t>
        </is>
      </c>
      <c r="P175" s="32" t="inlineStr">
        <is>
          <t>Mock RxCU84</t>
        </is>
      </c>
    </row>
    <row r="176" ht="409.6" customHeight="1" s="49">
      <c r="A176" s="32" t="n">
        <v>174</v>
      </c>
      <c r="B176"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32" t="n"/>
      <c r="D176" s="32" t="inlineStr">
        <is>
          <t>ข้อบวมแดง</t>
        </is>
      </c>
      <c r="E176" s="32" t="inlineStr">
        <is>
          <t>ข้อผิดรูปเบี้ยว</t>
        </is>
      </c>
      <c r="F176" s="32" t="inlineStr">
        <is>
          <t>เสียงดังกรอบแกรบขณะขยับข้อ</t>
        </is>
      </c>
      <c r="G176" s="32" t="inlineStr">
        <is>
          <t>การขยับข้อไม่ได้เลย</t>
        </is>
      </c>
      <c r="H176" s="32" t="inlineStr">
        <is>
          <t>กล้ามเนื้อลีบ</t>
        </is>
      </c>
      <c r="I176" s="32" t="n">
        <v>3</v>
      </c>
      <c r="J176" s="32"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32" t="n"/>
      <c r="L176" s="32" t="inlineStr">
        <is>
          <t>Osteoarthritis</t>
        </is>
      </c>
      <c r="M176" s="32" t="inlineStr">
        <is>
          <t>Clinic</t>
        </is>
      </c>
      <c r="N176" s="32" t="inlineStr">
        <is>
          <t>ข้อ 43 Mock Musculo RxCU84</t>
        </is>
      </c>
      <c r="O176" s="32" t="inlineStr">
        <is>
          <t>Mock</t>
        </is>
      </c>
      <c r="P176" s="32" t="inlineStr">
        <is>
          <t>Mock RxCU84</t>
        </is>
      </c>
    </row>
    <row r="177" ht="409.6" customHeight="1" s="49">
      <c r="A177" s="32" t="n">
        <v>175</v>
      </c>
      <c r="B177"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32" t="n"/>
      <c r="D177" s="32" t="inlineStr">
        <is>
          <t>Piroxicam</t>
        </is>
      </c>
      <c r="E177" s="32" t="inlineStr">
        <is>
          <t>Ibuprofen dose สูง</t>
        </is>
      </c>
      <c r="F177" s="32" t="inlineStr">
        <is>
          <t>COX-2 inhibitor + PPI</t>
        </is>
      </c>
      <c r="G177" s="32" t="inlineStr">
        <is>
          <t>Indomethacin</t>
        </is>
      </c>
      <c r="H177" s="32" t="inlineStr">
        <is>
          <t>Naproxen เดี่ยวๆ</t>
        </is>
      </c>
      <c r="I177" s="32" t="n">
        <v>3</v>
      </c>
      <c r="J177" s="32"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32" t="n"/>
      <c r="L177" s="32" t="inlineStr">
        <is>
          <t>Osteoarthritis</t>
        </is>
      </c>
      <c r="M177" s="32" t="inlineStr">
        <is>
          <t>Clinic</t>
        </is>
      </c>
      <c r="N177" s="32" t="inlineStr">
        <is>
          <t>ข้อ 44 Mock Musculo RxCU84</t>
        </is>
      </c>
      <c r="O177" s="32" t="inlineStr">
        <is>
          <t>Mock</t>
        </is>
      </c>
      <c r="P177" s="32" t="inlineStr">
        <is>
          <t>Mock RxCU84</t>
        </is>
      </c>
    </row>
    <row r="178" ht="409.6" customHeight="1" s="49">
      <c r="A178" s="32" t="n">
        <v>176</v>
      </c>
      <c r="B178"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32" t="n"/>
      <c r="D178" s="32" t="inlineStr">
        <is>
          <t>ยับยั้ง COX</t>
        </is>
      </c>
      <c r="E178" s="32" t="inlineStr">
        <is>
          <t>Depletion ของ Substance P จากปลายประสาท</t>
        </is>
      </c>
      <c r="F178" s="32" t="inlineStr">
        <is>
          <t>ยับยั้ง Mu-receptor</t>
        </is>
      </c>
      <c r="G178" s="32" t="inlineStr">
        <is>
          <t>ขยายหลอดเลือดลดอักเสบ</t>
        </is>
      </c>
      <c r="H178" s="32" t="inlineStr">
        <is>
          <t>ให้ความเย็นชา</t>
        </is>
      </c>
      <c r="I178" s="32" t="n">
        <v>2</v>
      </c>
      <c r="J178" s="32"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32" t="n"/>
      <c r="L178" s="32" t="inlineStr">
        <is>
          <t>Osteoarthritis / Herbal Medicine</t>
        </is>
      </c>
      <c r="M178" s="32" t="inlineStr">
        <is>
          <t>Clinic</t>
        </is>
      </c>
      <c r="N178" s="32" t="inlineStr">
        <is>
          <t>ข้อ 45 Mock Musculo RxCU84</t>
        </is>
      </c>
      <c r="O178" s="32" t="inlineStr">
        <is>
          <t>Mock</t>
        </is>
      </c>
      <c r="P178" s="32" t="inlineStr">
        <is>
          <t>Mock RxCU84</t>
        </is>
      </c>
    </row>
    <row r="179" ht="409.6" customHeight="1" s="49">
      <c r="A179" s="32" t="n">
        <v>177</v>
      </c>
      <c r="B179"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32" t="n"/>
      <c r="D179" s="32" t="inlineStr">
        <is>
          <t>Hyaluronic acid และ Proteoglycan</t>
        </is>
      </c>
      <c r="E179" s="32" t="inlineStr">
        <is>
          <t>Calcium</t>
        </is>
      </c>
      <c r="F179" s="32" t="inlineStr">
        <is>
          <t>Vitamin D</t>
        </is>
      </c>
      <c r="G179" s="32" t="inlineStr">
        <is>
          <t>Uric acid</t>
        </is>
      </c>
      <c r="H179" s="32" t="inlineStr">
        <is>
          <t>Fibrin</t>
        </is>
      </c>
      <c r="I179" s="32" t="n">
        <v>1</v>
      </c>
      <c r="J179" s="32"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32" t="n"/>
      <c r="L179" s="32" t="inlineStr">
        <is>
          <t>Osteoarthritis</t>
        </is>
      </c>
      <c r="M179" s="32" t="inlineStr">
        <is>
          <t>Clinic</t>
        </is>
      </c>
      <c r="N179" s="32" t="inlineStr">
        <is>
          <t>ข้อ 46 Mock Musculo RxCU84</t>
        </is>
      </c>
      <c r="O179" s="32" t="inlineStr">
        <is>
          <t>Mock</t>
        </is>
      </c>
      <c r="P179" s="32" t="inlineStr">
        <is>
          <t>Mock RxCU84</t>
        </is>
      </c>
    </row>
    <row r="180" ht="409.6" customHeight="1" s="49">
      <c r="A180" s="32" t="n">
        <v>178</v>
      </c>
      <c r="B180"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32" t="n"/>
      <c r="D180" s="32" t="inlineStr">
        <is>
          <t>ห้ามฉีดเกินปีละ 1 ครั้ง</t>
        </is>
      </c>
      <c r="E180" s="32" t="inlineStr">
        <is>
          <t>ให้ผลลดปวดเพียงระยะสั้น (Short-term) ไม่ชะลอโรค</t>
        </is>
      </c>
      <c r="F180" s="32" t="inlineStr">
        <is>
          <t>ทำให้กระดูกงอก</t>
        </is>
      </c>
      <c r="G180" s="32" t="inlineStr">
        <is>
          <t>ลดปวดถาวร</t>
        </is>
      </c>
      <c r="H180" s="32" t="inlineStr">
        <is>
          <t>ใช้เป็น First-line เสมอ</t>
        </is>
      </c>
      <c r="I180" s="32" t="n">
        <v>2</v>
      </c>
      <c r="J180" s="32"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32" t="n"/>
      <c r="L180" s="32" t="inlineStr">
        <is>
          <t>Osteoarthritis</t>
        </is>
      </c>
      <c r="M180" s="32" t="inlineStr">
        <is>
          <t>Clinic</t>
        </is>
      </c>
      <c r="N180" s="32" t="inlineStr">
        <is>
          <t>ข้อ 47 Mock Musculo RxCU84</t>
        </is>
      </c>
      <c r="O180" s="32" t="inlineStr">
        <is>
          <t>Mock</t>
        </is>
      </c>
      <c r="P180" s="32" t="inlineStr">
        <is>
          <t>Mock RxCU84</t>
        </is>
      </c>
    </row>
    <row r="181" ht="409.6" customHeight="1" s="49">
      <c r="A181" s="32" t="n">
        <v>179</v>
      </c>
      <c r="B181"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32" t="n"/>
      <c r="D181" s="32" t="inlineStr">
        <is>
          <t>Duloxetine หรือ Tramadol</t>
        </is>
      </c>
      <c r="E181" s="32" t="inlineStr">
        <is>
          <t>Colchicine</t>
        </is>
      </c>
      <c r="F181" s="32" t="inlineStr">
        <is>
          <t>Allopurinol</t>
        </is>
      </c>
      <c r="G181" s="32" t="inlineStr">
        <is>
          <t>Methotrexate</t>
        </is>
      </c>
      <c r="H181" s="32" t="inlineStr">
        <is>
          <t>Prednisolone</t>
        </is>
      </c>
      <c r="I181" s="32" t="n">
        <v>1</v>
      </c>
      <c r="J181" s="32"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32" t="n"/>
      <c r="L181" s="32" t="inlineStr">
        <is>
          <t>Osteoarthritis</t>
        </is>
      </c>
      <c r="M181" s="32" t="inlineStr">
        <is>
          <t>Clinic</t>
        </is>
      </c>
      <c r="N181" s="32" t="inlineStr">
        <is>
          <t>ข้อ 48 Mock Musculo RxCU84</t>
        </is>
      </c>
      <c r="O181" s="32" t="inlineStr">
        <is>
          <t>Mock</t>
        </is>
      </c>
      <c r="P181" s="32" t="inlineStr">
        <is>
          <t>Mock RxCU84</t>
        </is>
      </c>
    </row>
    <row r="182" ht="409.6" customHeight="1" s="49">
      <c r="A182" s="32" t="n">
        <v>180</v>
      </c>
      <c r="B182"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32" t="n"/>
      <c r="D182" s="32" t="inlineStr">
        <is>
          <t>แนะนำอย่างยิ่งให้ใช้ทุกราย</t>
        </is>
      </c>
      <c r="E182" s="32" t="inlineStr">
        <is>
          <t>ไม่แนะนำให้ใช้ (Strongly against) หรือแนะนำอย่างมีเงื่อนไขว่าอาจใช้ใน OA Knee</t>
        </is>
      </c>
      <c r="F182" s="32" t="inlineStr">
        <is>
          <t>แทนที่ NSAID ได้เลย</t>
        </is>
      </c>
      <c r="G182" s="32" t="inlineStr">
        <is>
          <t>ใช้รักษา RA ได้</t>
        </is>
      </c>
      <c r="H182" s="32" t="inlineStr">
        <is>
          <t>ใช้ป้องกันกระดูกหัก</t>
        </is>
      </c>
      <c r="I182" s="32" t="n">
        <v>2</v>
      </c>
      <c r="J182" s="32"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32" t="n"/>
      <c r="L182" s="32" t="inlineStr">
        <is>
          <t>Osteoarthritis</t>
        </is>
      </c>
      <c r="M182" s="32" t="inlineStr">
        <is>
          <t>Clinic</t>
        </is>
      </c>
      <c r="N182" s="32" t="inlineStr">
        <is>
          <t>ข้อ 49 Mock Musculo RxCU84</t>
        </is>
      </c>
      <c r="O182" s="32" t="inlineStr">
        <is>
          <t>Mock</t>
        </is>
      </c>
      <c r="P182" s="32" t="inlineStr">
        <is>
          <t>Mock RxCU84</t>
        </is>
      </c>
    </row>
    <row r="183" ht="409.6" customHeight="1" s="49">
      <c r="A183" s="32" t="n">
        <v>181</v>
      </c>
      <c r="B183"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32" t="n"/>
      <c r="D183" s="32" t="inlineStr">
        <is>
          <t>Paracetamol</t>
        </is>
      </c>
      <c r="E183" s="32" t="inlineStr">
        <is>
          <t>Tramadol</t>
        </is>
      </c>
      <c r="F183" s="32" t="inlineStr">
        <is>
          <t>Topical NSAIDs</t>
        </is>
      </c>
      <c r="G183" s="32" t="inlineStr">
        <is>
          <t>Intra-articular hyaluronic acid</t>
        </is>
      </c>
      <c r="H183" s="32" t="inlineStr">
        <is>
          <t>Glucosamine</t>
        </is>
      </c>
      <c r="I183" s="32" t="n">
        <v>3</v>
      </c>
      <c r="J183" s="32"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32" t="n"/>
      <c r="L183" s="32" t="inlineStr">
        <is>
          <t>Osteoarthritis</t>
        </is>
      </c>
      <c r="M183" s="32" t="inlineStr">
        <is>
          <t>Clinic</t>
        </is>
      </c>
      <c r="N183" s="32" t="inlineStr">
        <is>
          <t>ข้อ 50 Mock Musculo RxCU84</t>
        </is>
      </c>
      <c r="O183" s="32" t="inlineStr">
        <is>
          <t>Mock</t>
        </is>
      </c>
      <c r="P183" s="32" t="inlineStr">
        <is>
          <t>Mock RxCU84</t>
        </is>
      </c>
    </row>
    <row r="184" ht="409.6" customHeight="1" s="49">
      <c r="A184" s="32" t="n">
        <v>182</v>
      </c>
      <c r="B184"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32" t="n"/>
      <c r="D184" s="32" t="inlineStr">
        <is>
          <t>Naloxone</t>
        </is>
      </c>
      <c r="E184" s="32" t="inlineStr">
        <is>
          <t>Flumazenil</t>
        </is>
      </c>
      <c r="F184" s="32" t="inlineStr">
        <is>
          <t>Vitamin K</t>
        </is>
      </c>
      <c r="G184" s="32" t="inlineStr">
        <is>
          <t>N-acetylcysteine</t>
        </is>
      </c>
      <c r="H184" s="32" t="inlineStr">
        <is>
          <t>Leucovorin</t>
        </is>
      </c>
      <c r="I184" s="32" t="n">
        <v>4</v>
      </c>
      <c r="J184" s="32"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32" t="n"/>
      <c r="L184" s="32" t="inlineStr">
        <is>
          <t>Osteoarthritis</t>
        </is>
      </c>
      <c r="M184" s="32" t="inlineStr">
        <is>
          <t>Clinic</t>
        </is>
      </c>
      <c r="N184" s="32" t="inlineStr">
        <is>
          <t>ข้อ 51 Mock Musculo RxCU84</t>
        </is>
      </c>
      <c r="O184" s="32" t="inlineStr">
        <is>
          <t>Mock</t>
        </is>
      </c>
      <c r="P184" s="32" t="inlineStr">
        <is>
          <t>Mock RxCU84</t>
        </is>
      </c>
    </row>
    <row r="185" ht="409.6" customHeight="1" s="49">
      <c r="A185" s="32" t="n">
        <v>183</v>
      </c>
      <c r="B185"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32" t="n"/>
      <c r="D185" s="32" t="inlineStr">
        <is>
          <t>Duloxetine</t>
        </is>
      </c>
      <c r="E185" s="32" t="inlineStr">
        <is>
          <t>Colchicine</t>
        </is>
      </c>
      <c r="F185" s="32" t="inlineStr">
        <is>
          <t>Allopurinol</t>
        </is>
      </c>
      <c r="G185" s="32" t="inlineStr">
        <is>
          <t>Prednisolone ระยะยาว</t>
        </is>
      </c>
      <c r="H185" s="32" t="inlineStr">
        <is>
          <t>Aspirin ขนาดสูง</t>
        </is>
      </c>
      <c r="I185" s="32" t="n">
        <v>1</v>
      </c>
      <c r="J185" s="32"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32" t="n"/>
      <c r="L185" s="32" t="inlineStr">
        <is>
          <t>Osteoarthritis</t>
        </is>
      </c>
      <c r="M185" s="32" t="inlineStr">
        <is>
          <t>Clinic</t>
        </is>
      </c>
      <c r="N185" s="32" t="inlineStr">
        <is>
          <t>ข้อ 52 Mock Musculo RxCU84</t>
        </is>
      </c>
      <c r="O185" s="32" t="inlineStr">
        <is>
          <t>Mock</t>
        </is>
      </c>
      <c r="P185" s="32" t="inlineStr">
        <is>
          <t>Mock RxCU84</t>
        </is>
      </c>
    </row>
    <row r="186" ht="409.6" customHeight="1" s="49">
      <c r="A186" s="32" t="n">
        <v>184</v>
      </c>
      <c r="B186"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32" t="n"/>
      <c r="D186" s="32" t="inlineStr">
        <is>
          <t>ยับยั้งเอนไซม์ cyclooxygenase</t>
        </is>
      </c>
      <c r="E186" s="32" t="inlineStr">
        <is>
          <t>กระตุ้น TRPV1 ทำให้ substance P พร่องลง</t>
        </is>
      </c>
      <c r="F186" s="32" t="inlineStr">
        <is>
          <t>ต้านตัวรับ μ-opioid</t>
        </is>
      </c>
      <c r="G186" s="32" t="inlineStr">
        <is>
          <t>ยับยั้ง xanthine oxidase</t>
        </is>
      </c>
      <c r="H186" s="32" t="inlineStr">
        <is>
          <t>ยับยั้งการเก็บกลับ serotonin</t>
        </is>
      </c>
      <c r="I186" s="32" t="n">
        <v>2</v>
      </c>
      <c r="J186" s="32"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32" t="n"/>
      <c r="L186" s="32" t="inlineStr">
        <is>
          <t>Osteoarthritis / Herbal Medicine</t>
        </is>
      </c>
      <c r="M186" s="32" t="inlineStr">
        <is>
          <t>Clinic</t>
        </is>
      </c>
      <c r="N186" s="32" t="inlineStr">
        <is>
          <t>ข้อ 53 Mock Musculo RxCU84</t>
        </is>
      </c>
      <c r="O186" s="32" t="inlineStr">
        <is>
          <t>Mock</t>
        </is>
      </c>
      <c r="P186" s="32" t="inlineStr">
        <is>
          <t>Mock RxCU84</t>
        </is>
      </c>
    </row>
    <row r="187" ht="409.6" customHeight="1" s="49">
      <c r="A187" s="32" t="n">
        <v>185</v>
      </c>
      <c r="B187"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32" t="n"/>
      <c r="D187" s="32" t="inlineStr">
        <is>
          <t>แนะนำอย่างยิ่งให้ใช้ทุกราย</t>
        </is>
      </c>
      <c r="E187" s="32" t="inlineStr">
        <is>
          <t>ใช้แทน NSAIDs ได้</t>
        </is>
      </c>
      <c r="F187" s="32" t="inlineStr">
        <is>
          <t>ใช้รักษา RA</t>
        </is>
      </c>
      <c r="G187" s="32" t="inlineStr">
        <is>
          <t>ใช้ป้องกันกระดูกหัก</t>
        </is>
      </c>
      <c r="H187" s="32" t="inlineStr">
        <is>
          <t>ไม่แนะนำให้ใช้</t>
        </is>
      </c>
      <c r="I187" s="32" t="n">
        <v>5</v>
      </c>
      <c r="J187" s="32"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32" t="n"/>
      <c r="L187" s="32" t="inlineStr">
        <is>
          <t>Osteoarthritis</t>
        </is>
      </c>
      <c r="M187" s="32" t="inlineStr">
        <is>
          <t>Clinic</t>
        </is>
      </c>
      <c r="N187" s="32" t="inlineStr">
        <is>
          <t>ข้อ 54 Mock Musculo RxCU84</t>
        </is>
      </c>
      <c r="O187" s="32" t="inlineStr">
        <is>
          <t>Mock</t>
        </is>
      </c>
      <c r="P187" s="32" t="inlineStr">
        <is>
          <t>Mock RxCU84</t>
        </is>
      </c>
    </row>
    <row r="188" ht="409.6" customHeight="1" s="49">
      <c r="A188" s="32" t="n">
        <v>186</v>
      </c>
      <c r="B188"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32" t="n"/>
      <c r="D188" s="32" t="inlineStr">
        <is>
          <t>Alendronate</t>
        </is>
      </c>
      <c r="E188" s="32" t="inlineStr">
        <is>
          <t>Raloxifene</t>
        </is>
      </c>
      <c r="F188" s="32" t="inlineStr">
        <is>
          <t>Estrogen</t>
        </is>
      </c>
      <c r="G188" s="32" t="inlineStr">
        <is>
          <t>Calcitonin</t>
        </is>
      </c>
      <c r="H188" s="32" t="inlineStr">
        <is>
          <t>Calcium</t>
        </is>
      </c>
      <c r="I188" s="32" t="n">
        <v>1</v>
      </c>
      <c r="J188" s="32"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32" t="n"/>
      <c r="L188" s="32" t="inlineStr">
        <is>
          <t>Osteoporosis</t>
        </is>
      </c>
      <c r="M188" s="32" t="inlineStr">
        <is>
          <t>Clinic</t>
        </is>
      </c>
      <c r="N188" s="32" t="inlineStr">
        <is>
          <t>ข้อ 55 Mock Musculo RxCU84</t>
        </is>
      </c>
      <c r="O188" s="32" t="inlineStr">
        <is>
          <t>Mock</t>
        </is>
      </c>
      <c r="P188" s="32" t="inlineStr">
        <is>
          <t>Mock RxCU84</t>
        </is>
      </c>
    </row>
    <row r="189" ht="409.6" customHeight="1" s="49">
      <c r="A189" s="32" t="n">
        <v>187</v>
      </c>
      <c r="B189"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32" t="n"/>
      <c r="D189" s="32" t="inlineStr">
        <is>
          <t>กินหลังอาหารทันที</t>
        </is>
      </c>
      <c r="E189" s="32" t="inlineStr">
        <is>
          <t>กินก่อนนอน</t>
        </is>
      </c>
      <c r="F189" s="32" t="inlineStr">
        <is>
          <t>กินตอนเช้าขณะท้องว่าง ดื่มน้ำเปล่าเต็มแก้ว และตั้งตรง 30 นาที</t>
        </is>
      </c>
      <c r="G189" s="32" t="inlineStr">
        <is>
          <t>เคี้ยวให้ละเอียดก่อนกลืน</t>
        </is>
      </c>
      <c r="H189" s="32" t="inlineStr">
        <is>
          <t>กินพร้อมนม</t>
        </is>
      </c>
      <c r="I189" s="32" t="n">
        <v>3</v>
      </c>
      <c r="J189" s="32"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32" t="n"/>
      <c r="L189" s="32" t="inlineStr">
        <is>
          <t>Osteoporosis</t>
        </is>
      </c>
      <c r="M189" s="32" t="inlineStr">
        <is>
          <t>Clinic</t>
        </is>
      </c>
      <c r="N189" s="32" t="inlineStr">
        <is>
          <t>ข้อ 56 Mock Musculo RxCU84</t>
        </is>
      </c>
      <c r="O189" s="32" t="inlineStr">
        <is>
          <t>Mock</t>
        </is>
      </c>
      <c r="P189" s="32" t="inlineStr">
        <is>
          <t>Mock RxCU84</t>
        </is>
      </c>
    </row>
    <row r="190" ht="409.6" customHeight="1" s="49">
      <c r="A190" s="32" t="n">
        <v>188</v>
      </c>
      <c r="B190"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32" t="n"/>
      <c r="D190" s="32" t="inlineStr">
        <is>
          <t>Ca 500 mg, Vit D 400 IU</t>
        </is>
      </c>
      <c r="E190" s="32" t="inlineStr">
        <is>
          <t>Ca 1200 mg, Vit D 800-1000 IU</t>
        </is>
      </c>
      <c r="F190" s="32" t="inlineStr">
        <is>
          <t>Ca 2000 mg, Vit D 2000 IU</t>
        </is>
      </c>
      <c r="G190" s="32" t="inlineStr">
        <is>
          <t>Ca 800 mg, Vit D 400 IU</t>
        </is>
      </c>
      <c r="H190" s="32" t="inlineStr">
        <is>
          <t>Ca 1500 mg, Vit D 400 IU</t>
        </is>
      </c>
      <c r="I190" s="32" t="n">
        <v>2</v>
      </c>
      <c r="J190" s="32"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32" t="n"/>
      <c r="L190" s="32" t="inlineStr">
        <is>
          <t>Osteoporosis</t>
        </is>
      </c>
      <c r="M190" s="32" t="inlineStr">
        <is>
          <t>Clinic</t>
        </is>
      </c>
      <c r="N190" s="32" t="inlineStr">
        <is>
          <t>ข้อ 57 Mock Musculo RxCU84</t>
        </is>
      </c>
      <c r="O190" s="32" t="inlineStr">
        <is>
          <t>Mock</t>
        </is>
      </c>
      <c r="P190" s="32" t="inlineStr">
        <is>
          <t>Mock RxCU84</t>
        </is>
      </c>
    </row>
    <row r="191" ht="409.6" customHeight="1" s="49">
      <c r="A191" s="32" t="n">
        <v>189</v>
      </c>
      <c r="B191"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32" t="n"/>
      <c r="D191" s="32" t="inlineStr">
        <is>
          <t>กระตุ้น Osteoblast</t>
        </is>
      </c>
      <c r="E191" s="32" t="inlineStr">
        <is>
          <t>ยับยั้ง RANKL</t>
        </is>
      </c>
      <c r="F191" s="32" t="inlineStr">
        <is>
          <t>ยับยั้งการทำงานของ Osteoclast ชักนำให้เกิด Apoptosis</t>
        </is>
      </c>
      <c r="G191" s="32" t="inlineStr">
        <is>
          <t>เป็นฮอร์โมนทดแทน</t>
        </is>
      </c>
      <c r="H191" s="32" t="inlineStr">
        <is>
          <t>จับกับแคลเซียมในลำไส้ เฉลย</t>
        </is>
      </c>
      <c r="I191" s="32" t="n">
        <v>3</v>
      </c>
      <c r="J191" s="32"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32" t="n"/>
      <c r="L191" s="32" t="inlineStr">
        <is>
          <t>Osteoporosis</t>
        </is>
      </c>
      <c r="M191" s="32" t="inlineStr">
        <is>
          <t>Clinic</t>
        </is>
      </c>
      <c r="N191" s="32" t="inlineStr">
        <is>
          <t>ข้อ 58 Mock Musculo RxCU84</t>
        </is>
      </c>
      <c r="O191" s="32" t="inlineStr">
        <is>
          <t>Mock</t>
        </is>
      </c>
      <c r="P191" s="32" t="inlineStr">
        <is>
          <t>Mock RxCU84</t>
        </is>
      </c>
    </row>
    <row r="192" ht="409.6" customHeight="1" s="49">
      <c r="A192" s="32" t="n">
        <v>190</v>
      </c>
      <c r="B192"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32" t="n"/>
      <c r="D192" s="32" t="inlineStr">
        <is>
          <t>ยับยั้ง Osteoclast โดยตรง</t>
        </is>
      </c>
      <c r="E192" s="32" t="inlineStr">
        <is>
          <t>เป็น Monoclonal antibody ต่อ RANKL</t>
        </is>
      </c>
      <c r="F192" s="32" t="inlineStr">
        <is>
          <t>กระตุ้น PTH receptor</t>
        </is>
      </c>
      <c r="G192" s="32" t="inlineStr">
        <is>
          <t>SERM</t>
        </is>
      </c>
      <c r="H192" s="32" t="inlineStr">
        <is>
          <t>แคลเซียมสังเคราะห์</t>
        </is>
      </c>
      <c r="I192" s="32" t="n">
        <v>2</v>
      </c>
      <c r="J192" s="32"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32" t="n"/>
      <c r="L192" s="32" t="inlineStr">
        <is>
          <t>Osteoporosis</t>
        </is>
      </c>
      <c r="M192" s="32" t="inlineStr">
        <is>
          <t>Clinic</t>
        </is>
      </c>
      <c r="N192" s="32" t="inlineStr">
        <is>
          <t>ข้อ 59 Mock Musculo RxCU84</t>
        </is>
      </c>
      <c r="O192" s="32" t="inlineStr">
        <is>
          <t>Mock</t>
        </is>
      </c>
      <c r="P192" s="32" t="inlineStr">
        <is>
          <t>Mock RxCU84</t>
        </is>
      </c>
    </row>
    <row r="193" ht="409.6" customHeight="1" s="49">
      <c r="A193" s="32" t="n">
        <v>191</v>
      </c>
      <c r="B193"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32" t="n"/>
      <c r="D193" s="32" t="inlineStr">
        <is>
          <t>ผู้ป่วยมีภาวะความดันสูง</t>
        </is>
      </c>
      <c r="E193" s="32" t="inlineStr">
        <is>
          <t>ผู้ป่วยมีประวัติมะเร็ง (NSCLC) อาจเสี่ยงต่อ Osteosarcoma หรือ Bone mets</t>
        </is>
      </c>
      <c r="F193" s="32" t="inlineStr">
        <is>
          <t>ผู้ป่วยเป็นเบาหวาน</t>
        </is>
      </c>
      <c r="G193" s="32" t="inlineStr">
        <is>
          <t>ผู้ป่วยไม่มีกระดูกหัก</t>
        </is>
      </c>
      <c r="H193" s="32" t="inlineStr">
        <is>
          <t>ยาราคาแพง</t>
        </is>
      </c>
      <c r="I193" s="32" t="n">
        <v>2</v>
      </c>
      <c r="J193" s="32"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32" t="n"/>
      <c r="L193" s="32" t="inlineStr">
        <is>
          <t>Osteoporosis</t>
        </is>
      </c>
      <c r="M193" s="32" t="inlineStr">
        <is>
          <t>Clinic</t>
        </is>
      </c>
      <c r="N193" s="32" t="inlineStr">
        <is>
          <t>ข้อ 60 Mock Musculo RxCU84</t>
        </is>
      </c>
      <c r="O193" s="32" t="inlineStr">
        <is>
          <t>Mock</t>
        </is>
      </c>
      <c r="P193" s="32" t="inlineStr">
        <is>
          <t>Mock RxCU84</t>
        </is>
      </c>
    </row>
    <row r="194" ht="409.6" customHeight="1" s="49">
      <c r="A194" s="32" t="n">
        <v>192</v>
      </c>
      <c r="B194"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32" t="n"/>
      <c r="D194" s="32" t="inlineStr">
        <is>
          <t>ป้องกันได้เฉพาะ Vertebral fracture และมีประวัติมะเร็ง/อาจเสี่ยง VTE</t>
        </is>
      </c>
      <c r="E194" s="32" t="inlineStr">
        <is>
          <t>ทำให้มวลกระดูกลดลง</t>
        </is>
      </c>
      <c r="F194" s="32" t="inlineStr">
        <is>
          <t>ระคายเคืองกระเพาะอาหาร</t>
        </is>
      </c>
      <c r="G194" s="32" t="inlineStr">
        <is>
          <t>ต้องฉีดเข้าเส้น</t>
        </is>
      </c>
      <c r="H194" s="32" t="inlineStr">
        <is>
          <t>ห้ามใช้ในคนแก่</t>
        </is>
      </c>
      <c r="I194" s="32" t="n">
        <v>1</v>
      </c>
      <c r="J194" s="32"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32" t="n"/>
      <c r="L194" s="32" t="inlineStr">
        <is>
          <t>Osteoporosis</t>
        </is>
      </c>
      <c r="M194" s="32" t="inlineStr">
        <is>
          <t>Clinic</t>
        </is>
      </c>
      <c r="N194" s="32" t="inlineStr">
        <is>
          <t>ข้อ 61 Mock Musculo RxCU84</t>
        </is>
      </c>
      <c r="O194" s="32" t="inlineStr">
        <is>
          <t>Mock</t>
        </is>
      </c>
      <c r="P194" s="32" t="inlineStr">
        <is>
          <t>Mock RxCU84</t>
        </is>
      </c>
    </row>
    <row r="195" ht="409.6" customHeight="1" s="49">
      <c r="A195" s="32" t="n">
        <v>193</v>
      </c>
      <c r="B195"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32" t="n"/>
      <c r="D195" s="32" t="inlineStr">
        <is>
          <t>1 ปี</t>
        </is>
      </c>
      <c r="E195" s="32" t="inlineStr">
        <is>
          <t>3-5 ปี</t>
        </is>
      </c>
      <c r="F195" s="32" t="inlineStr">
        <is>
          <t>10 ปี</t>
        </is>
      </c>
      <c r="G195" s="32" t="inlineStr">
        <is>
          <t>ตลอดชีวิต</t>
        </is>
      </c>
      <c r="H195" s="32" t="inlineStr">
        <is>
          <t>6 เดือน</t>
        </is>
      </c>
      <c r="I195" s="32" t="n">
        <v>2</v>
      </c>
      <c r="J195" s="32"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32" t="n"/>
      <c r="L195" s="32" t="inlineStr">
        <is>
          <t>Osteoporosis</t>
        </is>
      </c>
      <c r="M195" s="32" t="inlineStr">
        <is>
          <t>Clinic</t>
        </is>
      </c>
      <c r="N195" s="32" t="inlineStr">
        <is>
          <t>ข้อ 62 Mock Musculo RxCU84</t>
        </is>
      </c>
      <c r="O195" s="32" t="inlineStr">
        <is>
          <t>Mock</t>
        </is>
      </c>
      <c r="P195" s="32" t="inlineStr">
        <is>
          <t>Mock RxCU84</t>
        </is>
      </c>
    </row>
    <row r="196" ht="409.6" customHeight="1" s="49">
      <c r="A196" s="32" t="n">
        <v>194</v>
      </c>
      <c r="B196"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32" t="n"/>
      <c r="D196" s="32" t="inlineStr">
        <is>
          <t>T-score ≤ -1.0</t>
        </is>
      </c>
      <c r="E196" s="32" t="inlineStr">
        <is>
          <t>T-score ≤ -2.0</t>
        </is>
      </c>
      <c r="F196" s="32" t="inlineStr">
        <is>
          <t>T-score ≤ -2.5</t>
        </is>
      </c>
      <c r="G196" s="32" t="inlineStr">
        <is>
          <t>T-score &gt; -1.0</t>
        </is>
      </c>
      <c r="H196" s="32" t="inlineStr">
        <is>
          <t>T-score = 0</t>
        </is>
      </c>
      <c r="I196" s="32" t="n">
        <v>3</v>
      </c>
      <c r="J196" s="32"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32" t="n"/>
      <c r="L196" s="32" t="inlineStr">
        <is>
          <t>Osteoporosis</t>
        </is>
      </c>
      <c r="M196" s="32" t="inlineStr">
        <is>
          <t>Clinic</t>
        </is>
      </c>
      <c r="N196" s="32" t="inlineStr">
        <is>
          <t>ข้อ 63 Mock Musculo RxCU84</t>
        </is>
      </c>
      <c r="O196" s="32" t="inlineStr">
        <is>
          <t>Mock</t>
        </is>
      </c>
      <c r="P196" s="32" t="inlineStr">
        <is>
          <t>Mock RxCU84</t>
        </is>
      </c>
    </row>
    <row r="197" ht="409.6" customHeight="1" s="49">
      <c r="A197" s="32" t="n">
        <v>195</v>
      </c>
      <c r="B197"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32" t="n"/>
      <c r="D197" s="32" t="inlineStr">
        <is>
          <t>SJS/TEN</t>
        </is>
      </c>
      <c r="E197" s="32" t="inlineStr">
        <is>
          <t>Osteonecrosis of the jaw (ONJ) และ Atypical femur fracture (AFF)</t>
        </is>
      </c>
      <c r="F197" s="32" t="inlineStr">
        <is>
          <t>รังไข่ฝ่อ</t>
        </is>
      </c>
      <c r="G197" s="32" t="inlineStr">
        <is>
          <t>เลือดออกในสมอง</t>
        </is>
      </c>
      <c r="H197" s="32" t="inlineStr">
        <is>
          <t>ไตวายเฉียบพลัน</t>
        </is>
      </c>
      <c r="I197" s="32" t="n">
        <v>2</v>
      </c>
      <c r="J197" s="32"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32" t="n"/>
      <c r="L197" s="32" t="inlineStr">
        <is>
          <t>Osteoporosis</t>
        </is>
      </c>
      <c r="M197" s="32" t="inlineStr">
        <is>
          <t>Clinic</t>
        </is>
      </c>
      <c r="N197" s="32" t="inlineStr">
        <is>
          <t>ข้อ 64 Mock Musculo RxCU84</t>
        </is>
      </c>
      <c r="O197" s="32" t="inlineStr">
        <is>
          <t>Mock</t>
        </is>
      </c>
      <c r="P197" s="32" t="inlineStr">
        <is>
          <t>Mock RxCU84</t>
        </is>
      </c>
    </row>
    <row r="198" ht="409.6" customHeight="1" s="49">
      <c r="A198" s="32" t="n">
        <v>196</v>
      </c>
      <c r="B198"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32" t="n"/>
      <c r="D198" s="32" t="inlineStr">
        <is>
          <t>Raloxifene</t>
        </is>
      </c>
      <c r="E198" s="32" t="inlineStr">
        <is>
          <t>Alendronate</t>
        </is>
      </c>
      <c r="F198" s="32" t="inlineStr">
        <is>
          <t>Calcium เดี่ยว ๆ</t>
        </is>
      </c>
      <c r="G198" s="32" t="inlineStr">
        <is>
          <t>Estrogen</t>
        </is>
      </c>
      <c r="H198" s="32" t="inlineStr">
        <is>
          <t>Teriparatide</t>
        </is>
      </c>
      <c r="I198" s="32" t="n">
        <v>2</v>
      </c>
      <c r="J198" s="32"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32" t="n"/>
      <c r="L198" s="32" t="inlineStr">
        <is>
          <t>Osteoporosis</t>
        </is>
      </c>
      <c r="M198" s="32" t="inlineStr">
        <is>
          <t>Clinic</t>
        </is>
      </c>
      <c r="N198" s="32" t="inlineStr">
        <is>
          <t>ข้อ 65 Mock Musculo RxCU84</t>
        </is>
      </c>
      <c r="O198" s="32" t="inlineStr">
        <is>
          <t>Mock</t>
        </is>
      </c>
      <c r="P198" s="32" t="inlineStr">
        <is>
          <t>Mock RxCU84</t>
        </is>
      </c>
    </row>
    <row r="199" ht="409.6" customHeight="1" s="49">
      <c r="A199" s="32" t="n">
        <v>197</v>
      </c>
      <c r="B199"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32" t="n"/>
      <c r="D199" s="32" t="inlineStr">
        <is>
          <t>มีประวัติมะเร็ง เสี่ยง osteosarcoma</t>
        </is>
      </c>
      <c r="E199" s="32" t="inlineStr">
        <is>
          <t>ผู้ป่วยเป็นเบาหวาน</t>
        </is>
      </c>
      <c r="F199" s="32" t="inlineStr">
        <is>
          <t>ยาราคาถูก</t>
        </is>
      </c>
      <c r="G199" s="32" t="inlineStr">
        <is>
          <t>การทำงานของไตปกติ</t>
        </is>
      </c>
      <c r="H199" s="32" t="inlineStr">
        <is>
          <t>ไม่มีกระดูกหัก</t>
        </is>
      </c>
      <c r="I199" s="32" t="n">
        <v>1</v>
      </c>
      <c r="J199" s="32"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32" t="n"/>
      <c r="L199" s="32" t="inlineStr">
        <is>
          <t>Osteoporosis</t>
        </is>
      </c>
      <c r="M199" s="32" t="inlineStr">
        <is>
          <t>Clinic</t>
        </is>
      </c>
      <c r="N199" s="32" t="inlineStr">
        <is>
          <t>ข้อ 66 Mock Musculo RxCU84</t>
        </is>
      </c>
      <c r="O199" s="32" t="inlineStr">
        <is>
          <t>Mock</t>
        </is>
      </c>
      <c r="P199" s="32" t="inlineStr">
        <is>
          <t>Mock RxCU84</t>
        </is>
      </c>
    </row>
    <row r="200" ht="409.6" customHeight="1" s="49">
      <c r="A200" s="32" t="n">
        <v>198</v>
      </c>
      <c r="B200"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32" t="n"/>
      <c r="D200" s="32" t="inlineStr">
        <is>
          <t>NSAIDs ขนาดสูงต่อเนื่องเป็นหลัก</t>
        </is>
      </c>
      <c r="E200" s="32" t="inlineStr">
        <is>
          <t>Colchicine</t>
        </is>
      </c>
      <c r="F200" s="32" t="inlineStr">
        <is>
          <t>Opioid ตามบันได WHO ร่วมกับ paracetamol เลี่ยง NSAIDs</t>
        </is>
      </c>
      <c r="G200" s="32" t="inlineStr">
        <is>
          <t>Allopurinol</t>
        </is>
      </c>
      <c r="H200" s="32" t="inlineStr">
        <is>
          <t>งดยาแก้ปวดทุกชนิด</t>
        </is>
      </c>
      <c r="I200" s="32" t="n">
        <v>3</v>
      </c>
      <c r="J200" s="32"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32" t="n"/>
      <c r="L200" s="32" t="inlineStr">
        <is>
          <t>Osteoporosis</t>
        </is>
      </c>
      <c r="M200" s="32" t="inlineStr">
        <is>
          <t>Clinic</t>
        </is>
      </c>
      <c r="N200" s="32" t="inlineStr">
        <is>
          <t>ข้อ 67 Mock Musculo RxCU84</t>
        </is>
      </c>
      <c r="O200" s="32" t="inlineStr">
        <is>
          <t>Mock</t>
        </is>
      </c>
      <c r="P200" s="32" t="inlineStr">
        <is>
          <t>Mock RxCU84</t>
        </is>
      </c>
    </row>
    <row r="201" ht="409.6" customHeight="1" s="49">
      <c r="A201" s="32" t="n">
        <v>199</v>
      </c>
      <c r="B201"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32" t="n"/>
      <c r="D201" s="32" t="inlineStr">
        <is>
          <t>เพิ่มระดับแคลเซียมในเลือด</t>
        </is>
      </c>
      <c r="E201" s="32" t="inlineStr">
        <is>
          <t>กระตุ้นการทำงานของ osteoclast</t>
        </is>
      </c>
      <c r="F201" s="32" t="inlineStr">
        <is>
          <t>เป็นยาหลักระยะยาวแทน bisphosphonate</t>
        </is>
      </c>
      <c r="G201" s="32" t="inlineStr">
        <is>
          <t>ไม่มีฤทธิ์ลดปวด</t>
        </is>
      </c>
      <c r="H201" s="32" t="inlineStr">
        <is>
          <t>ช่วยลดปวดระยะสั้นจากกระดูกสันหลังยุบ</t>
        </is>
      </c>
      <c r="I201" s="32" t="n">
        <v>5</v>
      </c>
      <c r="J201" s="32"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32" t="n"/>
      <c r="L201" s="32" t="inlineStr">
        <is>
          <t>Osteoporosis</t>
        </is>
      </c>
      <c r="M201" s="32" t="inlineStr">
        <is>
          <t>Clinic</t>
        </is>
      </c>
      <c r="N201" s="32" t="inlineStr">
        <is>
          <t>ข้อ 68 Mock Musculo RxCU84</t>
        </is>
      </c>
      <c r="O201" s="32" t="inlineStr">
        <is>
          <t>Mock</t>
        </is>
      </c>
      <c r="P201" s="32" t="inlineStr">
        <is>
          <t>Mock RxCU84</t>
        </is>
      </c>
    </row>
    <row r="202" ht="409.6" customHeight="1" s="49">
      <c r="A202" s="32" t="n">
        <v>200</v>
      </c>
      <c r="B202"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32" t="n"/>
      <c r="D202" s="32" t="inlineStr">
        <is>
          <t>SJS/TEN</t>
        </is>
      </c>
      <c r="E202" s="32" t="inlineStr">
        <is>
          <t>ไตวายเฉียบพลัน</t>
        </is>
      </c>
      <c r="F202" s="32" t="inlineStr">
        <is>
          <t>หัวใจเต้นผิดจังหวะ</t>
        </is>
      </c>
      <c r="G202" s="32" t="inlineStr">
        <is>
          <t>Osteonecrosis of the jaw และ atypical femur fracture</t>
        </is>
      </c>
      <c r="H202" s="32" t="inlineStr">
        <is>
          <t>ต้อกระจก</t>
        </is>
      </c>
      <c r="I202" s="32" t="n">
        <v>4</v>
      </c>
      <c r="J202" s="32"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32" t="n"/>
      <c r="L202" s="32" t="inlineStr">
        <is>
          <t>Osteoporosis</t>
        </is>
      </c>
      <c r="M202" s="32" t="inlineStr">
        <is>
          <t>Clinic</t>
        </is>
      </c>
      <c r="N202" s="32" t="inlineStr">
        <is>
          <t>ข้อ 69 Mock Musculo RxCU84</t>
        </is>
      </c>
      <c r="O202" s="32" t="inlineStr">
        <is>
          <t>Mock</t>
        </is>
      </c>
      <c r="P202" s="32" t="inlineStr">
        <is>
          <t>Mock RxCU84</t>
        </is>
      </c>
    </row>
    <row r="203" ht="409.6" customHeight="1" s="49">
      <c r="A203" s="32" t="n">
        <v>201</v>
      </c>
      <c r="B203"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32" t="n"/>
      <c r="D203" s="32" t="inlineStr">
        <is>
          <t>การคำนวณยา Infliximab ต่อน้ำหนักตัวผิดพลาด</t>
        </is>
      </c>
      <c r="E203" s="32" t="inlineStr">
        <is>
          <t>สั่ง MTX กินทุกวันแทนที่จะเป็นสัปดาห์ละครั้ง</t>
        </is>
      </c>
      <c r="F203" s="32" t="inlineStr">
        <is>
          <t>ให้ Folic acid ที่มีขนาดน้อยเกินไป</t>
        </is>
      </c>
      <c r="G203" s="32" t="inlineStr">
        <is>
          <t>การที่ Prednisolone ให้รับประทานหลังอาหารทำให้ยาดูดซึมไม่ดี</t>
        </is>
      </c>
      <c r="H203" s="32" t="inlineStr">
        <is>
          <t>การบริหาร NSS 0.9% มีอัตราเร็วจนเกินไป ก่อให้เกิดอาการบวมน้ำ</t>
        </is>
      </c>
      <c r="I203" s="32" t="n">
        <v>2</v>
      </c>
      <c r="J203" s="32"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32" t="n"/>
      <c r="L203" s="32" t="inlineStr">
        <is>
          <t>Rheumatoid Arthritis</t>
        </is>
      </c>
      <c r="M203" s="32" t="inlineStr">
        <is>
          <t>Clinic</t>
        </is>
      </c>
      <c r="N203" s="32" t="inlineStr">
        <is>
          <t>ข้อ 70 Mock Musculo RxCU84</t>
        </is>
      </c>
      <c r="O203" s="32" t="inlineStr">
        <is>
          <t>Mock</t>
        </is>
      </c>
      <c r="P203" s="32" t="inlineStr">
        <is>
          <t>Mock RxCU84</t>
        </is>
      </c>
    </row>
    <row r="204" ht="409.6" customHeight="1" s="49">
      <c r="A204" s="32" t="n">
        <v>202</v>
      </c>
      <c r="B204"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32" t="n"/>
      <c r="D204" s="32" t="inlineStr">
        <is>
          <t>CBC ที่ต่ำเกินไป</t>
        </is>
      </c>
      <c r="E204" s="32" t="inlineStr">
        <is>
          <t>WBC ที่สูงเกินไป</t>
        </is>
      </c>
      <c r="F204" s="32" t="inlineStr">
        <is>
          <t>ค่า LDL-C ที่สูงขึ้น</t>
        </is>
      </c>
      <c r="G204" s="32" t="inlineStr">
        <is>
          <t>อาการเวียนศรีษะและหมดสติ</t>
        </is>
      </c>
      <c r="H204" s="32" t="inlineStr">
        <is>
          <t>ไม่มีข้อใดถูกต้อง</t>
        </is>
      </c>
      <c r="I204" s="32" t="n">
        <v>1</v>
      </c>
      <c r="J204" s="32"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32" t="n"/>
      <c r="L204" s="32" t="inlineStr">
        <is>
          <t>Rheumatoid Arthritis</t>
        </is>
      </c>
      <c r="M204" s="32" t="inlineStr">
        <is>
          <t>Clinic</t>
        </is>
      </c>
      <c r="N204" s="32" t="inlineStr">
        <is>
          <t>ข้อ 71 Mock Musculo RxCU84</t>
        </is>
      </c>
      <c r="O204" s="32" t="inlineStr">
        <is>
          <t>Mock</t>
        </is>
      </c>
      <c r="P204" s="32" t="inlineStr">
        <is>
          <t>Mock RxCU84</t>
        </is>
      </c>
    </row>
    <row r="205" ht="409.6" customHeight="1" s="49">
      <c r="A205" s="32" t="n">
        <v>203</v>
      </c>
      <c r="B205"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32" t="n"/>
      <c r="D205" s="32" t="inlineStr">
        <is>
          <t>Retinopathy</t>
        </is>
      </c>
      <c r="E205" s="32" t="inlineStr">
        <is>
          <t>ไขกระดูกฝ่อ (Bone marrow suppression)</t>
        </is>
      </c>
      <c r="F205" s="32" t="inlineStr">
        <is>
          <t>SJS/TEN</t>
        </is>
      </c>
      <c r="G205" s="32" t="inlineStr">
        <is>
          <t>QT Prolongation</t>
        </is>
      </c>
      <c r="H205" s="32" t="inlineStr">
        <is>
          <t>ผมร่วงอย่างรุนแรง</t>
        </is>
      </c>
      <c r="I205" s="32" t="n">
        <v>2</v>
      </c>
      <c r="J205" s="32"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32" t="n"/>
      <c r="L205" s="32" t="inlineStr">
        <is>
          <t>Rheumatoid Arthritis</t>
        </is>
      </c>
      <c r="M205" s="32" t="inlineStr">
        <is>
          <t>Clinic</t>
        </is>
      </c>
      <c r="N205" s="32" t="inlineStr">
        <is>
          <t>ข้อ 72 Mock Musculo RxCU84</t>
        </is>
      </c>
      <c r="O205" s="32" t="inlineStr">
        <is>
          <t>Mock</t>
        </is>
      </c>
      <c r="P205" s="32" t="inlineStr">
        <is>
          <t>Mock RxCU84</t>
        </is>
      </c>
    </row>
    <row r="206" ht="409.6" customHeight="1" s="49">
      <c r="A206" s="32" t="n">
        <v>204</v>
      </c>
      <c r="B206"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32" t="n"/>
      <c r="D206" s="32" t="inlineStr">
        <is>
          <t>N-acetylcysteine</t>
        </is>
      </c>
      <c r="E206" s="32" t="inlineStr">
        <is>
          <t>Flumazenil</t>
        </is>
      </c>
      <c r="F206" s="32" t="inlineStr">
        <is>
          <t>Leucovorin (Folinic acid)</t>
        </is>
      </c>
      <c r="G206" s="32" t="inlineStr">
        <is>
          <t>Vitamin K</t>
        </is>
      </c>
      <c r="H206" s="32" t="inlineStr">
        <is>
          <t>Protamine sulfate</t>
        </is>
      </c>
      <c r="I206" s="32" t="n">
        <v>3</v>
      </c>
      <c r="J206" s="32"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32" t="n"/>
      <c r="L206" s="32" t="inlineStr">
        <is>
          <t>Rheumatoid Arthritis</t>
        </is>
      </c>
      <c r="M206" s="32" t="inlineStr">
        <is>
          <t>Clinic</t>
        </is>
      </c>
      <c r="N206" s="32" t="inlineStr">
        <is>
          <t>ข้อ 73 Mock Musculo RxCU84</t>
        </is>
      </c>
      <c r="O206" s="32" t="inlineStr">
        <is>
          <t>Mock</t>
        </is>
      </c>
      <c r="P206" s="32" t="inlineStr">
        <is>
          <t>Mock RxCU84</t>
        </is>
      </c>
    </row>
    <row r="207" ht="409.6" customHeight="1" s="49">
      <c r="A207" s="32" t="n">
        <v>205</v>
      </c>
      <c r="B207"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32" t="n"/>
      <c r="D207" s="32" t="inlineStr">
        <is>
          <t>เพิ่มฤทธิ์ยา MTX</t>
        </is>
      </c>
      <c r="E207" s="32" t="inlineStr">
        <is>
          <t>ลดการเกิดไขกระดูกฝ่อ</t>
        </is>
      </c>
      <c r="F207" s="32" t="inlineStr">
        <is>
          <t>ลดผลข้างเคียงทางระบบทางเดินอาหารและแผลในปาก (GI/Mucositis)</t>
        </is>
      </c>
      <c r="G207" s="32" t="inlineStr">
        <is>
          <t>บำรุงครรภ์</t>
        </is>
      </c>
      <c r="H207" s="32" t="inlineStr">
        <is>
          <t>ป้องกันตับวาย</t>
        </is>
      </c>
      <c r="I207" s="32" t="n">
        <v>3</v>
      </c>
      <c r="J207" s="32"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32" t="n"/>
      <c r="L207" s="32" t="inlineStr">
        <is>
          <t>Rheumatoid Arthritis</t>
        </is>
      </c>
      <c r="M207" s="32" t="inlineStr">
        <is>
          <t>Clinic</t>
        </is>
      </c>
      <c r="N207" s="32" t="inlineStr">
        <is>
          <t>ข้อ 74 Mock Musculo RxCU84</t>
        </is>
      </c>
      <c r="O207" s="32" t="inlineStr">
        <is>
          <t>Mock</t>
        </is>
      </c>
      <c r="P207" s="32" t="inlineStr">
        <is>
          <t>Mock RxCU84</t>
        </is>
      </c>
    </row>
    <row r="208" ht="409.6" customHeight="1" s="49">
      <c r="A208" s="32" t="n">
        <v>206</v>
      </c>
      <c r="B208"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32" t="n"/>
      <c r="D208" s="32" t="inlineStr">
        <is>
          <t>ยับยั้ง COX-2</t>
        </is>
      </c>
      <c r="E208" s="32" t="inlineStr">
        <is>
          <t>ยับยั้ง Xanthine oxidase</t>
        </is>
      </c>
      <c r="F208" s="32" t="inlineStr">
        <is>
          <t>ยับยั้ง Dihydrofolate reductase (DHFR)</t>
        </is>
      </c>
      <c r="G208" s="32" t="inlineStr">
        <is>
          <t>ยับยั้ง TNF-alpha</t>
        </is>
      </c>
      <c r="H208" s="32" t="inlineStr">
        <is>
          <t>ยับยั้ง CD20</t>
        </is>
      </c>
      <c r="I208" s="32" t="n">
        <v>3</v>
      </c>
      <c r="J208" s="32"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32" t="n"/>
      <c r="L208" s="32" t="inlineStr">
        <is>
          <t>Rheumatoid Arthritis</t>
        </is>
      </c>
      <c r="M208" s="32" t="inlineStr">
        <is>
          <t>Clinic</t>
        </is>
      </c>
      <c r="N208" s="32" t="inlineStr">
        <is>
          <t>ข้อ 75 Mock Musculo RxCU84</t>
        </is>
      </c>
      <c r="O208" s="32" t="inlineStr">
        <is>
          <t>Mock</t>
        </is>
      </c>
      <c r="P208" s="32" t="inlineStr">
        <is>
          <t>Mock RxCU84</t>
        </is>
      </c>
    </row>
    <row r="209" ht="409.6" customHeight="1" s="49">
      <c r="A209" s="32" t="n">
        <v>207</v>
      </c>
      <c r="B209"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32" t="n"/>
      <c r="D209" s="32" t="inlineStr">
        <is>
          <t>HIV</t>
        </is>
      </c>
      <c r="E209" s="32" t="inlineStr">
        <is>
          <t>Syphilis</t>
        </is>
      </c>
      <c r="F209" s="32" t="inlineStr">
        <is>
          <t>Tuberculosis (TB) และ Hepatitis B/C</t>
        </is>
      </c>
      <c r="G209" s="32" t="inlineStr">
        <is>
          <t>Malaria</t>
        </is>
      </c>
      <c r="H209" s="32" t="inlineStr">
        <is>
          <t>COVID-19</t>
        </is>
      </c>
      <c r="I209" s="32" t="n">
        <v>3</v>
      </c>
      <c r="J209" s="32"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32" t="n"/>
      <c r="L209" s="32" t="inlineStr">
        <is>
          <t>Rheumatoid Arthritis</t>
        </is>
      </c>
      <c r="M209" s="32" t="inlineStr">
        <is>
          <t>Clinic</t>
        </is>
      </c>
      <c r="N209" s="32" t="inlineStr">
        <is>
          <t>ข้อ 76 Mock Musculo RxCU84</t>
        </is>
      </c>
      <c r="O209" s="32" t="inlineStr">
        <is>
          <t>Mock</t>
        </is>
      </c>
      <c r="P209" s="32" t="inlineStr">
        <is>
          <t>Mock RxCU84</t>
        </is>
      </c>
    </row>
    <row r="210" ht="409.6" customHeight="1" s="49">
      <c r="A210" s="32" t="n">
        <v>208</v>
      </c>
      <c r="B210"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32" t="n"/>
      <c r="D210" s="32" t="inlineStr">
        <is>
          <t>Chimeric Monoclonal Antibody ต่อยับยั้ง TNF-alpha</t>
        </is>
      </c>
      <c r="E210" s="32" t="inlineStr">
        <is>
          <t>Fully human MAb ต่อ TNF-alpha</t>
        </is>
      </c>
      <c r="F210" s="32" t="inlineStr">
        <is>
          <t>IL-6 inhibitor</t>
        </is>
      </c>
      <c r="G210" s="32" t="inlineStr">
        <is>
          <t>CD20 inhibitor</t>
        </is>
      </c>
      <c r="H210" s="32" t="inlineStr">
        <is>
          <t>JAK inhibitor</t>
        </is>
      </c>
      <c r="I210" s="32" t="n">
        <v>1</v>
      </c>
      <c r="J210" s="32"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32" t="n"/>
      <c r="L210" s="32" t="inlineStr">
        <is>
          <t>Rheumatoid Arthritis</t>
        </is>
      </c>
      <c r="M210" s="32" t="inlineStr">
        <is>
          <t>Clinic</t>
        </is>
      </c>
      <c r="N210" s="32" t="inlineStr">
        <is>
          <t>ข้อ 77 Mock Musculo RxCU84</t>
        </is>
      </c>
      <c r="O210" s="32" t="inlineStr">
        <is>
          <t>Mock</t>
        </is>
      </c>
      <c r="P210" s="32" t="inlineStr">
        <is>
          <t>Mock RxCU84</t>
        </is>
      </c>
    </row>
    <row r="211" ht="409.6" customHeight="1" s="49">
      <c r="A211" s="32" t="n">
        <v>209</v>
      </c>
      <c r="B211"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32" t="n"/>
      <c r="D211" s="32" t="inlineStr">
        <is>
          <t>Hypertension crisis</t>
        </is>
      </c>
      <c r="E211" s="32" t="inlineStr">
        <is>
          <t>Infusion-related reaction (ไข้ หนาวสั่น ความดันตก)</t>
        </is>
      </c>
      <c r="F211" s="32" t="inlineStr">
        <is>
          <t>น้ำท่วมปอด</t>
        </is>
      </c>
      <c r="G211" s="32" t="inlineStr">
        <is>
          <t>ไตวายเฉียบพลัน</t>
        </is>
      </c>
      <c r="H211" s="32" t="inlineStr">
        <is>
          <t>หัวใจเต้นผิดจังหวะ</t>
        </is>
      </c>
      <c r="I211" s="32" t="n">
        <v>2</v>
      </c>
      <c r="J211" s="32"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32" t="n"/>
      <c r="L211" s="32" t="inlineStr">
        <is>
          <t>Rheumatoid Arthritis</t>
        </is>
      </c>
      <c r="M211" s="32" t="inlineStr">
        <is>
          <t>Clinic</t>
        </is>
      </c>
      <c r="N211" s="32" t="inlineStr">
        <is>
          <t>ข้อ 78 Mock Musculo RxCU84</t>
        </is>
      </c>
      <c r="O211" s="32" t="inlineStr">
        <is>
          <t>Mock</t>
        </is>
      </c>
      <c r="P211" s="32" t="inlineStr">
        <is>
          <t>Mock RxCU84</t>
        </is>
      </c>
    </row>
    <row r="212" ht="409.6" customHeight="1" s="49">
      <c r="A212" s="32" t="n">
        <v>210</v>
      </c>
      <c r="B212"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32" t="n"/>
      <c r="D212" s="32" t="inlineStr">
        <is>
          <t>วัคซีนเชื้อตาย (Killed vaccine)</t>
        </is>
      </c>
      <c r="E212" s="32" t="inlineStr">
        <is>
          <t>วัคซีน mRNA</t>
        </is>
      </c>
      <c r="F212" s="32" t="inlineStr">
        <is>
          <t>วัคซีนเชื้อเป็นอ่อนฤทธิ์ (Live-attenuated vaccines เช่น MMR, Varicella)</t>
        </is>
      </c>
      <c r="G212" s="32" t="inlineStr">
        <is>
          <t>วัคซีนไวรัสตับอักเสบบี</t>
        </is>
      </c>
      <c r="H212" s="32" t="inlineStr">
        <is>
          <t>Toxoid</t>
        </is>
      </c>
      <c r="I212" s="32" t="n">
        <v>3</v>
      </c>
      <c r="J212" s="32"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32" t="n"/>
      <c r="L212" s="32" t="inlineStr">
        <is>
          <t>Rheumatoid Arthritis</t>
        </is>
      </c>
      <c r="M212" s="32" t="inlineStr">
        <is>
          <t>Clinic</t>
        </is>
      </c>
      <c r="N212" s="32" t="inlineStr">
        <is>
          <t>ข้อ 79 Mock Musculo RxCU84</t>
        </is>
      </c>
      <c r="O212" s="32" t="inlineStr">
        <is>
          <t>Mock</t>
        </is>
      </c>
      <c r="P212" s="32" t="inlineStr">
        <is>
          <t>Mock RxCU84</t>
        </is>
      </c>
    </row>
    <row r="213" ht="409.6" customHeight="1" s="49">
      <c r="A213" s="32" t="n">
        <v>211</v>
      </c>
      <c r="B213"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32" t="n"/>
      <c r="D213" s="32" t="inlineStr">
        <is>
          <t>Osteoarthritis</t>
        </is>
      </c>
      <c r="E213" s="32" t="inlineStr">
        <is>
          <t>Osteoporosis, Hyperglycemia, และ Cushing's syndrome</t>
        </is>
      </c>
      <c r="F213" s="32" t="inlineStr">
        <is>
          <t>Rheumatoid arthritis รุนแรงขึ้น</t>
        </is>
      </c>
      <c r="G213" s="32" t="inlineStr">
        <is>
          <t>Asthma</t>
        </is>
      </c>
      <c r="H213" s="32" t="n"/>
      <c r="I213" s="32" t="n">
        <v>2</v>
      </c>
      <c r="J213" s="32"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32" t="n"/>
      <c r="L213" s="32" t="inlineStr">
        <is>
          <t>Rheumatoid Arthritis</t>
        </is>
      </c>
      <c r="M213" s="32" t="inlineStr">
        <is>
          <t>Clinic</t>
        </is>
      </c>
      <c r="N213" s="32" t="inlineStr">
        <is>
          <t>ข้อ 80 Mock Musculo RxCU84</t>
        </is>
      </c>
      <c r="O213" s="32" t="inlineStr">
        <is>
          <t>Mock</t>
        </is>
      </c>
      <c r="P213" s="32" t="inlineStr">
        <is>
          <t>Mock RxCU84</t>
        </is>
      </c>
    </row>
    <row r="214" ht="409.6" customHeight="1" s="49">
      <c r="A214" s="32" t="n">
        <v>212</v>
      </c>
      <c r="B214"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32" t="n"/>
      <c r="D214" s="32" t="inlineStr">
        <is>
          <t>Prednisolone ไปเกิดอัตรกิริยากับ Inflixumab ทำให้ยา Inflixumab ออกฤทธิ์ได้ไม่เต็มที่</t>
        </is>
      </c>
      <c r="E214" s="32" t="inlineStr">
        <is>
          <t>Prednisolone เป็นยาลดอักเสบซึ่งออกฤทธิ์เร็ว เพื่อบรรเทาอาการปวดระหว่างรอ MTX ออกฤทธิ์</t>
        </is>
      </c>
      <c r="F214" s="32"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32" t="inlineStr">
        <is>
          <t>Prednisolone อาจทำให้ผู้ป่วยมีอาการ Orthostatic hypotension</t>
        </is>
      </c>
      <c r="H214" s="32" t="inlineStr">
        <is>
          <t>ไม่มีข้อใดถูกต้อง</t>
        </is>
      </c>
      <c r="I214" s="32" t="n">
        <v>2</v>
      </c>
      <c r="J214" s="32"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32" t="n"/>
      <c r="L214" s="32" t="inlineStr">
        <is>
          <t>Rheumatoid Arthritis</t>
        </is>
      </c>
      <c r="M214" s="32" t="inlineStr">
        <is>
          <t>Clinic</t>
        </is>
      </c>
      <c r="N214" s="32" t="inlineStr">
        <is>
          <t>ข้อ 81 Mock Musculo RxCU84</t>
        </is>
      </c>
      <c r="O214" s="32" t="inlineStr">
        <is>
          <t>Mock</t>
        </is>
      </c>
      <c r="P214" s="32" t="inlineStr">
        <is>
          <t>Mock RxCU84</t>
        </is>
      </c>
    </row>
    <row r="215" ht="409.6" customHeight="1" s="49">
      <c r="A215" s="32" t="n">
        <v>213</v>
      </c>
      <c r="B215"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32" t="n"/>
      <c r="D215" s="32" t="inlineStr">
        <is>
          <t>สั่ง methotrexate ให้กินทุกวันแทนสัปดาห์ละครั้ง</t>
        </is>
      </c>
      <c r="E215" s="32" t="inlineStr">
        <is>
          <t>Folic acid ขนาดสูงเกินไป</t>
        </is>
      </c>
      <c r="F215" s="32" t="inlineStr">
        <is>
          <t>Rosuvastatin ไม่จำเป็น</t>
        </is>
      </c>
      <c r="G215" s="32" t="inlineStr">
        <is>
          <t>Candesartan ซ้ำซ้อน</t>
        </is>
      </c>
      <c r="H215" s="32" t="inlineStr">
        <is>
          <t>คำนวณขนาด infliximab ผิด</t>
        </is>
      </c>
      <c r="I215" s="32" t="n">
        <v>1</v>
      </c>
      <c r="J215" s="32"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32" t="n"/>
      <c r="L215" s="32" t="inlineStr">
        <is>
          <t>Rheumatoid Arthritis</t>
        </is>
      </c>
      <c r="M215" s="32" t="inlineStr">
        <is>
          <t>Clinic</t>
        </is>
      </c>
      <c r="N215" s="32" t="inlineStr">
        <is>
          <t>ข้อ 82 Mock Musculo RxCU84</t>
        </is>
      </c>
      <c r="O215" s="32" t="inlineStr">
        <is>
          <t>Mock</t>
        </is>
      </c>
      <c r="P215" s="32" t="inlineStr">
        <is>
          <t>Mock RxCU84</t>
        </is>
      </c>
    </row>
    <row r="216" ht="409.6" customHeight="1" s="49">
      <c r="A216" s="32" t="n">
        <v>214</v>
      </c>
      <c r="B216"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32" t="n"/>
      <c r="D216" s="32" t="inlineStr">
        <is>
          <t>จอประสาทตาเสื่อม — ตรวจตา</t>
        </is>
      </c>
      <c r="E216" s="32" t="inlineStr">
        <is>
          <t>กดไขกระดูกและเยื่อบุอักเสบ — ติดตาม CBC และ LFT</t>
        </is>
      </c>
      <c r="F216" s="32" t="inlineStr">
        <is>
          <t>QT prolongation — ตรวจ ECG</t>
        </is>
      </c>
      <c r="G216" s="32" t="inlineStr">
        <is>
          <t>นิ่วในไต — ตรวจปัสสาวะ</t>
        </is>
      </c>
      <c r="H216" s="32" t="inlineStr">
        <is>
          <t>ต่อมไทรอยด์เป็นพิษ — ตรวจ TSH</t>
        </is>
      </c>
      <c r="I216" s="32" t="n">
        <v>2</v>
      </c>
      <c r="J216" s="32"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32" t="n"/>
      <c r="L216" s="32" t="inlineStr">
        <is>
          <t>Rheumatoid Arthritis</t>
        </is>
      </c>
      <c r="M216" s="32" t="inlineStr">
        <is>
          <t>Clinic</t>
        </is>
      </c>
      <c r="N216" s="32" t="inlineStr">
        <is>
          <t>ข้อ 83 Mock Musculo RxCU84</t>
        </is>
      </c>
      <c r="O216" s="32" t="inlineStr">
        <is>
          <t>Mock</t>
        </is>
      </c>
      <c r="P216" s="32" t="inlineStr">
        <is>
          <t>Mock RxCU84</t>
        </is>
      </c>
    </row>
    <row r="217" ht="409.6" customHeight="1" s="49">
      <c r="A217" s="32" t="n">
        <v>215</v>
      </c>
      <c r="B217"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32" t="n"/>
      <c r="D217" s="32" t="inlineStr">
        <is>
          <t>Naloxone</t>
        </is>
      </c>
      <c r="E217" s="32" t="inlineStr">
        <is>
          <t>Flumazenil</t>
        </is>
      </c>
      <c r="F217" s="32" t="inlineStr">
        <is>
          <t>Leucovorin (folinic acid)</t>
        </is>
      </c>
      <c r="G217" s="32" t="inlineStr">
        <is>
          <t>Vitamin K</t>
        </is>
      </c>
      <c r="H217" s="32" t="inlineStr">
        <is>
          <t>Folic acid ขนาดสูง</t>
        </is>
      </c>
      <c r="I217" s="32" t="n">
        <v>3</v>
      </c>
      <c r="J217" s="32"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32" t="n"/>
      <c r="L217" s="32" t="inlineStr">
        <is>
          <t>Rheumatoid Arthritis</t>
        </is>
      </c>
      <c r="M217" s="32" t="inlineStr">
        <is>
          <t>Clinic</t>
        </is>
      </c>
      <c r="N217" s="32" t="inlineStr">
        <is>
          <t>ข้อ 84 Mock Musculo RxCU84</t>
        </is>
      </c>
      <c r="O217" s="32" t="inlineStr">
        <is>
          <t>Mock</t>
        </is>
      </c>
      <c r="P217" s="32" t="inlineStr">
        <is>
          <t>Mock RxCU84</t>
        </is>
      </c>
    </row>
    <row r="218" ht="409.6" customHeight="1" s="49">
      <c r="A218" s="32" t="n">
        <v>216</v>
      </c>
      <c r="B218"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32" t="n"/>
      <c r="D218" s="32" t="inlineStr">
        <is>
          <t>เพื่อลดไขมันในเลือด</t>
        </is>
      </c>
      <c r="E218" s="32" t="inlineStr">
        <is>
          <t>เพื่อรักษาความดันโลหิต</t>
        </is>
      </c>
      <c r="F218" s="32" t="inlineStr">
        <is>
          <t>เพื่อป้องกันข้ออักเสบเกาต์</t>
        </is>
      </c>
      <c r="G218" s="32" t="inlineStr">
        <is>
          <t>bridging ต้านการอักเสบระหว่างรอ MTX ออกฤทธิ์</t>
        </is>
      </c>
      <c r="H218" s="32" t="inlineStr">
        <is>
          <t>เสริมฤทธิ์ infliximab โดยตรง</t>
        </is>
      </c>
      <c r="I218" s="32" t="n">
        <v>4</v>
      </c>
      <c r="J218" s="32"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32" t="n"/>
      <c r="L218" s="32" t="inlineStr">
        <is>
          <t>Rheumatoid Arthritis</t>
        </is>
      </c>
      <c r="M218" s="32" t="inlineStr">
        <is>
          <t>Clinic</t>
        </is>
      </c>
      <c r="N218" s="32" t="inlineStr">
        <is>
          <t>ข้อ 85 Mock Musculo RxCU84</t>
        </is>
      </c>
      <c r="O218" s="32" t="inlineStr">
        <is>
          <t>Mock</t>
        </is>
      </c>
      <c r="P218" s="32" t="inlineStr">
        <is>
          <t>Mock RxCU84</t>
        </is>
      </c>
    </row>
    <row r="219" ht="409.6" customHeight="1" s="49">
      <c r="A219" s="32" t="n">
        <v>217</v>
      </c>
      <c r="B219"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32" t="n"/>
      <c r="D219" s="32" t="inlineStr">
        <is>
          <t>Ibuprofen ขนาดสูง</t>
        </is>
      </c>
      <c r="E219" s="32" t="inlineStr">
        <is>
          <t>Aspirin ขนาดสูง</t>
        </is>
      </c>
      <c r="F219" s="32" t="inlineStr">
        <is>
          <t>Naproxen ขนาดสูงต่อเนื่อง</t>
        </is>
      </c>
      <c r="G219" s="32" t="inlineStr">
        <is>
          <t>Indomethacin ขนาดสูง</t>
        </is>
      </c>
      <c r="H219" s="32" t="inlineStr">
        <is>
          <t>Paracetamol</t>
        </is>
      </c>
      <c r="I219" s="32" t="n">
        <v>5</v>
      </c>
      <c r="J219" s="32"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32" t="n"/>
      <c r="L219" s="32" t="inlineStr">
        <is>
          <t>Rheumatoid Arthritis</t>
        </is>
      </c>
      <c r="M219" s="32" t="inlineStr">
        <is>
          <t>Clinic</t>
        </is>
      </c>
      <c r="N219" s="32" t="inlineStr">
        <is>
          <t>ข้อ 86 Mock Musculo RxCU84</t>
        </is>
      </c>
      <c r="O219" s="32" t="inlineStr">
        <is>
          <t>Mock</t>
        </is>
      </c>
      <c r="P219" s="32" t="inlineStr">
        <is>
          <t>Mock RxCU84</t>
        </is>
      </c>
    </row>
    <row r="220" ht="13.2" customHeight="1" s="49">
      <c r="A220" t="n">
        <v>218</v>
      </c>
      <c r="B220"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D220" t="inlineStr">
        <is>
          <t>Non-Steroidal Anti-Inflammatory Drugs (NSAIDs) เช่น Celecoxib, Ibuprofen</t>
        </is>
      </c>
      <c r="E220" t="inlineStr">
        <is>
          <t>Paracetamol (Acetaminophen)</t>
        </is>
      </c>
      <c r="F220" t="inlineStr">
        <is>
          <t>Tramadol</t>
        </is>
      </c>
      <c r="G220" t="inlineStr">
        <is>
          <t>Topical Capsaicin cream</t>
        </is>
      </c>
      <c r="H220" t="inlineStr">
        <is>
          <t>Glucosamine sulfate</t>
        </is>
      </c>
      <c r="I220" t="inlineStr">
        <is>
          <t>1</t>
        </is>
      </c>
      <c r="J220"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220" t="inlineStr">
        <is>
          <t>Hypertension &amp; Drug Interactions</t>
        </is>
      </c>
      <c r="L220" t="inlineStr">
        <is>
          <t>PLE-CC1 ปี 2566 Day 1 ข้อ 58</t>
        </is>
      </c>
      <c r="M220" t="inlineStr">
        <is>
          <t>Clinic</t>
        </is>
      </c>
      <c r="N220" t="inlineStr">
        <is>
          <t>PLE-CC1 ปี 2566 Day 1 ข้อ 58</t>
        </is>
      </c>
    </row>
    <row r="221" ht="13.2" customHeight="1" s="49">
      <c r="A221" t="n">
        <v>219</v>
      </c>
      <c r="B221"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D221" t="inlineStr">
        <is>
          <t>955 mg</t>
        </is>
      </c>
      <c r="E221" t="inlineStr">
        <is>
          <t>1029 mg</t>
        </is>
      </c>
      <c r="F221" t="inlineStr">
        <is>
          <t>1194 mg</t>
        </is>
      </c>
      <c r="G221" t="inlineStr">
        <is>
          <t>1507 mg</t>
        </is>
      </c>
      <c r="H221" t="inlineStr">
        <is>
          <t>1885 mg</t>
        </is>
      </c>
      <c r="I221" t="n">
        <v>5</v>
      </c>
      <c r="J221"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L221" t="inlineStr">
        <is>
          <t>Cardiovascular / Pharmaceutical Calculations</t>
        </is>
      </c>
      <c r="M221" t="inlineStr">
        <is>
          <t>Clinic</t>
        </is>
      </c>
      <c r="N221" t="inlineStr">
        <is>
          <t>ข้อ 65 (PLE_CC1_2558_Key.md)</t>
        </is>
      </c>
    </row>
    <row r="222" ht="13.2" customHeight="1" s="49">
      <c r="A222" t="n">
        <v>220</v>
      </c>
      <c r="B222"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D222" t="inlineStr">
        <is>
          <t>Tramadol</t>
        </is>
      </c>
      <c r="E222" t="inlineStr">
        <is>
          <t>Piroxicam</t>
        </is>
      </c>
      <c r="F222" t="inlineStr">
        <is>
          <t>Etoricoxib</t>
        </is>
      </c>
      <c r="G222" t="inlineStr">
        <is>
          <t>Ibuprofen</t>
        </is>
      </c>
      <c r="H222" t="inlineStr">
        <is>
          <t>Naproxen 119</t>
        </is>
      </c>
      <c r="I222" t="inlineStr">
        <is>
          <t>1</t>
        </is>
      </c>
      <c r="J222"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2" t="inlineStr">
        <is>
          <t>Hypertension</t>
        </is>
      </c>
      <c r="M222" t="inlineStr">
        <is>
          <t>Clinic</t>
        </is>
      </c>
      <c r="N222" t="inlineStr">
        <is>
          <t>ข้อ 39 (PLE_CC1_Practice_Exam.md)</t>
        </is>
      </c>
    </row>
    <row r="223" ht="13.2" customHeight="1" s="49">
      <c r="A223" t="n">
        <v>221</v>
      </c>
      <c r="B223" t="inlineStr">
        <is>
          <t>ในทางคลินิก ไม่นิยมใช้ Aspirin เพื่อลดไข้ในเด็กที่ติดเชื้อไวรัสเพราะอาจทำให้เกิดความผิดปกติในข้อใด</t>
        </is>
      </c>
      <c r="D223" t="inlineStr">
        <is>
          <t>Airway hypersensitivity</t>
        </is>
      </c>
      <c r="E223" t="inlineStr">
        <is>
          <t>Angioedema</t>
        </is>
      </c>
      <c r="F223" t="inlineStr">
        <is>
          <t>GI bleeding</t>
        </is>
      </c>
      <c r="G223" t="inlineStr">
        <is>
          <t>Reye’s syndrome</t>
        </is>
      </c>
      <c r="H223" t="inlineStr">
        <is>
          <t>Tinnitus 120</t>
        </is>
      </c>
      <c r="I223" t="inlineStr">
        <is>
          <t>3</t>
        </is>
      </c>
      <c r="J223"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3" t="inlineStr">
        <is>
          <t>Hypertension</t>
        </is>
      </c>
      <c r="M223" t="inlineStr">
        <is>
          <t>Clinic</t>
        </is>
      </c>
      <c r="N223" t="inlineStr">
        <is>
          <t>ข้อ 40 (PLE_CC1_Practice_Exam.md)</t>
        </is>
      </c>
    </row>
    <row r="224" ht="13.2" customHeight="1" s="49">
      <c r="A224" t="n">
        <v>222</v>
      </c>
      <c r="B224"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D224" t="inlineStr">
        <is>
          <t>เกิดการเเพ้ได้ ทั้งตำเเหน่งที่1เเละ ตำเเหน่งที่ 2</t>
        </is>
      </c>
      <c r="E224" t="inlineStr">
        <is>
          <t>เกิดการเเพ้ได้ที่ตำเเหน่งที่1เท่านั้น</t>
        </is>
      </c>
      <c r="F224" t="inlineStr">
        <is>
          <t>เกิดการเเพ้ได้ที่ตำเเหน่งที่2เท่านั้น</t>
        </is>
      </c>
      <c r="G224" t="inlineStr">
        <is>
          <t>เกิดการเเพ้ ที่ตำเเน่งที่ 1 เเละตำเเหน่งที่3เท่านั้น</t>
        </is>
      </c>
      <c r="H224" t="inlineStr">
        <is>
          <t>ไม่เกิดการเเพ้เเบบ sulfonamide cross hypersensitivity ที่ตำเเหน่งใดเลย</t>
        </is>
      </c>
      <c r="I224" t="inlineStr">
        <is>
          <t>1</t>
        </is>
      </c>
      <c r="J224"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L224" t="inlineStr">
        <is>
          <t>Hypertension</t>
        </is>
      </c>
      <c r="M224" t="inlineStr">
        <is>
          <t>Clinic</t>
        </is>
      </c>
      <c r="N224" t="inlineStr">
        <is>
          <t>ข้อ 25 (PLE_CC1_Practice_Exam.md)</t>
        </is>
      </c>
    </row>
    <row r="225" ht="13.2" customHeight="1" s="49">
      <c r="A225" t="n">
        <v>223</v>
      </c>
      <c r="B225"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D225" t="inlineStr">
        <is>
          <t>10xx</t>
        </is>
      </c>
      <c r="E225" t="inlineStr">
        <is>
          <t>1xxx</t>
        </is>
      </c>
      <c r="F225" t="inlineStr">
        <is>
          <t>1500</t>
        </is>
      </c>
      <c r="G225" t="inlineStr">
        <is>
          <t>1844</t>
        </is>
      </c>
      <c r="H225"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5" t="inlineStr">
        <is>
          <t>1</t>
        </is>
      </c>
      <c r="J225"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L225" t="inlineStr">
        <is>
          <t>Hypertension</t>
        </is>
      </c>
      <c r="M225" t="inlineStr">
        <is>
          <t>Clinic</t>
        </is>
      </c>
      <c r="N225" t="inlineStr">
        <is>
          <t>ข้อ 5 (PLE_CC1_Key_Rx20_UBU.md)</t>
        </is>
      </c>
    </row>
    <row r="226" ht="13.2" customHeight="1" s="49">
      <c r="A226" t="n">
        <v>224</v>
      </c>
      <c r="B226" t="inlineStr">
        <is>
          <t>ข้อใดเป็นประโยชน์สำคัญของการให้ Vitamin D ร่วมกับ Calcium</t>
        </is>
      </c>
      <c r="D226" t="inlineStr">
        <is>
          <t>ช่วยเร่งการสะสม calcium ที่กระดูก</t>
        </is>
      </c>
      <c r="E226" t="inlineStr">
        <is>
          <t>ลดการขับออกของ calcium ที่ไต</t>
        </is>
      </c>
      <c r="F226" t="inlineStr">
        <is>
          <t>เพิ่มการดูดซึมของ calcium ที่ทางเดินอาหาร</t>
        </is>
      </c>
      <c r="G226" t="inlineStr">
        <is>
          <t>ลดการเกิดพิษต่อตับ</t>
        </is>
      </c>
      <c r="H226"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t>
        </is>
      </c>
      <c r="I226" t="inlineStr">
        <is>
          <t>3</t>
        </is>
      </c>
      <c r="J226"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6" t="inlineStr">
        <is>
          <t>Hypertension</t>
        </is>
      </c>
      <c r="M226" t="inlineStr">
        <is>
          <t>Clinic</t>
        </is>
      </c>
      <c r="N226" t="inlineStr">
        <is>
          <t>ข้อ 86 (PLE_CC1_Key_Rx20_UBU.md)</t>
        </is>
      </c>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Q248"/>
  <sheetViews>
    <sheetView workbookViewId="0">
      <pane ySplit="2" topLeftCell="A151" activePane="bottomLeft" state="frozen"/>
      <selection pane="bottomLeft" activeCell="A3" sqref="A3:Q150"/>
    </sheetView>
  </sheetViews>
  <sheetFormatPr baseColWidth="8" defaultColWidth="12.6640625" defaultRowHeight="15.75" customHeight="1"/>
  <cols>
    <col width="32" customWidth="1" style="49" min="2" max="2"/>
    <col width="12.6640625" customWidth="1" style="49" min="6" max="6"/>
    <col width="10.33203125" customWidth="1" style="49" min="9" max="9"/>
    <col width="30.6640625" customWidth="1" style="49" min="10" max="10"/>
  </cols>
  <sheetData>
    <row r="1" ht="34.95" customHeight="1" s="49">
      <c r="A1" s="50">
        <f>HYPERLINK("#gid=0", "🏠 กลับสู่หน้าแรก (Go to Home Page)")</f>
        <v/>
      </c>
      <c r="G1" s="10" t="n"/>
      <c r="H1" s="10" t="n"/>
      <c r="I1" s="10" t="n"/>
      <c r="J1" s="10" t="n"/>
      <c r="K1" s="10" t="n"/>
      <c r="L1" s="10" t="n"/>
      <c r="M1" s="10" t="n"/>
      <c r="N1" s="10" t="n"/>
      <c r="O1" s="10" t="n"/>
      <c r="P1" s="10" t="n"/>
    </row>
    <row r="2" ht="64.8" customHeight="1" s="49">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49">
      <c r="A3" s="33" t="n">
        <v>1</v>
      </c>
      <c r="B3"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35" t="n"/>
      <c r="D3" s="34" t="inlineStr">
        <is>
          <t>Prehypertension</t>
        </is>
      </c>
      <c r="E3" s="34" t="inlineStr">
        <is>
          <t>Stage I</t>
        </is>
      </c>
      <c r="F3" s="34" t="inlineStr">
        <is>
          <t>Stage II</t>
        </is>
      </c>
      <c r="G3" s="34" t="inlineStr">
        <is>
          <t>Stage III</t>
        </is>
      </c>
      <c r="H3" s="34" t="inlineStr">
        <is>
          <t>Normal</t>
        </is>
      </c>
      <c r="I3" s="35" t="n">
        <v>3</v>
      </c>
      <c r="J3" s="34"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35" t="n"/>
      <c r="L3" s="34" t="inlineStr">
        <is>
          <t>Hypertension</t>
        </is>
      </c>
      <c r="M3" s="35" t="inlineStr">
        <is>
          <t>Clinic</t>
        </is>
      </c>
      <c r="N3" s="34" t="inlineStr">
        <is>
          <t>ข้อ 1 Pharma Plus เล่มม่วง (เฉลยข้อ ค)</t>
        </is>
      </c>
      <c r="O3" s="35" t="inlineStr">
        <is>
          <t>Mock</t>
        </is>
      </c>
      <c r="P3" s="35" t="inlineStr">
        <is>
          <t>Pharma Plus เล่มม่วง</t>
        </is>
      </c>
    </row>
    <row r="4" ht="409.6" customHeight="1" s="49">
      <c r="A4" s="33" t="n">
        <v>2</v>
      </c>
      <c r="B4"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35" t="n"/>
      <c r="D4" s="34" t="inlineStr">
        <is>
          <t>ให้กินอาหารที่มีโซเดียมสูง</t>
        </is>
      </c>
      <c r="E4" s="34" t="inlineStr">
        <is>
          <t>กินอาหารที่มีรสเผ็ดจัด</t>
        </is>
      </c>
      <c r="F4" s="34" t="inlineStr">
        <is>
          <t>กินอาหารจำพวกปลา</t>
        </is>
      </c>
      <c r="G4" s="34" t="inlineStr">
        <is>
          <t>กินอาหารจำพวกผักและผลไม้</t>
        </is>
      </c>
      <c r="H4" s="34" t="inlineStr">
        <is>
          <t>ถูกทุกข้อ</t>
        </is>
      </c>
      <c r="I4" s="35" t="n">
        <v>1</v>
      </c>
      <c r="J4" s="34"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35" t="n"/>
      <c r="L4" s="34" t="inlineStr">
        <is>
          <t>Hypertension</t>
        </is>
      </c>
      <c r="M4" s="35" t="inlineStr">
        <is>
          <t>Clinic</t>
        </is>
      </c>
      <c r="N4" s="34" t="inlineStr">
        <is>
          <t>ข้อ 2 Pharma Plus เล่มม่วง (เฉลยข้อ ก)</t>
        </is>
      </c>
      <c r="O4" s="35" t="inlineStr">
        <is>
          <t>Mock</t>
        </is>
      </c>
      <c r="P4" s="35" t="inlineStr">
        <is>
          <t>Pharma Plus เล่มม่วง</t>
        </is>
      </c>
    </row>
    <row r="5" ht="409.6" customHeight="1" s="49">
      <c r="A5" s="33" t="n">
        <v>3</v>
      </c>
      <c r="B5"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35" t="n"/>
      <c r="D5" s="34" t="inlineStr">
        <is>
          <t>Amlodipine</t>
        </is>
      </c>
      <c r="E5" s="34" t="inlineStr">
        <is>
          <t>Propranolol</t>
        </is>
      </c>
      <c r="F5" s="34" t="inlineStr">
        <is>
          <t>HCTZ</t>
        </is>
      </c>
      <c r="G5" s="34" t="inlineStr">
        <is>
          <t>Valsartan</t>
        </is>
      </c>
      <c r="H5" s="34" t="inlineStr">
        <is>
          <t>Enalapril</t>
        </is>
      </c>
      <c r="I5" s="35" t="n">
        <v>2</v>
      </c>
      <c r="J5" s="34"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35" t="n"/>
      <c r="L5" s="34" t="inlineStr">
        <is>
          <t>Hypertension</t>
        </is>
      </c>
      <c r="M5" s="35" t="inlineStr">
        <is>
          <t>Clinic</t>
        </is>
      </c>
      <c r="N5" s="34" t="inlineStr">
        <is>
          <t>ข้อ 3 Pharma Plus เล่มม่วง (เฉลยข้อ ข)</t>
        </is>
      </c>
      <c r="O5" s="35" t="inlineStr">
        <is>
          <t>Mock</t>
        </is>
      </c>
      <c r="P5" s="35" t="inlineStr">
        <is>
          <t>Pharma Plus เล่มม่วง</t>
        </is>
      </c>
    </row>
    <row r="6" ht="409.6" customHeight="1" s="49">
      <c r="A6" s="33" t="n">
        <v>4</v>
      </c>
      <c r="B6"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35" t="n"/>
      <c r="D6" s="34" t="inlineStr">
        <is>
          <t>130/80 mmHg</t>
        </is>
      </c>
      <c r="E6" s="34" t="inlineStr">
        <is>
          <t>120/80 mmHg</t>
        </is>
      </c>
      <c r="F6" s="34" t="inlineStr">
        <is>
          <t>140/80 mmHg</t>
        </is>
      </c>
      <c r="G6" s="34" t="inlineStr">
        <is>
          <t>130/85 mmHg</t>
        </is>
      </c>
      <c r="H6" s="34" t="inlineStr">
        <is>
          <t>140/90 mmHg</t>
        </is>
      </c>
      <c r="I6" s="35" t="n">
        <v>5</v>
      </c>
      <c r="J6" s="34"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35" t="n"/>
      <c r="L6" s="34" t="inlineStr">
        <is>
          <t>Hypertension</t>
        </is>
      </c>
      <c r="M6" s="35" t="inlineStr">
        <is>
          <t>Clinic</t>
        </is>
      </c>
      <c r="N6" s="34" t="inlineStr">
        <is>
          <t>ข้อ 4 Pharma Plus เล่มม่วง (เฉลยข้อ จ)</t>
        </is>
      </c>
      <c r="O6" s="35" t="inlineStr">
        <is>
          <t>Mock</t>
        </is>
      </c>
      <c r="P6" s="35" t="inlineStr">
        <is>
          <t>Pharma Plus เล่มม่วง</t>
        </is>
      </c>
    </row>
    <row r="7" ht="409.6" customHeight="1" s="49">
      <c r="A7" s="33" t="n">
        <v>5</v>
      </c>
      <c r="B7"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35" t="n"/>
      <c r="D7" s="34" t="inlineStr">
        <is>
          <t>อาการไอแห้งๆ</t>
        </is>
      </c>
      <c r="E7" s="34" t="inlineStr">
        <is>
          <t>ผื่นแพ้รุนแรง</t>
        </is>
      </c>
      <c r="F7" s="34" t="inlineStr">
        <is>
          <t>หัวใจเต้นช้าลง</t>
        </is>
      </c>
      <c r="G7" s="34" t="inlineStr">
        <is>
          <t>ระดับน้ำตาลในเลือดสูงขึ้น</t>
        </is>
      </c>
      <c r="H7" s="34" t="inlineStr">
        <is>
          <t>ไม่มีข้อใดถูก</t>
        </is>
      </c>
      <c r="I7" s="35" t="n">
        <v>1</v>
      </c>
      <c r="J7" s="34"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35" t="n"/>
      <c r="L7" s="34" t="inlineStr">
        <is>
          <t>Hypertension</t>
        </is>
      </c>
      <c r="M7" s="35" t="inlineStr">
        <is>
          <t>Clinic</t>
        </is>
      </c>
      <c r="N7" s="34" t="inlineStr">
        <is>
          <t>ข้อ 5 Pharma Plus เล่มม่วง (เฉลยข้อ ก)</t>
        </is>
      </c>
      <c r="O7" s="35" t="inlineStr">
        <is>
          <t>Mock</t>
        </is>
      </c>
      <c r="P7" s="35" t="inlineStr">
        <is>
          <t>Pharma Plus เล่มม่วง</t>
        </is>
      </c>
    </row>
    <row r="8" ht="409.6" customHeight="1" s="49">
      <c r="A8" s="33" t="n">
        <v>6</v>
      </c>
      <c r="B8"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35" t="n"/>
      <c r="D8" s="34" t="inlineStr">
        <is>
          <t>AST/ALT</t>
        </is>
      </c>
      <c r="E8" s="34" t="inlineStr">
        <is>
          <t>CBC</t>
        </is>
      </c>
      <c r="F8" s="34" t="inlineStr">
        <is>
          <t>Electrolyte</t>
        </is>
      </c>
      <c r="G8" s="34" t="inlineStr">
        <is>
          <t>Renal function</t>
        </is>
      </c>
      <c r="H8" s="34" t="inlineStr">
        <is>
          <t>ข้อ ค และ ง ถูก</t>
        </is>
      </c>
      <c r="I8" s="35" t="n">
        <v>5</v>
      </c>
      <c r="J8" s="34"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35" t="n"/>
      <c r="L8" s="34" t="inlineStr">
        <is>
          <t>Hypertension</t>
        </is>
      </c>
      <c r="M8" s="35" t="inlineStr">
        <is>
          <t>Clinic</t>
        </is>
      </c>
      <c r="N8" s="34" t="inlineStr">
        <is>
          <t>ข้อ 6 Pharma Plus เล่มม่วง (เฉลยข้อ จ)</t>
        </is>
      </c>
      <c r="O8" s="35" t="inlineStr">
        <is>
          <t>Mock</t>
        </is>
      </c>
      <c r="P8" s="35" t="inlineStr">
        <is>
          <t>Pharma Plus เล่มม่วง</t>
        </is>
      </c>
    </row>
    <row r="9" ht="409.6" customHeight="1" s="49">
      <c r="A9" s="33" t="n">
        <v>7</v>
      </c>
      <c r="B9" s="34" t="inlineStr">
        <is>
          <t>ผู้ป่วยไปซื้อยา enalapril ที่ร้านขายยา เภสัชกรร้านสามารถจ่ายยานี้ได้หรือไม่</t>
        </is>
      </c>
      <c r="C9" s="35" t="n"/>
      <c r="D9" s="34" t="inlineStr">
        <is>
          <t>จ่ายได้ เพราะเป็นยาอันตราย</t>
        </is>
      </c>
      <c r="E9" s="34" t="inlineStr">
        <is>
          <t>จ่ายไม่ได้ เพราะเป็นยาควบคุมพิเศษ</t>
        </is>
      </c>
      <c r="F9" s="34" t="inlineStr">
        <is>
          <t>จ่ายไม่ได้ เพราะเป็นวัตถุออกฤทธิ์ต่อจิตและประสาทประเภท 2</t>
        </is>
      </c>
      <c r="G9" s="34" t="inlineStr">
        <is>
          <t>จ่ายได้ เพราะเป็นยาบรรจุเสร็จที่ไม่ใช่ยาอันตรายหรือยาควบคุมพิเศษ</t>
        </is>
      </c>
      <c r="H9" s="34" t="inlineStr">
        <is>
          <t>จ่ายไม่ได้ เพราะเป็นยาเสพติดให้โทษประเภทที่ 3 ต้องมีใบสั่งแพทย์เท่านั้น</t>
        </is>
      </c>
      <c r="I9" s="35" t="n">
        <v>1</v>
      </c>
      <c r="J9" s="34"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35" t="n"/>
      <c r="L9" s="34" t="inlineStr">
        <is>
          <t>Hypertension</t>
        </is>
      </c>
      <c r="M9" s="35" t="inlineStr">
        <is>
          <t>Clinic</t>
        </is>
      </c>
      <c r="N9" s="34" t="inlineStr">
        <is>
          <t>ข้อ 7 Pharma Plus เล่มม่วง (เฉลยข้อ ก)</t>
        </is>
      </c>
      <c r="O9" s="35" t="inlineStr">
        <is>
          <t>Mock</t>
        </is>
      </c>
      <c r="P9" s="35" t="inlineStr">
        <is>
          <t>Pharma Plus เล่มม่วง</t>
        </is>
      </c>
    </row>
    <row r="10" ht="409.6" customHeight="1" s="49">
      <c r="A10" s="33" t="n">
        <v>8</v>
      </c>
      <c r="B10"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35" t="n"/>
      <c r="D10" s="34" t="inlineStr">
        <is>
          <t>130 mg/dl</t>
        </is>
      </c>
      <c r="E10" s="34" t="inlineStr">
        <is>
          <t>140 mg/dl</t>
        </is>
      </c>
      <c r="F10" s="34" t="inlineStr">
        <is>
          <t>150 mg/dl</t>
        </is>
      </c>
      <c r="G10" s="34" t="inlineStr">
        <is>
          <t>160 mg/dl</t>
        </is>
      </c>
      <c r="H10" s="34" t="inlineStr">
        <is>
          <t>170 mg/dl</t>
        </is>
      </c>
      <c r="I10" s="35" t="n">
        <v>5</v>
      </c>
      <c r="J10" s="34"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35" t="n"/>
      <c r="L10" s="34" t="inlineStr">
        <is>
          <t>Dyslipidemias</t>
        </is>
      </c>
      <c r="M10" s="35" t="inlineStr">
        <is>
          <t>Clinic</t>
        </is>
      </c>
      <c r="N10" s="34" t="inlineStr">
        <is>
          <t>ข้อ 8 Pharma Plus เล่มม่วง (เฉลยข้อ จ)</t>
        </is>
      </c>
      <c r="O10" s="35" t="inlineStr">
        <is>
          <t>Mock</t>
        </is>
      </c>
      <c r="P10" s="35" t="inlineStr">
        <is>
          <t>Pharma Plus เล่มม่วง</t>
        </is>
      </c>
    </row>
    <row r="11" ht="409.6" customHeight="1" s="49">
      <c r="A11" s="33" t="n">
        <v>9</v>
      </c>
      <c r="B11"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35" t="n"/>
      <c r="D11" s="34" t="inlineStr">
        <is>
          <t>บิดาเสียชีวิตด้วย myocardial infarction เมื่ออายุ 53 ปี</t>
        </is>
      </c>
      <c r="E11" s="34" t="inlineStr">
        <is>
          <t>พี่ชายเสียชีวิตด้วย myocardial infarction เมื่ออายุ 44 ปี</t>
        </is>
      </c>
      <c r="F11" s="34" t="inlineStr">
        <is>
          <t>ดื่มไวน์ 2 แก้วทุกวัน</t>
        </is>
      </c>
      <c r="G11" s="34" t="inlineStr">
        <is>
          <t>มีระดับ HDL-C 33 mg/dl</t>
        </is>
      </c>
      <c r="H11" s="34" t="inlineStr">
        <is>
          <t>ผู้ป่วยเป็นชายอายุ 53 ปี</t>
        </is>
      </c>
      <c r="I11" s="35" t="n">
        <v>3</v>
      </c>
      <c r="J11" s="34"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35" t="n"/>
      <c r="L11" s="34" t="inlineStr">
        <is>
          <t>Dyslipidemias</t>
        </is>
      </c>
      <c r="M11" s="35" t="inlineStr">
        <is>
          <t>Clinic</t>
        </is>
      </c>
      <c r="N11" s="34" t="inlineStr">
        <is>
          <t>ข้อ 9 Pharma Plus เล่มม่วง (เฉลยข้อ ค)</t>
        </is>
      </c>
      <c r="O11" s="35" t="inlineStr">
        <is>
          <t>Mock</t>
        </is>
      </c>
      <c r="P11" s="35" t="inlineStr">
        <is>
          <t>Pharma Plus เล่มม่วง</t>
        </is>
      </c>
    </row>
    <row r="12" ht="409.6" customHeight="1" s="49">
      <c r="A12" s="33" t="n">
        <v>10</v>
      </c>
      <c r="B12"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35" t="n"/>
      <c r="D12" s="34" t="inlineStr">
        <is>
          <t>ลดระดับ Total cholesterol</t>
        </is>
      </c>
      <c r="E12" s="34" t="inlineStr">
        <is>
          <t>เพิ่มระดับ HDL-C</t>
        </is>
      </c>
      <c r="F12" s="34" t="inlineStr">
        <is>
          <t>ลดระดับ Non-HDL-C</t>
        </is>
      </c>
      <c r="G12" s="34" t="inlineStr">
        <is>
          <t>ลดระดับ Triglyceride</t>
        </is>
      </c>
      <c r="H12" s="34" t="inlineStr">
        <is>
          <t>ลดระดับ LDL-C</t>
        </is>
      </c>
      <c r="I12" s="35" t="n">
        <v>5</v>
      </c>
      <c r="J12" s="34"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35" t="n"/>
      <c r="L12" s="34" t="inlineStr">
        <is>
          <t>Dyslipidemias</t>
        </is>
      </c>
      <c r="M12" s="35" t="inlineStr">
        <is>
          <t>Clinic</t>
        </is>
      </c>
      <c r="N12" s="34" t="inlineStr">
        <is>
          <t>ข้อ 10 Pharma Plus เล่มม่วง (เฉลยข้อ จ)</t>
        </is>
      </c>
      <c r="O12" s="35" t="inlineStr">
        <is>
          <t>Mock</t>
        </is>
      </c>
      <c r="P12" s="35" t="inlineStr">
        <is>
          <t>Pharma Plus เล่มม่วง</t>
        </is>
      </c>
    </row>
    <row r="13" ht="409.6" customHeight="1" s="49">
      <c r="A13" s="33" t="n">
        <v>11</v>
      </c>
      <c r="B13"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35" t="n"/>
      <c r="D13" s="34" t="inlineStr">
        <is>
          <t>&lt; 100 mg/dl</t>
        </is>
      </c>
      <c r="E13" s="34" t="inlineStr">
        <is>
          <t>&lt; 130 mg/dl</t>
        </is>
      </c>
      <c r="F13" s="34" t="inlineStr">
        <is>
          <t>&lt; 160 mg/dl</t>
        </is>
      </c>
      <c r="G13" s="34" t="inlineStr">
        <is>
          <t>&lt; 190 mg/dl</t>
        </is>
      </c>
      <c r="H13" s="34" t="inlineStr">
        <is>
          <t>&lt; 200 mg/dl</t>
        </is>
      </c>
      <c r="I13" s="35" t="n">
        <v>1</v>
      </c>
      <c r="J13" s="34"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35" t="n"/>
      <c r="L13" s="34" t="inlineStr">
        <is>
          <t>Dyslipidemias</t>
        </is>
      </c>
      <c r="M13" s="35" t="inlineStr">
        <is>
          <t>Clinic</t>
        </is>
      </c>
      <c r="N13" s="34" t="inlineStr">
        <is>
          <t>ข้อ 11 Pharma Plus เล่มม่วง (เฉลยข้อ ก)</t>
        </is>
      </c>
      <c r="O13" s="35" t="inlineStr">
        <is>
          <t>Mock</t>
        </is>
      </c>
      <c r="P13" s="35" t="inlineStr">
        <is>
          <t>Pharma Plus เล่มม่วง</t>
        </is>
      </c>
    </row>
    <row r="14" ht="409.6" customHeight="1" s="49">
      <c r="A14" s="33" t="n">
        <v>12</v>
      </c>
      <c r="B14" s="34" t="inlineStr">
        <is>
          <t>ยาที่คนไข้ควรได้รับเป็นอันดับแรกเพื่อให้ได้ผลตามเป้าหมายตามข้อข้างต้น</t>
        </is>
      </c>
      <c r="C14" s="35" t="n"/>
      <c r="D14" s="34" t="inlineStr">
        <is>
          <t>ยากลุ่ม statin</t>
        </is>
      </c>
      <c r="E14" s="34" t="inlineStr">
        <is>
          <t>ยากลุ่ม bile acid sequestrants</t>
        </is>
      </c>
      <c r="F14" s="34" t="inlineStr">
        <is>
          <t>ยากลุ่ม nicotinic acid</t>
        </is>
      </c>
      <c r="G14" s="34" t="inlineStr">
        <is>
          <t>ยากลุ่ม fibric acid</t>
        </is>
      </c>
      <c r="H14" s="34" t="inlineStr">
        <is>
          <t>ยากลุ่ม plant sterol</t>
        </is>
      </c>
      <c r="I14" s="35" t="n">
        <v>1</v>
      </c>
      <c r="J14" s="34"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35" t="n"/>
      <c r="L14" s="34" t="inlineStr">
        <is>
          <t>Dyslipidemias</t>
        </is>
      </c>
      <c r="M14" s="35" t="inlineStr">
        <is>
          <t>Clinic</t>
        </is>
      </c>
      <c r="N14" s="34" t="inlineStr">
        <is>
          <t>ข้อ 12 Pharma Plus เล่มม่วง (เฉลยข้อ ก)</t>
        </is>
      </c>
      <c r="O14" s="35" t="inlineStr">
        <is>
          <t>Mock</t>
        </is>
      </c>
      <c r="P14" s="35" t="inlineStr">
        <is>
          <t>Pharma Plus เล่มม่วง</t>
        </is>
      </c>
    </row>
    <row r="15" ht="409.6" customHeight="1" s="49">
      <c r="A15" s="33" t="n">
        <v>13</v>
      </c>
      <c r="B15" s="34" t="inlineStr">
        <is>
          <t>ยาในกลุ่ม statin สามารถลดระดับ LDL-C ด้วยกลไกใด</t>
        </is>
      </c>
      <c r="C15" s="35" t="n"/>
      <c r="D15" s="34" t="inlineStr">
        <is>
          <t>ลดการสร้าง LDL-C receptor ที่ตับ</t>
        </is>
      </c>
      <c r="E15" s="34" t="inlineStr">
        <is>
          <t>ลดการสร้าง cholesterol และเพิ่มจำนวน LDL-C receptor</t>
        </is>
      </c>
      <c r="F15" s="34" t="inlineStr">
        <is>
          <t>ลด enterohepatic recycling ของ cholesterol</t>
        </is>
      </c>
      <c r="G15" s="34" t="inlineStr">
        <is>
          <t>ลดการสร้าง VLDL</t>
        </is>
      </c>
      <c r="H15" s="34" t="inlineStr">
        <is>
          <t>ลดการสร้าง HDL</t>
        </is>
      </c>
      <c r="I15" s="35" t="n">
        <v>2</v>
      </c>
      <c r="J15" s="34"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35" t="n"/>
      <c r="L15" s="34" t="inlineStr">
        <is>
          <t>Dyslipidemias</t>
        </is>
      </c>
      <c r="M15" s="35" t="inlineStr">
        <is>
          <t>Clinic</t>
        </is>
      </c>
      <c r="N15" s="34" t="inlineStr">
        <is>
          <t>ข้อ 13 Pharma Plus เล่มม่วง (เฉลยข้อ ข)</t>
        </is>
      </c>
      <c r="O15" s="35" t="inlineStr">
        <is>
          <t>Mock</t>
        </is>
      </c>
      <c r="P15" s="35" t="inlineStr">
        <is>
          <t>Pharma Plus เล่มม่วง</t>
        </is>
      </c>
    </row>
    <row r="16" ht="409.6" customHeight="1" s="49">
      <c r="A16" s="33" t="n">
        <v>14</v>
      </c>
      <c r="B16" s="34"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35" t="n"/>
      <c r="D16" s="34" t="inlineStr">
        <is>
          <t>Cohort study, Case controlled study</t>
        </is>
      </c>
      <c r="E16" s="34" t="inlineStr">
        <is>
          <t>Case report, Cross-sectional study</t>
        </is>
      </c>
      <c r="F16" s="34" t="inlineStr">
        <is>
          <t>Case controlled study, Cross-sectional study</t>
        </is>
      </c>
      <c r="G16" s="34" t="inlineStr">
        <is>
          <t>Meta-analysis, Randomized controlled study</t>
        </is>
      </c>
      <c r="H16" s="34" t="inlineStr">
        <is>
          <t>Cross-sectional study, Randomized controlled study</t>
        </is>
      </c>
      <c r="I16" s="35" t="n">
        <v>4</v>
      </c>
      <c r="J16" s="34"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35" t="n"/>
      <c r="L16" s="34" t="inlineStr">
        <is>
          <t>Evidence-Based Medicine</t>
        </is>
      </c>
      <c r="M16" s="35" t="inlineStr">
        <is>
          <t>Clinic</t>
        </is>
      </c>
      <c r="N16" s="34" t="inlineStr">
        <is>
          <t>ข้อ 14 Pharma Plus เล่มม่วง (เฉลยข้อ ง)</t>
        </is>
      </c>
      <c r="O16" s="35" t="inlineStr">
        <is>
          <t>Mock</t>
        </is>
      </c>
      <c r="P16" s="35" t="inlineStr">
        <is>
          <t>Pharma Plus เล่มม่วง</t>
        </is>
      </c>
    </row>
    <row r="17" ht="409.6" customHeight="1" s="49">
      <c r="A17" s="33" t="n">
        <v>15</v>
      </c>
      <c r="B17" s="34" t="inlineStr">
        <is>
          <t>จากรูปสูตรโครงสร้างข้อใดถูกต้อง</t>
        </is>
      </c>
      <c r="C17" s="35" t="n"/>
      <c r="D17" s="34" t="inlineStr">
        <is>
          <t>Cholestyramine ลดการดูดซึมยา simvastatin เพราะ simvastatin มี lactone ring ในโครงสร้าง</t>
        </is>
      </c>
      <c r="E17" s="34" t="inlineStr">
        <is>
          <t>Cholestyramine ลดการดูดซึมยา pravastatin เพราะ pravastatin มี carboxylic acid ในโครงสร้าง</t>
        </is>
      </c>
      <c r="F17" s="34" t="inlineStr">
        <is>
          <t>Simvastatin ลดการดูดซึมยา cholestyramine</t>
        </is>
      </c>
      <c r="G17" s="34" t="inlineStr">
        <is>
          <t>Cholestyramine ไม่มีผลต่อการดูดซึมยา simvastatin และ pravastatin</t>
        </is>
      </c>
      <c r="H17" s="34" t="inlineStr">
        <is>
          <t>Cholestyramine เพิ่มการดูดซึมยา simvastatin และ pravastatin</t>
        </is>
      </c>
      <c r="I17" s="35" t="n">
        <v>2</v>
      </c>
      <c r="J17" s="34"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35" t="n"/>
      <c r="L17" s="34" t="inlineStr">
        <is>
          <t>Dyslipidemias</t>
        </is>
      </c>
      <c r="M17" s="35" t="inlineStr">
        <is>
          <t>Clinic</t>
        </is>
      </c>
      <c r="N17" s="34" t="inlineStr">
        <is>
          <t>ข้อ 15 Pharma Plus เล่มม่วง (เฉลยข้อ ข)</t>
        </is>
      </c>
      <c r="O17" s="35" t="inlineStr">
        <is>
          <t>Mock</t>
        </is>
      </c>
      <c r="P17" s="35" t="inlineStr">
        <is>
          <t>Pharma Plus เล่มม่วง</t>
        </is>
      </c>
    </row>
    <row r="18" ht="409.6" customHeight="1" s="49">
      <c r="A18" s="33" t="n">
        <v>16</v>
      </c>
      <c r="B18" s="34" t="inlineStr">
        <is>
          <t>โครงสร้างที่แสดงข้างต้นสัมพันธ์กับการออกฤทธิ์ของยาอย่างไร</t>
        </is>
      </c>
      <c r="C18" s="35" t="n"/>
      <c r="D18" s="34" t="inlineStr">
        <is>
          <t>Pravastatin เป็น pro-drug</t>
        </is>
      </c>
      <c r="E18" s="34" t="inlineStr">
        <is>
          <t>Simvastatin และ Pravastatin เป็น pro-drug</t>
        </is>
      </c>
      <c r="F18" s="34" t="inlineStr">
        <is>
          <t>Pravastatin มีโครงสร้างที่ออกฤทธิ์ในร่างกาย 2 โครงสร้าง คือ โครงสร้างที่เกิดการเชื่อมเป็นวง lactone ring และรูปที่เป็น carboxylic acid</t>
        </is>
      </c>
      <c r="G18" s="34" t="inlineStr">
        <is>
          <t>Simvastatin มีโครงสร้างที่ออกฤทธิ์คือ โครงสร้างที่ lactone ring เปิด</t>
        </is>
      </c>
      <c r="H18" s="34" t="inlineStr">
        <is>
          <t>Simvastatin และ Pravastatin ไม่เป็น pro-drug</t>
        </is>
      </c>
      <c r="I18" s="35" t="n">
        <v>4</v>
      </c>
      <c r="J18" s="34"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35" t="n"/>
      <c r="L18" s="34" t="inlineStr">
        <is>
          <t>Dyslipidemias</t>
        </is>
      </c>
      <c r="M18" s="35" t="inlineStr">
        <is>
          <t>Clinic</t>
        </is>
      </c>
      <c r="N18" s="34" t="inlineStr">
        <is>
          <t>ข้อ 16 Pharma Plus เล่มม่วง (เฉลยข้อ ง)</t>
        </is>
      </c>
      <c r="O18" s="35" t="inlineStr">
        <is>
          <t>Mock</t>
        </is>
      </c>
      <c r="P18" s="35" t="inlineStr">
        <is>
          <t>Pharma Plus เล่มม่วง</t>
        </is>
      </c>
    </row>
    <row r="19" ht="409.6" customHeight="1" s="49">
      <c r="A19" s="33" t="n">
        <v>17</v>
      </c>
      <c r="B19"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35" t="n"/>
      <c r="D19" s="34" t="inlineStr">
        <is>
          <t>เริ่มการรักษาโดยใช้ atorvastatin 40 mg ทุกเย็น และ follow up</t>
        </is>
      </c>
      <c r="E19" s="34" t="inlineStr">
        <is>
          <t>ผู้ป่วยมีปัจจัยเสี่ยงเพียง 1 ปัจจัย ดังนั้นควรใช้การควบคุมอาหารรักษาต่อไป</t>
        </is>
      </c>
      <c r="F19" s="34" t="inlineStr">
        <is>
          <t>เริ่มการรักษาโดยใช้ niacin 1 gm BID และ follow up ในอีก 6 เดือน</t>
        </is>
      </c>
      <c r="G19" s="34" t="inlineStr">
        <is>
          <t>เริ่มการรักษาโดยใช้ cholestyramine 4 gm BID</t>
        </is>
      </c>
      <c r="H19" s="34" t="inlineStr">
        <is>
          <t>เริ่มการรักษาโดยใช้ gemfibrozil 600 mg BID</t>
        </is>
      </c>
      <c r="I19" s="35" t="n">
        <v>1</v>
      </c>
      <c r="J19" s="34"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35" t="n"/>
      <c r="L19" s="34" t="inlineStr">
        <is>
          <t>Coronary artery disease</t>
        </is>
      </c>
      <c r="M19" s="35" t="inlineStr">
        <is>
          <t>Clinic</t>
        </is>
      </c>
      <c r="N19" s="34" t="inlineStr">
        <is>
          <t>ข้อ 17 Pharma Plus เล่มม่วง (เฉลยข้อ ก)</t>
        </is>
      </c>
      <c r="O19" s="35" t="inlineStr">
        <is>
          <t>Mock</t>
        </is>
      </c>
      <c r="P19" s="35" t="inlineStr">
        <is>
          <t>Pharma Plus เล่มม่วง</t>
        </is>
      </c>
    </row>
    <row r="20" ht="409.6" customHeight="1" s="49">
      <c r="A20" s="33" t="n">
        <v>18</v>
      </c>
      <c r="B20"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35" t="n"/>
      <c r="D20" s="34" t="inlineStr">
        <is>
          <t>Gemfibrozil</t>
        </is>
      </c>
      <c r="E20" s="34" t="inlineStr">
        <is>
          <t>Niacin</t>
        </is>
      </c>
      <c r="F20" s="34" t="inlineStr">
        <is>
          <t>Cholestyramine</t>
        </is>
      </c>
      <c r="G20" s="34" t="inlineStr">
        <is>
          <t>Propranolol</t>
        </is>
      </c>
      <c r="H20" s="34" t="inlineStr">
        <is>
          <t>Enalapril</t>
        </is>
      </c>
      <c r="I20" s="35" t="n">
        <v>1</v>
      </c>
      <c r="J20" s="34"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35" t="n"/>
      <c r="L20" s="34" t="inlineStr">
        <is>
          <t>Dyslipidemias</t>
        </is>
      </c>
      <c r="M20" s="35" t="inlineStr">
        <is>
          <t>Clinic</t>
        </is>
      </c>
      <c r="N20" s="34" t="inlineStr">
        <is>
          <t>ข้อ 18 Pharma Plus เล่มม่วง (เฉลยข้อ ก)</t>
        </is>
      </c>
      <c r="O20" s="35" t="inlineStr">
        <is>
          <t>Mock</t>
        </is>
      </c>
      <c r="P20" s="35" t="inlineStr">
        <is>
          <t>Pharma Plus เล่มม่วง</t>
        </is>
      </c>
    </row>
    <row r="21" ht="409.6" customHeight="1" s="49">
      <c r="A21" s="33" t="n">
        <v>19</v>
      </c>
      <c r="B21"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35" t="n"/>
      <c r="D21" s="34" t="inlineStr">
        <is>
          <t>Atenolol อาการหอบ</t>
        </is>
      </c>
      <c r="E21" s="34" t="inlineStr">
        <is>
          <t>Ramipril ภาวะ hypokalemia</t>
        </is>
      </c>
      <c r="F21" s="34" t="inlineStr">
        <is>
          <t>Cholestyramine กล้ามเนื้ออ่อนแรง</t>
        </is>
      </c>
      <c r="G21" s="34" t="inlineStr">
        <is>
          <t>Gemfibrozil ตามัว (blurred vision)</t>
        </is>
      </c>
      <c r="H21" s="34" t="inlineStr">
        <is>
          <t>Isosorbide mononitrate ปวดศีรษะ</t>
        </is>
      </c>
      <c r="I21" s="35" t="n">
        <v>5</v>
      </c>
      <c r="J21" s="34"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35" t="n"/>
      <c r="L21" s="34" t="inlineStr">
        <is>
          <t>Coronary artery disease</t>
        </is>
      </c>
      <c r="M21" s="35" t="inlineStr">
        <is>
          <t>Clinic</t>
        </is>
      </c>
      <c r="N21" s="34" t="inlineStr">
        <is>
          <t>ข้อ 19 Pharma Plus เล่มม่วง (เฉลยข้อ จ)</t>
        </is>
      </c>
      <c r="O21" s="35" t="inlineStr">
        <is>
          <t>Mock</t>
        </is>
      </c>
      <c r="P21" s="35" t="inlineStr">
        <is>
          <t>Pharma Plus เล่มม่วง</t>
        </is>
      </c>
    </row>
    <row r="22" ht="409.6" customHeight="1" s="49">
      <c r="A22" s="33" t="n">
        <v>20</v>
      </c>
      <c r="B22"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35" t="n"/>
      <c r="D22" s="34" t="inlineStr">
        <is>
          <t>เพิ่ม Heart rate ลดแรงบีบตัวของหัวใจทำให้ cardiac output เพิ่มขึ้น</t>
        </is>
      </c>
      <c r="E22" s="34" t="inlineStr">
        <is>
          <t>ลด Heart rate ลดแรงบีบตัวของหัวใจทำให้ cardiac output เพิ่มขึ้น</t>
        </is>
      </c>
      <c r="F22" s="34" t="inlineStr">
        <is>
          <t>ลด Heart rate ลดแรงบีบตัวของหัวใจทำให้ cardiac output ลดลง</t>
        </is>
      </c>
      <c r="G22" s="34" t="inlineStr">
        <is>
          <t>กระตุ้นการหลั่ง Renin ที่ไต</t>
        </is>
      </c>
      <c r="H22" s="34" t="inlineStr">
        <is>
          <t>ทำให้เกิด Negative feedback และ compensatory outflow จากระบบประสาทส่วนกลาง</t>
        </is>
      </c>
      <c r="I22" s="35" t="n">
        <v>3</v>
      </c>
      <c r="J22" s="34"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35" t="n"/>
      <c r="L22" s="34" t="inlineStr">
        <is>
          <t>Coronary artery disease</t>
        </is>
      </c>
      <c r="M22" s="35" t="inlineStr">
        <is>
          <t>Clinic</t>
        </is>
      </c>
      <c r="N22" s="34" t="inlineStr">
        <is>
          <t>ข้อ 20 Pharma Plus เล่มม่วง (เฉลยข้อ ค)</t>
        </is>
      </c>
      <c r="O22" s="35" t="inlineStr">
        <is>
          <t>Mock</t>
        </is>
      </c>
      <c r="P22" s="35" t="inlineStr">
        <is>
          <t>Pharma Plus เล่มม่วง</t>
        </is>
      </c>
    </row>
    <row r="23" ht="409.6" customHeight="1" s="49">
      <c r="A23" s="33" t="n">
        <v>21</v>
      </c>
      <c r="B23"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35" t="n"/>
      <c r="D23" s="34" t="inlineStr">
        <is>
          <t>รับประทานยาแล้วดื่มน้ำตามมากๆ เวลามีอาการ</t>
        </is>
      </c>
      <c r="E23" s="34" t="inlineStr">
        <is>
          <t>เคี้ยวยาให้ละเอียดก่อนกลืนเวลามีอาการ</t>
        </is>
      </c>
      <c r="F23" s="34" t="inlineStr">
        <is>
          <t>เมื่อลืมรับประทานยา ให้รับประทานยาเพิ่มเป็น 2 เม็ดได้</t>
        </is>
      </c>
      <c r="G23" s="34" t="inlineStr">
        <is>
          <t>เมื่อมีอาการอมยาไว้ใต้ลิ้นจนกว่ายาจะละลายหมดโดยพยายามไม่กลืนน้ำลาย</t>
        </is>
      </c>
      <c r="H23" s="34" t="inlineStr">
        <is>
          <t>เมื่อมีอาการอมยาไว้ปากระหว่างเหงือกและกระพุ้งแก้มจนยาละลายหมด ไม่กลืนน้ำลาย</t>
        </is>
      </c>
      <c r="I23" s="35" t="n">
        <v>4</v>
      </c>
      <c r="J23" s="34"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35" t="n"/>
      <c r="L23" s="34" t="inlineStr">
        <is>
          <t>Coronary artery disease</t>
        </is>
      </c>
      <c r="M23" s="35" t="inlineStr">
        <is>
          <t>Clinic</t>
        </is>
      </c>
      <c r="N23" s="34" t="inlineStr">
        <is>
          <t>ข้อ 21 Pharma Plus เล่มม่วง (เฉลยข้อ ง)</t>
        </is>
      </c>
      <c r="O23" s="35" t="inlineStr">
        <is>
          <t>Mock</t>
        </is>
      </c>
      <c r="P23" s="35" t="inlineStr">
        <is>
          <t>Pharma Plus เล่มม่วง</t>
        </is>
      </c>
    </row>
    <row r="24" ht="409.6" customHeight="1" s="49">
      <c r="A24" s="33" t="n">
        <v>22</v>
      </c>
      <c r="B24"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35" t="n"/>
      <c r="D24" s="34" t="inlineStr">
        <is>
          <t>รับประทานวันละ 2 ครั้ง เช้า-เย็น</t>
        </is>
      </c>
      <c r="E24" s="34" t="inlineStr">
        <is>
          <t>รับประทานวันละ 2 ครั้ง เช้า-บ่าย (3 โมง)</t>
        </is>
      </c>
      <c r="F24" s="34" t="inlineStr">
        <is>
          <t>รับประทานวันละ 2 ครั้ง เช้า-ก่อนนอน</t>
        </is>
      </c>
      <c r="G24" s="34" t="inlineStr">
        <is>
          <t>อมใต้ลิ้น วันละ 2 ครั้ง เช้า-เย็น</t>
        </is>
      </c>
      <c r="H24" s="34" t="inlineStr">
        <is>
          <t>อมใต้ลิ้น วันละ 2 ครั้ง เช้า-บ่าย (3 โมง)</t>
        </is>
      </c>
      <c r="I24" s="35" t="n">
        <v>2</v>
      </c>
      <c r="J24" s="34"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35" t="n"/>
      <c r="L24" s="34" t="inlineStr">
        <is>
          <t>Coronary artery disease</t>
        </is>
      </c>
      <c r="M24" s="35" t="inlineStr">
        <is>
          <t>Clinic</t>
        </is>
      </c>
      <c r="N24" s="34" t="inlineStr">
        <is>
          <t>ข้อ 22 Pharma Plus เล่มม่วง (เฉลยข้อ ข)</t>
        </is>
      </c>
      <c r="O24" s="35" t="inlineStr">
        <is>
          <t>Mock</t>
        </is>
      </c>
      <c r="P24" s="35" t="inlineStr">
        <is>
          <t>Pharma Plus เล่มม่วง</t>
        </is>
      </c>
    </row>
    <row r="25" ht="409.6" customHeight="1" s="49">
      <c r="A25" s="33" t="n">
        <v>23</v>
      </c>
      <c r="B25" s="34" t="inlineStr">
        <is>
          <t>ข้อใดไม่ใช่เหตุผลในการเลือกจ่ายยาคุมชนิด Progestin เพียงตัวเดียว (POPs) แทนการจ่ายยาคุมชนิดฮอร์โมนรวม (COCs)</t>
        </is>
      </c>
      <c r="C25" s="35" t="n"/>
      <c r="D25" s="34" t="inlineStr">
        <is>
          <t>มีภาวะปวดหัวไมเกรนรุนแรง</t>
        </is>
      </c>
      <c r="E25" s="34" t="inlineStr">
        <is>
          <t>อยู่ระหว่างการให้นมบุตร</t>
        </is>
      </c>
      <c r="F25" s="34" t="inlineStr">
        <is>
          <t>มีเลือดออกกระปริดกระปรอย</t>
        </is>
      </c>
      <c r="G25" s="34" t="inlineStr">
        <is>
          <t>มีโรคเกี่ยวกับหลอดเลือดหัวใจ</t>
        </is>
      </c>
      <c r="H25" s="34" t="inlineStr">
        <is>
          <t>มีอาการคลื่นไส้ อาเจียนจากเอสโตรเจน</t>
        </is>
      </c>
      <c r="I25" s="35" t="n">
        <v>3</v>
      </c>
      <c r="J25" s="34"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35" t="n"/>
      <c r="L25" s="34" t="inlineStr">
        <is>
          <t>Contraception &amp; Cardiovascular Risk</t>
        </is>
      </c>
      <c r="M25" s="35" t="inlineStr">
        <is>
          <t>Clinic</t>
        </is>
      </c>
      <c r="N25" s="34" t="inlineStr">
        <is>
          <t>Mock PLE-CC 1 ข้อ 88</t>
        </is>
      </c>
      <c r="O25" s="35" t="inlineStr">
        <is>
          <t>Mock</t>
        </is>
      </c>
      <c r="P25" s="35" t="inlineStr">
        <is>
          <t>Mock RxCU83</t>
        </is>
      </c>
      <c r="Q25" s="2" t="n"/>
    </row>
    <row r="26" ht="409.6" customHeight="1" s="49">
      <c r="A26" s="33" t="n">
        <v>24</v>
      </c>
      <c r="B26" s="34"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35" t="n"/>
      <c r="D26" s="34" t="inlineStr">
        <is>
          <t>Isoniazid ส่งผลให้ระดับยา warfarin ลดลง</t>
        </is>
      </c>
      <c r="E26" s="34" t="inlineStr">
        <is>
          <t>Rifampin ส่งผลให้ระดับยา warfarin ลดลง</t>
        </is>
      </c>
      <c r="F26" s="34" t="inlineStr">
        <is>
          <t>Pyrazinamide ส่งผลให้ระดับยา warfarin เพิ่มขึ้น</t>
        </is>
      </c>
      <c r="G26" s="34" t="inlineStr">
        <is>
          <t>Ethambutol ส่งผลให้ระดับยา warfarin ลดลง</t>
        </is>
      </c>
      <c r="H26" s="34" t="inlineStr">
        <is>
          <t>ยาทุกตัวในสูตรยารักษาวัณโรคไม่ส่งผลต่อระดับยา warfarin</t>
        </is>
      </c>
      <c r="I26" s="35" t="n">
        <v>2</v>
      </c>
      <c r="J26" s="34"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35" t="n"/>
      <c r="L26" s="34" t="inlineStr">
        <is>
          <t>Anticoagulation &amp; Arrhythmia</t>
        </is>
      </c>
      <c r="M26" s="35" t="inlineStr">
        <is>
          <t>Clinic</t>
        </is>
      </c>
      <c r="N26" s="34" t="inlineStr">
        <is>
          <t>Mock PLE-CC 1 ข้อ 97</t>
        </is>
      </c>
      <c r="O26" s="35" t="inlineStr">
        <is>
          <t>Mock</t>
        </is>
      </c>
      <c r="P26" s="35" t="inlineStr">
        <is>
          <t>Mock RxCU83</t>
        </is>
      </c>
      <c r="Q26" s="2" t="n"/>
    </row>
    <row r="27" ht="409.6" customHeight="1" s="49">
      <c r="A27" s="33" t="n">
        <v>25</v>
      </c>
      <c r="B27" s="34"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35" t="n"/>
      <c r="D27" s="34" t="inlineStr">
        <is>
          <t>Enalapril</t>
        </is>
      </c>
      <c r="E27" s="34" t="inlineStr">
        <is>
          <t>Amlodipine</t>
        </is>
      </c>
      <c r="F27" s="34" t="inlineStr">
        <is>
          <t>Metformin</t>
        </is>
      </c>
      <c r="G27" s="34" t="inlineStr">
        <is>
          <t>Theophylline</t>
        </is>
      </c>
      <c r="H27" s="34" t="inlineStr">
        <is>
          <t>Tiotropium</t>
        </is>
      </c>
      <c r="I27" s="35" t="n">
        <v>4</v>
      </c>
      <c r="J27" s="34"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35" t="n"/>
      <c r="L27" s="34" t="inlineStr">
        <is>
          <t>Cardiovascular &amp; Pulmonary Pharmacology</t>
        </is>
      </c>
      <c r="M27" s="35" t="inlineStr">
        <is>
          <t>Clinic</t>
        </is>
      </c>
      <c r="N27" s="34" t="inlineStr">
        <is>
          <t>PLE_CC1_2567_Key ข้อ 2</t>
        </is>
      </c>
      <c r="O27" s="35" t="inlineStr">
        <is>
          <t>ข้อสอบจริง</t>
        </is>
      </c>
      <c r="P27" s="35" t="inlineStr">
        <is>
          <t>ปี 2567</t>
        </is>
      </c>
      <c r="Q27" s="2" t="n"/>
    </row>
    <row r="28" ht="409.6" customHeight="1" s="49">
      <c r="A28" s="33" t="n">
        <v>26</v>
      </c>
      <c r="B28" s="34" t="inlineStr">
        <is>
          <t>ยาตัวใดต่อไปนี้มีฤทธิ์ยับยั้งผลของ Angiotensin II ได้โดยตรงที่ตัวรับมากที่สุด (Direct Angiotensin II Receptor Blocker)</t>
        </is>
      </c>
      <c r="C28" s="35" t="n"/>
      <c r="D28" s="34" t="inlineStr">
        <is>
          <t>Aliskiren</t>
        </is>
      </c>
      <c r="E28" s="34" t="inlineStr">
        <is>
          <t>Enalapril</t>
        </is>
      </c>
      <c r="F28" s="34" t="inlineStr">
        <is>
          <t>Losartan</t>
        </is>
      </c>
      <c r="G28" s="34" t="inlineStr">
        <is>
          <t>Carvedilol</t>
        </is>
      </c>
      <c r="H28" s="34" t="inlineStr">
        <is>
          <t>Furosemide</t>
        </is>
      </c>
      <c r="I28" s="35" t="n">
        <v>3</v>
      </c>
      <c r="J28" s="34"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35" t="n"/>
      <c r="L28" s="34" t="inlineStr">
        <is>
          <t>Hypertension</t>
        </is>
      </c>
      <c r="M28" s="35" t="inlineStr">
        <is>
          <t>Clinic</t>
        </is>
      </c>
      <c r="N28" s="34" t="inlineStr">
        <is>
          <t>PLE_CC1_2567_Key ข้อ 1</t>
        </is>
      </c>
      <c r="O28" s="35" t="inlineStr">
        <is>
          <t>ข้อสอบจริง</t>
        </is>
      </c>
      <c r="P28" s="35" t="inlineStr">
        <is>
          <t>ปี 2567</t>
        </is>
      </c>
    </row>
    <row r="29" ht="409.6" customHeight="1" s="49">
      <c r="A29" s="33" t="n">
        <v>27</v>
      </c>
      <c r="B29" s="34"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35" t="n"/>
      <c r="D29" s="34" t="inlineStr">
        <is>
          <t>กระตุ้น transcription factor SREBP-2 เพื่อเพิ่มการแสดงออกของ LDL receptors บนผิวเซลล์ตับ</t>
        </is>
      </c>
      <c r="E29" s="34" t="inlineStr">
        <is>
          <t>ยับยั้งการแสดงออกของ LDL receptors บนผิวเซลล์ตับเพื่อลดการดูดกลับไขมัน</t>
        </is>
      </c>
      <c r="F29" s="34" t="inlineStr">
        <is>
          <t>กระตุ้นเอนไซม์ PCSK9 ให้ทำลาย LDL receptors ในกระแสเลือด</t>
        </is>
      </c>
      <c r="G29" s="34" t="inlineStr">
        <is>
          <t>ยับยั้งการทำงานของ Lipoprotein lipase (LPL) ที่ผนังหลอดเลือด</t>
        </is>
      </c>
      <c r="H29" s="34" t="inlineStr">
        <is>
          <t>เพิ่มการสังเคราะห์ Apolipoprotein B-100 ในเซลล์ตับ</t>
        </is>
      </c>
      <c r="I29" s="35" t="n">
        <v>1</v>
      </c>
      <c r="J29" s="34"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35" t="n"/>
      <c r="L29" s="34" t="inlineStr">
        <is>
          <t>Dyslipidemias</t>
        </is>
      </c>
      <c r="M29" s="35" t="inlineStr">
        <is>
          <t>Clinic</t>
        </is>
      </c>
      <c r="N29" s="34" t="inlineStr">
        <is>
          <t>PLE_CC1_2567_Key ข้อ 2</t>
        </is>
      </c>
      <c r="O29" s="35" t="inlineStr">
        <is>
          <t>ข้อสอบจริง</t>
        </is>
      </c>
      <c r="P29" s="35" t="inlineStr">
        <is>
          <t>ปี 2567</t>
        </is>
      </c>
    </row>
    <row r="30" ht="409.6" customHeight="1" s="49">
      <c r="A30" s="33" t="n">
        <v>28</v>
      </c>
      <c r="B30" s="34" t="inlineStr">
        <is>
          <t>กลไกการออกฤทธิ์ของยากลุ่ม Statins ที่ส่งผลให้ระดับคอเลสเตอรอลชนิด LDL ในเลือดลดลงคือข้อใด</t>
        </is>
      </c>
      <c r="C30" s="35" t="n"/>
      <c r="D30" s="34" t="inlineStr">
        <is>
          <t>ยับยั้งเอนไซม์ HMG-CoA reductase และเพิ่มจำนวน LDL receptors ที่ตับ</t>
        </is>
      </c>
      <c r="E30" s="34" t="inlineStr">
        <is>
          <t>5-alpha reductase inhibitor</t>
        </is>
      </c>
      <c r="F30" s="34" t="inlineStr">
        <is>
          <t>Aldose reductase inhibitor</t>
        </is>
      </c>
      <c r="G30" s="34" t="inlineStr">
        <is>
          <t>Dihydrofolate reductase inhibitor</t>
        </is>
      </c>
      <c r="H30" s="34" t="inlineStr">
        <is>
          <t>Dihydropteroate synthase inhibitor</t>
        </is>
      </c>
      <c r="I30" s="35" t="n">
        <v>1</v>
      </c>
      <c r="J30" s="34"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35" t="n"/>
      <c r="L30" s="34" t="inlineStr">
        <is>
          <t>Dyslipidemias</t>
        </is>
      </c>
      <c r="M30" s="35" t="inlineStr">
        <is>
          <t>Clinic</t>
        </is>
      </c>
      <c r="N30" s="34" t="inlineStr">
        <is>
          <t>PLE_CC1_2567_Key ข้อ 4</t>
        </is>
      </c>
      <c r="O30" s="35" t="inlineStr">
        <is>
          <t>ข้อสอบจริง</t>
        </is>
      </c>
      <c r="P30" s="35" t="inlineStr">
        <is>
          <t>ปี 2567</t>
        </is>
      </c>
      <c r="Q30" s="2" t="n"/>
    </row>
    <row r="31" ht="409.6" customHeight="1" s="49">
      <c r="A31" s="33" t="n">
        <v>29</v>
      </c>
      <c r="B31" s="34"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35" t="n"/>
      <c r="D31" s="34" t="inlineStr">
        <is>
          <t>Rhabdomyolysis</t>
        </is>
      </c>
      <c r="E31" s="34" t="inlineStr">
        <is>
          <t>Severe Hypotension</t>
        </is>
      </c>
      <c r="F31" s="34" t="inlineStr">
        <is>
          <t>Hyperkalemia</t>
        </is>
      </c>
      <c r="G31" s="34" t="inlineStr">
        <is>
          <t>Bradycardia</t>
        </is>
      </c>
      <c r="H31" s="34" t="inlineStr">
        <is>
          <t>Nausea and Vomiting</t>
        </is>
      </c>
      <c r="I31" s="35" t="n">
        <v>1</v>
      </c>
      <c r="J31" s="34"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35" t="n"/>
      <c r="L31" s="34" t="inlineStr">
        <is>
          <t>Dyslipidemias</t>
        </is>
      </c>
      <c r="M31" s="35" t="inlineStr">
        <is>
          <t>Clinic</t>
        </is>
      </c>
      <c r="N31" s="34" t="inlineStr">
        <is>
          <t>PLE_CC1_2567_Key ข้อ 5</t>
        </is>
      </c>
      <c r="O31" s="35" t="inlineStr">
        <is>
          <t>ข้อสอบจริง</t>
        </is>
      </c>
      <c r="P31" s="35" t="inlineStr">
        <is>
          <t>ปี 2567</t>
        </is>
      </c>
      <c r="Q31" s="2" t="n"/>
    </row>
    <row r="32" ht="409.6" customHeight="1" s="49">
      <c r="A32" s="33" t="n">
        <v>30</v>
      </c>
      <c r="B32" s="34"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35" t="n"/>
      <c r="D32" s="34" t="inlineStr">
        <is>
          <t>Rosuvastatin</t>
        </is>
      </c>
      <c r="E32" s="34" t="inlineStr">
        <is>
          <t>Simvastatin</t>
        </is>
      </c>
      <c r="F32" s="34" t="inlineStr">
        <is>
          <t>Lovastatin</t>
        </is>
      </c>
      <c r="G32" s="34" t="inlineStr">
        <is>
          <t>Pravastatin</t>
        </is>
      </c>
      <c r="H32" s="34" t="inlineStr">
        <is>
          <t>Fluvastatin IR</t>
        </is>
      </c>
      <c r="I32" s="35" t="n">
        <v>1</v>
      </c>
      <c r="J32" s="34"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35" t="n"/>
      <c r="L32" s="34" t="inlineStr">
        <is>
          <t>Dyslipidemias</t>
        </is>
      </c>
      <c r="M32" s="35" t="inlineStr">
        <is>
          <t>Clinic</t>
        </is>
      </c>
      <c r="N32" s="34" t="inlineStr">
        <is>
          <t>PLE_CC1_2567_Key ข้อ 6</t>
        </is>
      </c>
      <c r="O32" s="35" t="inlineStr">
        <is>
          <t>ข้อสอบจริง</t>
        </is>
      </c>
      <c r="P32" s="35" t="inlineStr">
        <is>
          <t>ปี 2567</t>
        </is>
      </c>
      <c r="Q32" s="2" t="n"/>
    </row>
    <row r="33" ht="409.6" customHeight="1" s="49">
      <c r="A33" s="33" t="n">
        <v>31</v>
      </c>
      <c r="B33" s="34" t="inlineStr">
        <is>
          <t>ในตำรับยาเม็ดหรือสารละลายยาฉีด Edetate disodium (Disodium EDTA) ทำหน้าที่เป็นสารช่วยทางเภสัชกรรม (Excipient) ชนิดใด</t>
        </is>
      </c>
      <c r="C33" s="35" t="n"/>
      <c r="D33" s="34" t="inlineStr">
        <is>
          <t>Buffering agent</t>
        </is>
      </c>
      <c r="E33" s="34" t="inlineStr">
        <is>
          <t>Chelating agent</t>
        </is>
      </c>
      <c r="F33" s="34" t="inlineStr">
        <is>
          <t>pH adjustment</t>
        </is>
      </c>
      <c r="G33" s="34" t="inlineStr">
        <is>
          <t>Tonicity agent</t>
        </is>
      </c>
      <c r="H33" s="34" t="inlineStr">
        <is>
          <t>Preservative</t>
        </is>
      </c>
      <c r="I33" s="35" t="n">
        <v>2</v>
      </c>
      <c r="J33" s="34"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35" t="n"/>
      <c r="L33" s="34" t="inlineStr">
        <is>
          <t>Pharmaceutics &amp; Excipients</t>
        </is>
      </c>
      <c r="M33" s="35" t="inlineStr">
        <is>
          <t>Clinic</t>
        </is>
      </c>
      <c r="N33" s="34" t="inlineStr">
        <is>
          <t>PLE_CC1_2567_Key ข้อ 7</t>
        </is>
      </c>
      <c r="O33" s="35" t="inlineStr">
        <is>
          <t>ข้อสอบจริง</t>
        </is>
      </c>
      <c r="P33" s="35" t="inlineStr">
        <is>
          <t>ปี 2567</t>
        </is>
      </c>
      <c r="Q33" s="2" t="n"/>
    </row>
    <row r="34" ht="409.6" customHeight="1" s="49">
      <c r="A34" s="33" t="n">
        <v>32</v>
      </c>
      <c r="B34" s="34"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35" t="n"/>
      <c r="D34" s="34" t="inlineStr">
        <is>
          <t>Fentanyl</t>
        </is>
      </c>
      <c r="E34" s="34" t="inlineStr">
        <is>
          <t>Thiamine</t>
        </is>
      </c>
      <c r="F34" s="34" t="inlineStr">
        <is>
          <t>Naloxone</t>
        </is>
      </c>
      <c r="G34" s="34" t="inlineStr">
        <is>
          <t>Flumazenil</t>
        </is>
      </c>
      <c r="H34" s="34" t="inlineStr">
        <is>
          <t>Bromocriptine</t>
        </is>
      </c>
      <c r="I34" s="35" t="n">
        <v>3</v>
      </c>
      <c r="J34" s="34"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35" t="n"/>
      <c r="L34" s="34" t="inlineStr">
        <is>
          <t>Toxicology &amp; Critical Care</t>
        </is>
      </c>
      <c r="M34" s="35" t="inlineStr">
        <is>
          <t>Clinic</t>
        </is>
      </c>
      <c r="N34" s="34" t="inlineStr">
        <is>
          <t>PLE_CC1_2567_Key ข้อ 14</t>
        </is>
      </c>
      <c r="O34" s="35" t="inlineStr">
        <is>
          <t>ข้อสอบจริง</t>
        </is>
      </c>
      <c r="P34" s="35" t="inlineStr">
        <is>
          <t>ปี 2567</t>
        </is>
      </c>
      <c r="Q34" s="2" t="n"/>
    </row>
    <row r="35" ht="409.6" customHeight="1" s="49">
      <c r="A35" s="33" t="n">
        <v>33</v>
      </c>
      <c r="B35" s="34"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35" t="n"/>
      <c r="D35" s="34" t="inlineStr">
        <is>
          <t>Docusate sodium</t>
        </is>
      </c>
      <c r="E35" s="34" t="inlineStr">
        <is>
          <t>Bisacodyl tablet</t>
        </is>
      </c>
      <c r="F35" s="34" t="inlineStr">
        <is>
          <t>Milk of Magnesia (MOM)</t>
        </is>
      </c>
      <c r="G35" s="34" t="inlineStr">
        <is>
          <t>Glycerin suppository</t>
        </is>
      </c>
      <c r="H35" s="34" t="inlineStr">
        <is>
          <t>Psyllium husk</t>
        </is>
      </c>
      <c r="I35" s="35" t="n">
        <v>4</v>
      </c>
      <c r="J35" s="34"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35" t="n"/>
      <c r="L35" s="34" t="inlineStr">
        <is>
          <t>Cardiovascular Pharmacology &amp; ADR Management</t>
        </is>
      </c>
      <c r="M35" s="35" t="inlineStr">
        <is>
          <t>Clinic</t>
        </is>
      </c>
      <c r="N35" s="34" t="inlineStr">
        <is>
          <t>PLE_CC1_2567_Key ข้อ 24</t>
        </is>
      </c>
      <c r="O35" s="35" t="inlineStr">
        <is>
          <t>ข้อสอบจริง</t>
        </is>
      </c>
      <c r="P35" s="35" t="inlineStr">
        <is>
          <t>ปี 2567</t>
        </is>
      </c>
      <c r="Q35" s="2" t="n"/>
    </row>
    <row r="36" ht="409.6" customHeight="1" s="49">
      <c r="A36" s="33" t="n">
        <v>34</v>
      </c>
      <c r="B36" s="34"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35" t="n"/>
      <c r="D36" s="34" t="inlineStr">
        <is>
          <t>Simvastatin 40 mg hs</t>
        </is>
      </c>
      <c r="E36" s="34" t="inlineStr">
        <is>
          <t>Rosuvastatin 40 mg hs</t>
        </is>
      </c>
      <c r="F36" s="34" t="inlineStr">
        <is>
          <t>Pravastatin 20 mg hs</t>
        </is>
      </c>
      <c r="G36" s="34" t="inlineStr">
        <is>
          <t>Atorvastatin 40 mg hs</t>
        </is>
      </c>
      <c r="H36" s="34" t="inlineStr">
        <is>
          <t>Fluvastatin 20 mg hs</t>
        </is>
      </c>
      <c r="I36" s="35" t="n">
        <v>4</v>
      </c>
      <c r="J36" s="34"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35" t="n"/>
      <c r="L36" s="34" t="inlineStr">
        <is>
          <t>Dyslipidemias &amp; Renal Impairment</t>
        </is>
      </c>
      <c r="M36" s="35" t="inlineStr">
        <is>
          <t>Clinic</t>
        </is>
      </c>
      <c r="N36" s="34" t="inlineStr">
        <is>
          <t>PLE_CC1_2567_Key ข้อ 51</t>
        </is>
      </c>
      <c r="O36" s="35" t="inlineStr">
        <is>
          <t>ข้อสอบจริง</t>
        </is>
      </c>
      <c r="P36" s="35" t="inlineStr">
        <is>
          <t>ปี 2567</t>
        </is>
      </c>
      <c r="Q36" s="2" t="n"/>
    </row>
    <row r="37" ht="409.6" customHeight="1" s="49">
      <c r="A37" s="33" t="n">
        <v>35</v>
      </c>
      <c r="B37" s="34" t="inlineStr">
        <is>
          <t>ข้อใดเป็นข้อห้ามใช้เด็ดขาด (Absolute Contraindication) ของยากลุ่ม Statins</t>
        </is>
      </c>
      <c r="C37" s="35" t="n"/>
      <c r="D37" s="34" t="inlineStr">
        <is>
          <t>การติดเชื้อในทางเดินปัสสาวะ</t>
        </is>
      </c>
      <c r="E37" s="34" t="inlineStr">
        <is>
          <t>นิ่วในถุงน้ำดี</t>
        </is>
      </c>
      <c r="F37" s="34" t="inlineStr">
        <is>
          <t>ภาวะตั้งครรภ์และให้นมบุตร</t>
        </is>
      </c>
      <c r="G37" s="34" t="inlineStr">
        <is>
          <t>โรคไตเรื้อรัง ระยะ 3a</t>
        </is>
      </c>
      <c r="H37" s="34" t="inlineStr">
        <is>
          <t>โรคหลอดเลือดสมองขาดเลือด</t>
        </is>
      </c>
      <c r="I37" s="35" t="n">
        <v>3</v>
      </c>
      <c r="J37" s="34"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35" t="n"/>
      <c r="L37" s="34" t="inlineStr">
        <is>
          <t>Dyslipidemias</t>
        </is>
      </c>
      <c r="M37" s="35" t="inlineStr">
        <is>
          <t>Clinic</t>
        </is>
      </c>
      <c r="N37" s="34" t="inlineStr">
        <is>
          <t>PLE_CC1_2567_Key ข้อ 52</t>
        </is>
      </c>
      <c r="O37" s="35" t="inlineStr">
        <is>
          <t>ข้อสอบจริง</t>
        </is>
      </c>
      <c r="P37" s="35" t="inlineStr">
        <is>
          <t>ปี 2567</t>
        </is>
      </c>
      <c r="Q37" s="2" t="n"/>
    </row>
    <row r="38" ht="409.6" customHeight="1" s="49">
      <c r="A38" s="33" t="n">
        <v>36</v>
      </c>
      <c r="B38" s="34"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35" t="n"/>
      <c r="D38" s="34" t="inlineStr">
        <is>
          <t>Atorvastatin สามารถใช้ขนาดยาสูง 40-80 mg/day ได้โดยไม่ต้องปรับขนาดยาตามค่าการทำงานของไต</t>
        </is>
      </c>
      <c r="E38" s="34" t="inlineStr">
        <is>
          <t>Rosuvastatin สามารถปรับเพิ่มขนาดยาได้สูงสุดถึง 40 mg/day ในผู้ป่วยไตเรื้อรังทุกระยะ</t>
        </is>
      </c>
      <c r="F38" s="34" t="inlineStr">
        <is>
          <t>ห้ามใช้ยากลุ่ม Statins ทุกชนิดในผู้ป่วยที่มีค่า eGFR &lt; 60 mL/min/1.73 m2</t>
        </is>
      </c>
      <c r="G38" s="34" t="inlineStr">
        <is>
          <t>ควรเปลี่ยนไปใช้ Gemfibrozil เดี่ยวๆ แทน Statin เพื่อป้องกันพิษต่อไต</t>
        </is>
      </c>
      <c r="H38" s="34" t="inlineStr">
        <is>
          <t>ต้องลดขนาดยา Atorvastatin ลงครึ่งหนึ่งเสมอเมื่อค่า eGFR ต่ำกว่า 60 mL/min/1.73 m2</t>
        </is>
      </c>
      <c r="I38" s="35" t="n">
        <v>1</v>
      </c>
      <c r="J38" s="34"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35" t="n"/>
      <c r="L38" s="34" t="inlineStr">
        <is>
          <t>Dyslipidemias &amp; Renal Impairment</t>
        </is>
      </c>
      <c r="M38" s="35" t="inlineStr">
        <is>
          <t>Clinic</t>
        </is>
      </c>
      <c r="N38" s="34" t="inlineStr">
        <is>
          <t>PLE_CC1_2567_Key ข้อ 52</t>
        </is>
      </c>
      <c r="O38" s="35" t="inlineStr">
        <is>
          <t>ข้อสอบจริง</t>
        </is>
      </c>
      <c r="P38" s="35" t="inlineStr">
        <is>
          <t>ปี 2567</t>
        </is>
      </c>
      <c r="Q38" s="2" t="n"/>
    </row>
    <row r="39" ht="409.6" customHeight="1" s="49">
      <c r="A39" s="33" t="n">
        <v>37</v>
      </c>
      <c r="B39" s="34"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35" t="n"/>
      <c r="D39" s="34" t="inlineStr">
        <is>
          <t>ระดับการติดนิโคตินต่ำมาก (Low dependence: HSI 0-1)</t>
        </is>
      </c>
      <c r="E39" s="34" t="inlineStr">
        <is>
          <t>ระดับการติดนิโคตินปานกลาง (Moderate dependence: HSI 2-3)</t>
        </is>
      </c>
      <c r="F39" s="34" t="inlineStr">
        <is>
          <t>ระดับการติดนิโคตินสูง (High / Heavy dependence: HSI 5-6)</t>
        </is>
      </c>
      <c r="G39" s="34" t="inlineStr">
        <is>
          <t>ไม่สามารถประเมินได้จากข้อมูลที่มีอยู่</t>
        </is>
      </c>
      <c r="H39" s="34" t="inlineStr">
        <is>
          <t>ผู้ป่วยไม่มีภาวะติดนิโคตินทางสรีรวิทยา</t>
        </is>
      </c>
      <c r="I39" s="35" t="n">
        <v>3</v>
      </c>
      <c r="J39" s="34"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35" t="n"/>
      <c r="L39" s="34" t="inlineStr">
        <is>
          <t>Cardiovascular Risk &amp; Smoking Cessation</t>
        </is>
      </c>
      <c r="M39" s="35" t="inlineStr">
        <is>
          <t>Clinic</t>
        </is>
      </c>
      <c r="N39" s="34" t="inlineStr">
        <is>
          <t>PLE_CC1_2567_Key ข้อ 55</t>
        </is>
      </c>
      <c r="O39" s="35" t="inlineStr">
        <is>
          <t>ข้อสอบจริง</t>
        </is>
      </c>
      <c r="P39" s="35" t="inlineStr">
        <is>
          <t>ปี 2567</t>
        </is>
      </c>
    </row>
    <row r="40" ht="409.6" customHeight="1" s="49">
      <c r="A40" s="33" t="n">
        <v>38</v>
      </c>
      <c r="B40" s="34" t="inlineStr">
        <is>
          <t>ยาลดความดันโลหิตในข้อใดต่อไปนี้ ส่งผลต่อการขยายหลอดเลือด (Vasodilation) น้อยที่สุด</t>
        </is>
      </c>
      <c r="C40" s="35" t="n"/>
      <c r="D40" s="34" t="inlineStr">
        <is>
          <t>Atenolol</t>
        </is>
      </c>
      <c r="E40" s="34" t="inlineStr">
        <is>
          <t>Amlodipine</t>
        </is>
      </c>
      <c r="F40" s="34" t="inlineStr">
        <is>
          <t>Prazosin</t>
        </is>
      </c>
      <c r="G40" s="34" t="inlineStr">
        <is>
          <t>Hydralazine</t>
        </is>
      </c>
      <c r="H40" s="34" t="inlineStr">
        <is>
          <t>Sodium Nitroprusside</t>
        </is>
      </c>
      <c r="I40" s="35" t="n">
        <v>1</v>
      </c>
      <c r="J40" s="34"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35" t="n"/>
      <c r="L40" s="34" t="inlineStr">
        <is>
          <t>Hypertension Pharmacology</t>
        </is>
      </c>
      <c r="M40" s="35" t="inlineStr">
        <is>
          <t>Clinic</t>
        </is>
      </c>
      <c r="N40" s="34" t="inlineStr">
        <is>
          <t>PLE_CC1_2567_Key ข้อ 84</t>
        </is>
      </c>
      <c r="O40" s="35" t="inlineStr">
        <is>
          <t>ข้อสอบจริง</t>
        </is>
      </c>
      <c r="P40" s="35" t="inlineStr">
        <is>
          <t>ปี 2567</t>
        </is>
      </c>
      <c r="Q40" s="2" t="n"/>
    </row>
    <row r="41" ht="409.6" customHeight="1" s="49">
      <c r="A41" s="33" t="n">
        <v>39</v>
      </c>
      <c r="B41" s="34"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35" t="n"/>
      <c r="D41" s="34" t="inlineStr">
        <is>
          <t>Rosuvastatin (มีหมู่ Sulfonamide และ Pyrimidine ring ที่จับกับประจุบวกได้ดี)</t>
        </is>
      </c>
      <c r="E41" s="34" t="inlineStr">
        <is>
          <t>Atorvastatin</t>
        </is>
      </c>
      <c r="F41" s="34" t="inlineStr">
        <is>
          <t>Simvastatin</t>
        </is>
      </c>
      <c r="G41" s="34" t="inlineStr">
        <is>
          <t>Pravastatin</t>
        </is>
      </c>
      <c r="H41" s="34" t="inlineStr">
        <is>
          <t>Pitavastatin</t>
        </is>
      </c>
      <c r="I41" s="35" t="n">
        <v>1</v>
      </c>
      <c r="J41" s="34"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35" t="n"/>
      <c r="L41" s="34" t="inlineStr">
        <is>
          <t>Dyslipidemias &amp; Drug Interactions</t>
        </is>
      </c>
      <c r="M41" s="35" t="inlineStr">
        <is>
          <t>Clinic</t>
        </is>
      </c>
      <c r="N41" s="34" t="inlineStr">
        <is>
          <t>PLE_CC1_2567_Key ข้อ 101</t>
        </is>
      </c>
      <c r="O41" s="35" t="inlineStr">
        <is>
          <t>ข้อสอบจริง</t>
        </is>
      </c>
      <c r="P41" s="35" t="inlineStr">
        <is>
          <t>ปี 2567</t>
        </is>
      </c>
    </row>
    <row r="42" ht="409.6" customHeight="1" s="49">
      <c r="A42" s="33" t="n">
        <v>40</v>
      </c>
      <c r="B42" s="34"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35" t="n"/>
      <c r="D42" s="34" t="inlineStr">
        <is>
          <t>การใช้ยา Naproxen เป็นเวลานาน</t>
        </is>
      </c>
      <c r="E42" s="34" t="inlineStr">
        <is>
          <t>อายุมากกว่า 65 ปี</t>
        </is>
      </c>
      <c r="F42" s="34" t="inlineStr">
        <is>
          <t>ภาวะโรคอ้วน (Obesity)</t>
        </is>
      </c>
      <c r="G42" s="34" t="inlineStr">
        <is>
          <t>การใช้ยา Aspirin ร่วมด้วยเป็นเวลานาน</t>
        </is>
      </c>
      <c r="H42" s="34" t="inlineStr">
        <is>
          <t>การติดเชื้อ Helicobacter pylori ในกระเพาะอาหาร</t>
        </is>
      </c>
      <c r="I42" s="35" t="n">
        <v>3</v>
      </c>
      <c r="J42" s="34"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35" t="n"/>
      <c r="L42" s="34" t="inlineStr">
        <is>
          <t>Cardiovascular Pharmacology &amp; GI Risk</t>
        </is>
      </c>
      <c r="M42" s="35" t="inlineStr">
        <is>
          <t>Clinic</t>
        </is>
      </c>
      <c r="N42" s="34" t="inlineStr">
        <is>
          <t>PLE_CC1_2567_Set1_Key ข้อ 8</t>
        </is>
      </c>
      <c r="O42" s="35" t="inlineStr">
        <is>
          <t>ข้อสอบจริง</t>
        </is>
      </c>
      <c r="P42" s="35" t="inlineStr">
        <is>
          <t>ปี 2567</t>
        </is>
      </c>
      <c r="Q42" s="2" t="n"/>
    </row>
    <row r="43" ht="409.6" customHeight="1" s="49">
      <c r="A43" s="33" t="n">
        <v>41</v>
      </c>
      <c r="B43" s="34"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35" t="n"/>
      <c r="D43" s="34" t="inlineStr">
        <is>
          <t>Bismuth quadruple therapy (PPI + Bismuth subsalicylate + Metronidazole + Tetracycline) นาน 14 วัน</t>
        </is>
      </c>
      <c r="E43" s="34" t="inlineStr">
        <is>
          <t>Clarithromycin triple therapy (PPI + Clarithromycin + Amoxicillin) นาน 7 วัน</t>
        </is>
      </c>
      <c r="F43" s="34" t="inlineStr">
        <is>
          <t>Levofloxacin triple therapy (PPI + Levofloxacin + Amoxicillin) นาน 10 วัน</t>
        </is>
      </c>
      <c r="G43" s="34" t="inlineStr">
        <is>
          <t>Dual therapy (PPI + Metronidazole) นาน 14 วัน</t>
        </is>
      </c>
      <c r="H43" s="34" t="inlineStr">
        <is>
          <t>Sequential therapy นาน 5 วัน</t>
        </is>
      </c>
      <c r="I43" s="35" t="n">
        <v>1</v>
      </c>
      <c r="J43" s="34"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35" t="n"/>
      <c r="L43" s="34" t="inlineStr">
        <is>
          <t>Cardiovascular &amp; GI Comorbidities</t>
        </is>
      </c>
      <c r="M43" s="35" t="inlineStr">
        <is>
          <t>Clinic</t>
        </is>
      </c>
      <c r="N43" s="34" t="inlineStr">
        <is>
          <t>PLE_CC1_2567_Set1_Key ข้อ 9</t>
        </is>
      </c>
      <c r="O43" s="35" t="inlineStr">
        <is>
          <t>ข้อสอบจริง</t>
        </is>
      </c>
      <c r="P43" s="35" t="inlineStr">
        <is>
          <t>ปี 2567</t>
        </is>
      </c>
      <c r="Q43" s="2" t="n"/>
    </row>
    <row r="44" ht="409.6" customHeight="1" s="49">
      <c r="A44" s="33" t="n">
        <v>42</v>
      </c>
      <c r="B44" s="34"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4" s="35" t="n"/>
      <c r="D44" s="34" t="inlineStr">
        <is>
          <t>Left Ventricular Hypertrophy (LVH) และกล้ามเนื้อหัวใจขาดเลือด</t>
        </is>
      </c>
      <c r="E44" s="34" t="inlineStr">
        <is>
          <t>Type I Hypersensitivity reaction</t>
        </is>
      </c>
      <c r="F44" s="34" t="inlineStr">
        <is>
          <t>Type II Cytotoxic reaction</t>
        </is>
      </c>
      <c r="G44" s="34" t="inlineStr">
        <is>
          <t>Osteoarthritis ของข้อเข่า</t>
        </is>
      </c>
      <c r="H44" s="34" t="inlineStr">
        <is>
          <t>Acute Appendicitis</t>
        </is>
      </c>
      <c r="I44" s="35" t="n">
        <v>1</v>
      </c>
      <c r="J44" s="34"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4" s="35" t="n"/>
      <c r="L44" s="34" t="inlineStr">
        <is>
          <t>Hypertension &amp; Target Organ Damage</t>
        </is>
      </c>
      <c r="M44" s="35" t="inlineStr">
        <is>
          <t>Clinic</t>
        </is>
      </c>
      <c r="N44" s="34" t="inlineStr">
        <is>
          <t>PLE_CC1_2567_Set1_Key ข้อ 83</t>
        </is>
      </c>
      <c r="O44" s="35" t="inlineStr">
        <is>
          <t>ข้อสอบจริง</t>
        </is>
      </c>
      <c r="P44" s="35" t="inlineStr">
        <is>
          <t>ปี 2567</t>
        </is>
      </c>
    </row>
    <row r="45" ht="409.6" customHeight="1" s="49">
      <c r="A45" s="33" t="n">
        <v>43</v>
      </c>
      <c r="B45" s="34"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5" s="35" t="n"/>
      <c r="D45" s="34" t="inlineStr">
        <is>
          <t>High normal</t>
        </is>
      </c>
      <c r="E45" s="34" t="inlineStr">
        <is>
          <t>Hypertension Grade 1 (ระดับที่ 1)</t>
        </is>
      </c>
      <c r="F45" s="34" t="inlineStr">
        <is>
          <t>Hypertension Grade 2 (ระดับที่ 2)</t>
        </is>
      </c>
      <c r="G45" s="34" t="inlineStr">
        <is>
          <t>Hypertension Grade 3 (ระดับที่ 3)</t>
        </is>
      </c>
      <c r="H45" s="34" t="inlineStr">
        <is>
          <t>Isolated systolic hypertension</t>
        </is>
      </c>
      <c r="I45" s="35" t="n">
        <v>2</v>
      </c>
      <c r="J45" s="34"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5" s="35" t="n"/>
      <c r="L45" s="34" t="inlineStr">
        <is>
          <t>Hypertension</t>
        </is>
      </c>
      <c r="M45" s="35" t="inlineStr">
        <is>
          <t>Clinic</t>
        </is>
      </c>
      <c r="N45" s="34" t="inlineStr">
        <is>
          <t>PLE-CC1 ปี 2566 Day 1 ข้อ 9</t>
        </is>
      </c>
      <c r="O45" s="35" t="inlineStr">
        <is>
          <t>ข้อสอบจริง</t>
        </is>
      </c>
      <c r="P45" s="35" t="inlineStr">
        <is>
          <t>ปี 2567</t>
        </is>
      </c>
      <c r="Q45" s="2" t="n"/>
    </row>
    <row r="46" ht="409.6" customHeight="1" s="49">
      <c r="A46" s="33" t="n">
        <v>44</v>
      </c>
      <c r="B46" s="34" t="inlineStr">
        <is>
          <t>ข้อใดกล่าว 'ไม่ถูกต้อง' เกี่ยวกับคุณสมบัติทางเภสัชจลนศาสตร์และเภสัชวิทยาของยา Rosuvastatin</t>
        </is>
      </c>
      <c r="C46" s="35" t="n"/>
      <c r="D46" s="34" t="inlineStr">
        <is>
          <t>มีคุณสมบัติชอบน้ำ (Hydrophilic statin)</t>
        </is>
      </c>
      <c r="E46" s="34" t="inlineStr">
        <is>
          <t>ถูกเปลี่ยนแปลงสภาพผ่านเอนไซม์ CYP3A4 เป็นหลักในตับ</t>
        </is>
      </c>
      <c r="F46" s="34" t="inlineStr">
        <is>
          <t>ส่วนใหญ่ขับออกทางอุจจาระและน้ำดีในรูปเดิมที่ไม่เปลี่ยนแปลง</t>
        </is>
      </c>
      <c r="G46" s="34" t="inlineStr">
        <is>
          <t>ถูกเปลี่ยนแปลงสภาพผ่านเอนไซม์ CYP2C9 เล็กน้อย (ประมาณ 10%)</t>
        </is>
      </c>
      <c r="H46" s="34" t="inlineStr">
        <is>
          <t>มีค่าครึ่งชีวิตการกำจัดยา (Elimination half-life) ยาวนานประมาณ 19 ชั่วโมง</t>
        </is>
      </c>
      <c r="I46" s="35" t="n">
        <v>2</v>
      </c>
      <c r="J46" s="34"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6" s="35" t="n"/>
      <c r="L46" s="34" t="inlineStr">
        <is>
          <t>Dyslipidemias Pharmacology</t>
        </is>
      </c>
      <c r="M46" s="35" t="inlineStr">
        <is>
          <t>Clinic</t>
        </is>
      </c>
      <c r="N46" s="34" t="inlineStr">
        <is>
          <t>PLE-CC1 ปี 2566 Day 1 ข้อ 19</t>
        </is>
      </c>
      <c r="O46" s="35" t="inlineStr">
        <is>
          <t>ข้อสอบจริง</t>
        </is>
      </c>
      <c r="P46" s="35" t="inlineStr">
        <is>
          <t>ปี 2566</t>
        </is>
      </c>
    </row>
    <row r="47" ht="409.6" customHeight="1" s="49">
      <c r="A47" s="33" t="n">
        <v>45</v>
      </c>
      <c r="B47" s="34"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7" s="35" t="n"/>
      <c r="D47" s="34" t="inlineStr">
        <is>
          <t>Fenofibrate 160 mg OD</t>
        </is>
      </c>
      <c r="E47" s="34" t="inlineStr">
        <is>
          <t>Gemfibrozil 600 mg BID</t>
        </is>
      </c>
      <c r="F47" s="34" t="inlineStr">
        <is>
          <t>ปรับเพิ่ม Rosuvastatin เป็น 40 mg OD</t>
        </is>
      </c>
      <c r="G47" s="34" t="inlineStr">
        <is>
          <t>Spironolactone 25 mg OD</t>
        </is>
      </c>
      <c r="H47" s="34" t="inlineStr">
        <is>
          <t>Niacin immediate release 1000 mg BID</t>
        </is>
      </c>
      <c r="I47" s="35" t="n">
        <v>1</v>
      </c>
      <c r="J47" s="34"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7" s="35" t="n"/>
      <c r="L47" s="34" t="inlineStr">
        <is>
          <t>Dyslipidemias</t>
        </is>
      </c>
      <c r="M47" s="35" t="inlineStr">
        <is>
          <t>Clinic</t>
        </is>
      </c>
      <c r="N47" s="34" t="inlineStr">
        <is>
          <t>PLE-CC1 ปี 2566 Day 1 ข้อ 20</t>
        </is>
      </c>
      <c r="O47" s="35" t="inlineStr">
        <is>
          <t>ข้อสอบจริง</t>
        </is>
      </c>
      <c r="P47" s="35" t="inlineStr">
        <is>
          <t>ปี 2566</t>
        </is>
      </c>
    </row>
    <row r="48" ht="409.6" customHeight="1" s="49">
      <c r="A48" s="33" t="n">
        <v>46</v>
      </c>
      <c r="B48" s="34"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48" s="35" t="n"/>
      <c r="D48" s="34" t="inlineStr">
        <is>
          <t>การดื่มแอลกอฮอล์ในปริมาณมากร่วมกับภาวะโรคอ้วน (Obesity)</t>
        </is>
      </c>
      <c r="E48" s="34" t="inlineStr">
        <is>
          <t>การใช้ยา Metformin 500 mg BID</t>
        </is>
      </c>
      <c r="F48" s="34" t="inlineStr">
        <is>
          <t>การใช้ยา Rosuvastatin 10 mg OD</t>
        </is>
      </c>
      <c r="G48" s="34" t="inlineStr">
        <is>
          <t>ระดับ HbA1c 6.9%</t>
        </is>
      </c>
      <c r="H48" s="34" t="inlineStr">
        <is>
          <t>การรับประทานอาหารที่มีโซเดียมสูง</t>
        </is>
      </c>
      <c r="I48" s="35" t="n">
        <v>1</v>
      </c>
      <c r="J48" s="34"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48" s="35" t="n"/>
      <c r="L48" s="34" t="inlineStr">
        <is>
          <t>Dyslipidemias</t>
        </is>
      </c>
      <c r="M48" s="35" t="inlineStr">
        <is>
          <t>Clinic</t>
        </is>
      </c>
      <c r="N48" s="34" t="inlineStr">
        <is>
          <t>PLE-CC1 ปี 2566 Day 1 ข้อ 43</t>
        </is>
      </c>
      <c r="O48" s="35" t="inlineStr">
        <is>
          <t>ข้อสอบจริง</t>
        </is>
      </c>
      <c r="P48" s="35" t="inlineStr">
        <is>
          <t>ปี 2566</t>
        </is>
      </c>
    </row>
    <row r="49" ht="409.6" customHeight="1" s="49">
      <c r="A49" s="33" t="n">
        <v>47</v>
      </c>
      <c r="B49" s="34"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49" s="35" t="n"/>
      <c r="D49" s="34" t="inlineStr">
        <is>
          <t>อายุมากกว่า 65 ปี และมีภาวะการทำงานของไตหรือตับบกพร่อง</t>
        </is>
      </c>
      <c r="E49" s="34" t="inlineStr">
        <is>
          <t>การใช้ยา Aspirin ร่วมด้วยในขนาดต่ำ</t>
        </is>
      </c>
      <c r="F49" s="34" t="inlineStr">
        <is>
          <t>เพศชาย</t>
        </is>
      </c>
      <c r="G49" s="34" t="inlineStr">
        <is>
          <t>การรับประทานอาหารที่มีไขมันสูงเป็นประจำ</t>
        </is>
      </c>
      <c r="H49" s="34" t="inlineStr">
        <is>
          <t>ระดับไขมัน HDL-C สูงกว่า 60 mg/dL</t>
        </is>
      </c>
      <c r="I49" s="35" t="inlineStr">
        <is>
          <t>1</t>
        </is>
      </c>
      <c r="J49" s="34"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49" s="35" t="inlineStr">
        <is>
          <t>Dyslipidemias</t>
        </is>
      </c>
      <c r="L49" s="34" t="inlineStr">
        <is>
          <t>PLE-CC1 ปี 2566 Day 1 ข้อ 45</t>
        </is>
      </c>
      <c r="M49" s="35" t="inlineStr">
        <is>
          <t>Clinic</t>
        </is>
      </c>
      <c r="N49" s="34" t="inlineStr">
        <is>
          <t>PLE-CC1 ปี 2566 Day 1 ข้อ 45</t>
        </is>
      </c>
      <c r="O49" s="35" t="inlineStr">
        <is>
          <t>ข้อสอบจริง</t>
        </is>
      </c>
      <c r="P49" s="35" t="inlineStr">
        <is>
          <t>ปี 2566</t>
        </is>
      </c>
    </row>
    <row r="50" ht="409.6" customHeight="1" s="49">
      <c r="A50" s="33" t="n">
        <v>48</v>
      </c>
      <c r="B50" s="34"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0" s="35" t="n"/>
      <c r="D50" s="34" t="inlineStr">
        <is>
          <t>Serum Uric acid</t>
        </is>
      </c>
      <c r="E50" s="34" t="inlineStr">
        <is>
          <t>Alanine Aminotransferase (ALT)</t>
        </is>
      </c>
      <c r="F50" s="34" t="inlineStr">
        <is>
          <t>Lipid profile (LDL-C, TC, TG, HDL-C)</t>
        </is>
      </c>
      <c r="G50" s="34" t="inlineStr">
        <is>
          <t>Fasting Blood Sugar / HbA1c</t>
        </is>
      </c>
      <c r="H50" s="34" t="inlineStr">
        <is>
          <t>Creatine Kinase (CK)</t>
        </is>
      </c>
      <c r="I50" s="35" t="inlineStr">
        <is>
          <t>1</t>
        </is>
      </c>
      <c r="J50" s="34"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0" s="35" t="inlineStr">
        <is>
          <t>Dyslipidemias Monitoring</t>
        </is>
      </c>
      <c r="L50" s="34" t="inlineStr">
        <is>
          <t>PLE-CC1 ปี 2566 Day 1 ข้อ 60</t>
        </is>
      </c>
      <c r="M50" s="35" t="inlineStr">
        <is>
          <t>Clinic</t>
        </is>
      </c>
      <c r="N50" s="34" t="inlineStr">
        <is>
          <t>PLE-CC1 ปี 2566 Day 1 ข้อ 60</t>
        </is>
      </c>
      <c r="O50" s="35" t="inlineStr">
        <is>
          <t>ข้อสอบจริง</t>
        </is>
      </c>
      <c r="P50" s="35" t="inlineStr">
        <is>
          <t>ปี 2566</t>
        </is>
      </c>
    </row>
    <row r="51" ht="409.6" customHeight="1" s="49">
      <c r="A51" s="33" t="n">
        <v>49</v>
      </c>
      <c r="B51" s="34"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1" s="35" t="n"/>
      <c r="D51" s="34" t="inlineStr">
        <is>
          <t>ACE Inhibitors (เช่น Enalapril) หรือ ARBs (เช่น Losartan)</t>
        </is>
      </c>
      <c r="E51" s="34" t="inlineStr">
        <is>
          <t>Dihydropyridine CCBs เดี่ยวๆ (เช่น Amlodipine)</t>
        </is>
      </c>
      <c r="F51" s="34" t="inlineStr">
        <is>
          <t>Thiazide diuretics เดี่ยวๆ (เช่น HCTZ)</t>
        </is>
      </c>
      <c r="G51" s="34" t="inlineStr">
        <is>
          <t>Beta-blockers (เช่น Atenolol)</t>
        </is>
      </c>
      <c r="H51" s="34" t="inlineStr">
        <is>
          <t>Loop diuretics (เช่น Furosemide)</t>
        </is>
      </c>
      <c r="I51" s="33" t="inlineStr">
        <is>
          <t>1</t>
        </is>
      </c>
      <c r="J51" s="34"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1" s="35" t="inlineStr">
        <is>
          <t>Hypertension &amp; Chronic Kidney Disease</t>
        </is>
      </c>
      <c r="L51" s="34" t="inlineStr">
        <is>
          <t>PLE-CC1 ปี 2566 Day 1 ข้อ 61</t>
        </is>
      </c>
      <c r="M51" s="35" t="inlineStr">
        <is>
          <t>Clinic</t>
        </is>
      </c>
      <c r="N51" s="34" t="inlineStr">
        <is>
          <t>PLE-CC1 ปี 2566 Day 1 ข้อ 61</t>
        </is>
      </c>
      <c r="O51" s="35" t="inlineStr">
        <is>
          <t>ข้อสอบจริง</t>
        </is>
      </c>
      <c r="P51" s="35" t="inlineStr">
        <is>
          <t>ปี 2566</t>
        </is>
      </c>
      <c r="Q51" s="2" t="n"/>
    </row>
    <row r="52" ht="409.6" customHeight="1" s="49">
      <c r="A52" s="33" t="n">
        <v>50</v>
      </c>
      <c r="B52" s="34"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2" s="35" t="n"/>
      <c r="D52" s="34" t="inlineStr">
        <is>
          <t>Serum Uric acid</t>
        </is>
      </c>
      <c r="E52" s="34" t="inlineStr">
        <is>
          <t>Serum Creatine Kinase (เมื่อมีอาการปวดกล้ามเนื้อ)</t>
        </is>
      </c>
      <c r="F52" s="34" t="inlineStr">
        <is>
          <t>Serum Alanine Aminotransferase (ALT)</t>
        </is>
      </c>
      <c r="G52" s="34" t="inlineStr">
        <is>
          <t>Lipid Panel (TC, TG, HDL-C, LDL-C)</t>
        </is>
      </c>
      <c r="H52" s="34" t="inlineStr">
        <is>
          <t>Fasting Plasma Glucose (FPG)</t>
        </is>
      </c>
      <c r="I52" s="33" t="inlineStr">
        <is>
          <t>1</t>
        </is>
      </c>
      <c r="J52" s="34"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2" s="35" t="inlineStr">
        <is>
          <t>Dyslipidemias Monitoring</t>
        </is>
      </c>
      <c r="L52" s="34" t="inlineStr">
        <is>
          <t>PLE-CC1 ปี 2566 Day 1 ข้อ 5</t>
        </is>
      </c>
      <c r="M52" s="35" t="inlineStr">
        <is>
          <t>Clinic</t>
        </is>
      </c>
      <c r="N52" s="34" t="inlineStr">
        <is>
          <t>PLE-CC1 ปี 2566 Day 1 ข้อ 5</t>
        </is>
      </c>
      <c r="O52" s="35" t="inlineStr">
        <is>
          <t>ข้อสอบจริง</t>
        </is>
      </c>
      <c r="P52" s="35" t="inlineStr">
        <is>
          <t>ปี 2566</t>
        </is>
      </c>
      <c r="Q52" s="2" t="n"/>
    </row>
    <row r="53" ht="409.6" customHeight="1" s="49">
      <c r="A53" s="33" t="n">
        <v>51</v>
      </c>
      <c r="B53" s="34"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3" s="35" t="n"/>
      <c r="D53" s="34" t="inlineStr">
        <is>
          <t>Hydrolysis ของวงแหวน Lactone ring กลายเป็น Beta-hydroxy acid</t>
        </is>
      </c>
      <c r="E53" s="34" t="inlineStr">
        <is>
          <t>Oxidation ของวงแหวน Decalin ring ด้วย CYP3A4</t>
        </is>
      </c>
      <c r="F53" s="34" t="inlineStr">
        <is>
          <t>Glucuronidation ของหมู่ Hydroxyl group</t>
        </is>
      </c>
      <c r="G53" s="34" t="inlineStr">
        <is>
          <t>Reduction ของหมู่ Carbonyl group</t>
        </is>
      </c>
      <c r="H53" s="34" t="inlineStr">
        <is>
          <t>Decarboxylation ของสายโซ่ด้านข้าง</t>
        </is>
      </c>
      <c r="I53" s="33" t="inlineStr">
        <is>
          <t>1</t>
        </is>
      </c>
      <c r="J53" s="34"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3" s="35" t="inlineStr">
        <is>
          <t>Medicinal Chemistry &amp; Pharmacokinetics</t>
        </is>
      </c>
      <c r="L53" s="34" t="inlineStr">
        <is>
          <t>PLE-CC1 ปี 2566 Day 2 ข้อ 83</t>
        </is>
      </c>
      <c r="M53" s="35" t="inlineStr">
        <is>
          <t>Clinic</t>
        </is>
      </c>
      <c r="N53" s="34" t="inlineStr">
        <is>
          <t>PLE-CC1 ปี 2566 Day 2 ข้อ 83</t>
        </is>
      </c>
      <c r="O53" s="35" t="inlineStr">
        <is>
          <t>ข้อสอบจริง</t>
        </is>
      </c>
      <c r="P53" s="35" t="inlineStr">
        <is>
          <t>ปี 2566</t>
        </is>
      </c>
      <c r="Q53" s="2" t="n"/>
    </row>
    <row r="54" ht="409.6" customHeight="1" s="49">
      <c r="A54" s="33" t="n">
        <v>52</v>
      </c>
      <c r="B54" s="34"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4" s="35" t="n"/>
      <c r="D54" s="34" t="inlineStr">
        <is>
          <t>Clopidogrel 75 mg OD</t>
        </is>
      </c>
      <c r="E54" s="34" t="inlineStr">
        <is>
          <t>Prasugrel 10 mg OD</t>
        </is>
      </c>
      <c r="F54" s="34" t="inlineStr">
        <is>
          <t>Ticagrelor 90 mg BID</t>
        </is>
      </c>
      <c r="G54" s="34" t="inlineStr">
        <is>
          <t>Ticlopidine 250 mg BID</t>
        </is>
      </c>
      <c r="H54" s="34" t="inlineStr">
        <is>
          <t>Dipyridamole 75 mg TID</t>
        </is>
      </c>
      <c r="I54" s="33" t="inlineStr">
        <is>
          <t>1</t>
        </is>
      </c>
      <c r="J54" s="34"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4" s="35" t="inlineStr">
        <is>
          <t>Coronary artery disease &amp; Antiplatelets</t>
        </is>
      </c>
      <c r="L54" s="34" t="inlineStr">
        <is>
          <t>PLE_CC1_2565_Day1_Key ข้อ 7</t>
        </is>
      </c>
      <c r="M54" s="35" t="inlineStr">
        <is>
          <t>Clinic</t>
        </is>
      </c>
      <c r="N54" s="34" t="inlineStr">
        <is>
          <t>PLE_CC1_2565_Day1_Key ข้อ 7</t>
        </is>
      </c>
      <c r="O54" s="35" t="inlineStr">
        <is>
          <t>ข้อสอบจริง</t>
        </is>
      </c>
      <c r="P54" s="35" t="inlineStr">
        <is>
          <t>ปี 2566</t>
        </is>
      </c>
      <c r="Q54" s="2" t="n"/>
    </row>
    <row r="55" ht="409.6" customHeight="1" s="49">
      <c r="A55" s="33" t="n">
        <v>53</v>
      </c>
      <c r="B55" s="34"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5" s="35" t="n"/>
      <c r="D55" s="34" t="inlineStr">
        <is>
          <t>&lt; 130/80 mmHg (หากผู้ป่วยทนต่อการรักษาได้ดี)</t>
        </is>
      </c>
      <c r="E55" s="34" t="inlineStr">
        <is>
          <t>&lt; 140/90 mmHg สำหรับผู้ป่วยทุกราย</t>
        </is>
      </c>
      <c r="F55" s="34" t="inlineStr">
        <is>
          <t>&lt; 150/90 mmHg</t>
        </is>
      </c>
      <c r="G55" s="34" t="inlineStr">
        <is>
          <t>&lt; 120/70 mmHg ในผู้ป่วยเบาหวานทุกราย</t>
        </is>
      </c>
      <c r="H55" s="34" t="inlineStr">
        <is>
          <t>&lt; 160/100 mmHg</t>
        </is>
      </c>
      <c r="I55" s="33" t="inlineStr">
        <is>
          <t>1</t>
        </is>
      </c>
      <c r="J55" s="34"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5" s="35" t="inlineStr">
        <is>
          <t>Hypertension Targets</t>
        </is>
      </c>
      <c r="L55" s="34" t="inlineStr">
        <is>
          <t>PLE_CC1_2565_Day1_Key ข้อ 3</t>
        </is>
      </c>
      <c r="M55" s="35" t="inlineStr">
        <is>
          <t>Clinic</t>
        </is>
      </c>
      <c r="N55" s="34" t="inlineStr">
        <is>
          <t>PLE_CC1_2565_Day1_Key ข้อ 3</t>
        </is>
      </c>
      <c r="O55" s="35" t="inlineStr">
        <is>
          <t>ข้อสอบจริง</t>
        </is>
      </c>
      <c r="P55" s="35" t="inlineStr">
        <is>
          <t>ปี 2566</t>
        </is>
      </c>
      <c r="Q55" s="2" t="n"/>
    </row>
    <row r="56" ht="409.6" customHeight="1" s="49">
      <c r="A56" s="33" t="n">
        <v>54</v>
      </c>
      <c r="B56" s="34"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6" s="35" t="n"/>
      <c r="D56" s="34" t="inlineStr">
        <is>
          <t>Enalapril 5-10 mg OD หรือ Losartan 50 mg OD</t>
        </is>
      </c>
      <c r="E56" s="34" t="inlineStr">
        <is>
          <t>Spironolactone 25 mg OD</t>
        </is>
      </c>
      <c r="F56" s="34" t="inlineStr">
        <is>
          <t>เพิ่ม Carvedilol เป็น 25 mg 1x2 ทันที</t>
        </is>
      </c>
      <c r="G56" s="34" t="inlineStr">
        <is>
          <t>Hydrochlorothiazide 25 mg OD</t>
        </is>
      </c>
      <c r="H56" s="34" t="inlineStr">
        <is>
          <t>Diltiazem 60 mg TID</t>
        </is>
      </c>
      <c r="I56" s="33" t="inlineStr">
        <is>
          <t>1</t>
        </is>
      </c>
      <c r="J56" s="34"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6" s="35" t="inlineStr">
        <is>
          <t>Hypertension &amp; Diabetic Nephropathy</t>
        </is>
      </c>
      <c r="L56" s="34" t="inlineStr">
        <is>
          <t>PLE_CC1_2565_Day1_Key ข้อ 22</t>
        </is>
      </c>
      <c r="M56" s="35" t="inlineStr">
        <is>
          <t>Clinic</t>
        </is>
      </c>
      <c r="N56" s="34" t="inlineStr">
        <is>
          <t>PLE_CC1_2565_Day1_Key ข้อ 22</t>
        </is>
      </c>
      <c r="O56" s="35" t="inlineStr">
        <is>
          <t>ข้อสอบจริง</t>
        </is>
      </c>
      <c r="P56" s="35" t="inlineStr">
        <is>
          <t>ปี 2566</t>
        </is>
      </c>
      <c r="Q56" s="2" t="n"/>
    </row>
    <row r="57" ht="409.6" customHeight="1" s="49">
      <c r="A57" s="33" t="n">
        <v>55</v>
      </c>
      <c r="B57" s="34"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57" s="35" t="n"/>
      <c r="D57" s="34" t="inlineStr">
        <is>
          <t>Increase liver enzyme</t>
        </is>
      </c>
      <c r="E57" s="34" t="inlineStr">
        <is>
          <t>Rhabdomyolysis</t>
        </is>
      </c>
      <c r="F57" s="34" t="inlineStr">
        <is>
          <t>Arthralgia</t>
        </is>
      </c>
      <c r="G57" s="34" t="inlineStr">
        <is>
          <t>New onset diabetes Atorvastatin PLE-CC1 Preparation 2565 Ref. Micromedex</t>
        </is>
      </c>
      <c r="H57" s="34" t="inlineStr">
        <is>
          <t>Headache</t>
        </is>
      </c>
      <c r="I57" s="33" t="inlineStr">
        <is>
          <t>1</t>
        </is>
      </c>
      <c r="J57" s="34"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57" s="35" t="n"/>
      <c r="L57" s="34" t="inlineStr">
        <is>
          <t>Dyslipidemias</t>
        </is>
      </c>
      <c r="M57" s="35" t="inlineStr">
        <is>
          <t>Clinic</t>
        </is>
      </c>
      <c r="N57" s="34" t="inlineStr">
        <is>
          <t>PLE_CC1_2565_Day2_Key ข้อ 3</t>
        </is>
      </c>
      <c r="O57" s="35" t="inlineStr">
        <is>
          <t>ข้อสอบจริง</t>
        </is>
      </c>
      <c r="P57" s="35" t="inlineStr">
        <is>
          <t>ปี 2565</t>
        </is>
      </c>
      <c r="Q57" s="2" t="n"/>
    </row>
    <row r="58" ht="409.6" customHeight="1" s="49">
      <c r="A58" s="33" t="n">
        <v>56</v>
      </c>
      <c r="B58" s="34" t="inlineStr">
        <is>
          <t>ข้อใดไม่ถูกต้องเกี่ยวกับยา Omeprazole Clopidogrel อาย CYP2C19 ในการเน active drug +ง-น ไ/ควรใ23วม5บ Omeprazole 7งเน CYP2C19 inhibitor</t>
        </is>
      </c>
      <c r="C58" s="35" t="n"/>
      <c r="D58" s="34" t="inlineStr">
        <is>
          <t>1.ไม่ควรใช้ร่วมกับยา Clopidogrel</t>
        </is>
      </c>
      <c r="E58" s="34" t="inlineStr">
        <is>
          <t>2.เพิ่มความเสี่ยงการเกิดกระดูกหัก</t>
        </is>
      </c>
      <c r="F58" s="34" t="inlineStr">
        <is>
          <t>3.ลดการดูดซึม Vitamin B12 และเหล็ก</t>
        </is>
      </c>
      <c r="G58" s="34" t="inlineStr">
        <is>
          <t>4.เพิ่มความเสี่ยงติดเชื้อ Clostridioides difficile</t>
        </is>
      </c>
      <c r="H58" s="34" t="inlineStr">
        <is>
          <t>5.เคี้ยวให้ละเอียดก่อนรับประทาน</t>
        </is>
      </c>
      <c r="I58" s="33" t="inlineStr">
        <is>
          <t>1</t>
        </is>
      </c>
      <c r="J58" s="34"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[NEED_REVIEW]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35" t="n"/>
      <c r="L58" s="34" t="inlineStr">
        <is>
          <t>Coronary artery disease</t>
        </is>
      </c>
      <c r="M58" s="35" t="inlineStr">
        <is>
          <t>Clinic</t>
        </is>
      </c>
      <c r="N58" s="34" t="inlineStr">
        <is>
          <t>PLE_CC1_2565_Day2_Key ข้อ 29</t>
        </is>
      </c>
      <c r="O58" s="35" t="inlineStr">
        <is>
          <t>ข้อสอบจริง</t>
        </is>
      </c>
      <c r="P58" s="35" t="inlineStr">
        <is>
          <t>ปี 2565</t>
        </is>
      </c>
      <c r="Q58" s="2" t="n"/>
    </row>
    <row r="59" ht="409.6" customHeight="1" s="49">
      <c r="A59" s="33" t="n">
        <v>57</v>
      </c>
      <c r="B59" s="34"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59" s="35" t="n"/>
      <c r="D59" s="34" t="inlineStr">
        <is>
          <t>50 คน</t>
        </is>
      </c>
      <c r="E59" s="34" t="inlineStr">
        <is>
          <t>80 คน</t>
        </is>
      </c>
      <c r="F59" s="34" t="inlineStr">
        <is>
          <t>133 คน</t>
        </is>
      </c>
      <c r="G59" s="34" t="inlineStr">
        <is>
          <t>160 คน</t>
        </is>
      </c>
      <c r="H59" s="34" t="inlineStr">
        <is>
          <t>180 คน</t>
        </is>
      </c>
      <c r="I59" s="33" t="n">
        <v>2</v>
      </c>
      <c r="J59" s="34" t="inlineStr">
        <is>
          <t>✅ คำตอบที่ถูกต้อง: ข้อ ข. 80 คน
💡 Background:
ภาวะไตวายเฉียบพลัน (Acute Kidney Injury: AKI) จากยา Enalapril เกิดจากการยับยั้ง Angiotensin Converting Enzyme ทำให้ขาด Angiotensin II ส่งผลให้หลอดเลือดแดง Efferent arteriole ขยายตัว ความดันภายในโกลเมอรูลัสลดลงและ GFR ลดลง การประเมินทางระบาดวิทยาคลินิกใช้ค่า Positive Predictive Value (PPV) เพื่อทำนายการเกิดโรคจริงในกลุ่มที่ผลตรวจเป็นบวก
🎯 ทำไมข้อนี้ถึงถูก:
จากโจทย์ กำหนดให้พบผู้ที่ตรวจพบหรือสงสัยการเกิด AKI ทั้งหมด 200 คนในประชากร 1,000 คน และกำหนดค่า Positive Predictive Value (PPV) เท่ากับ 40% ซึ่งตามนิยามทางสถิติคลินิก PPV คือสัดส่วนของผู้ที่เป็นโรคจริงในบรรดาผู้ที่ผลการตรวจเป็นบวกทั้งหมด ดังนั้น จำนวนผู้ป่วยที่เกิด AKI จริงจาก enalapril คำนวณได้จาก 200 x 40% = 80 คน
🔍 ข้ออื่นผิดเพราะอะไร:
• ข้อ ก.: 50 คน เป็นตัวเลขที่เกิดจากการคำนวณสัดส่วนผิดพลาด โดยไม่ได้นำค่า PPV 40% มาคูณกับจำนวนประชากรที่พบผลบวก 200 คนโดยตรง
• ข้อ ค.: 133 คน เกิดจากการนำตัวเลขไปคำนวณสลับกับค่า Sensitivity หรือ Specificity ผิดวิธีทางสถิติศาสตร์คลินิก
• ข้อ ง.: 160 คน เป็นค่าที่เกิดจากการนำ 200 ไปคูณกับ Sensitivity 80% ซึ่งไม่ถูกต้องเนื่องจาก 200 คนคือกลุ่มที่ผลการตรวจคัดกรองระบุว่าเกิดเหตุการณ์ ไม่ใช่จำนวนผู้ที่เป็นโรคจริงทั้งหมดตั้งแต่ต้น
• ข้อ จ.: 180 คน เกิดจากการนำผลบวกไปคำนวณหักลบด้วยสัดส่วนความคลาดเคลื่อนที่ไม่สอดคล้องกับค่าทำนายผลบวก (PPV)
📖 Guideline อ้างอิง:
KDIGO Clinical Practice Guideline for Acute Kidney Injury 2012 และ หลักการระบาดวิทยาคลินิกและการประเมินการตรวจวินิจฉัย (Clinical Epidemiology &amp; Diagnostic Tests)
📌 จุดจำก่อนสอบ:
• Positive Predictive Value (PPV) คือ ความน่าจะเป็นที่ผู้ป่วยจะเป็นโรคจริงเมื่อผลการตรวจทดสอบเป็นบวก คำนวณจาก True Positive หารด้วยผลบวกทั้งหมด
• เมื่อโจทย์กำหนดกลุ่มที่ตรวจพบ 200 คน และ PPV 40% การหาจำนวนที่เป็นโรคจริงให้นำผลบวกมาคูณกับ PPV ได้ทันที (200 x 0.40 = 80 คน)</t>
        </is>
      </c>
      <c r="K59" s="35" t="n"/>
      <c r="L59" s="34" t="inlineStr">
        <is>
          <t>Hypertension</t>
        </is>
      </c>
      <c r="M59" s="35" t="inlineStr">
        <is>
          <t>Clinic</t>
        </is>
      </c>
      <c r="N59" s="34" t="inlineStr">
        <is>
          <t>PLE_CC1_2564_All_Key ข้อ 17</t>
        </is>
      </c>
      <c r="O59" s="35" t="inlineStr">
        <is>
          <t>ข้อสอบจริง</t>
        </is>
      </c>
      <c r="P59" s="35" t="inlineStr">
        <is>
          <t>ปี 2565</t>
        </is>
      </c>
      <c r="Q59" s="2" t="n"/>
    </row>
    <row r="60" ht="409.6" customHeight="1" s="49">
      <c r="A60" s="33" t="n">
        <v>58</v>
      </c>
      <c r="B60" s="34" t="inlineStr">
        <is>
          <t>148/95 เป็น HTN ระดับไหนตาม Thai guideline</t>
        </is>
      </c>
      <c r="C60" s="35" t="n"/>
      <c r="D60" s="34" t="inlineStr">
        <is>
          <t>ความดันโลหิตปกติ (Normal blood pressure)</t>
        </is>
      </c>
      <c r="E60" s="34" t="inlineStr">
        <is>
          <t>ความดันโลหิตสูงระดับ 1 (Stage 1 Hypertension)</t>
        </is>
      </c>
      <c r="F60" s="34" t="inlineStr">
        <is>
          <t>ความดันโลหิตสูงระดับ 2 (Stage 2 Hypertension)</t>
        </is>
      </c>
      <c r="G60" s="34" t="inlineStr">
        <is>
          <t>ความดันโลหิตสูงชนิด Isolated Systolic Hypertension</t>
        </is>
      </c>
      <c r="H60" s="34" t="inlineStr">
        <is>
          <t>ความดันโลหิตสูงชนิด Masked Hypertension</t>
        </is>
      </c>
      <c r="I60" s="33" t="n">
        <v>2</v>
      </c>
      <c r="J60" s="34" t="inlineStr">
        <is>
          <t>✅ คำตอบที่ถูกต้อง: ข้อ ข. ความดันโลหิตสูงระดับ 1 (Stage 1 Hypertension)
💡 Background:
การจัดระดับความรุนแรงของโรคความดันโลหิตสูงมีความสำคัญอย่างยิ่งต่อการประเมินความเสี่ยงต่อระบบหัวใจและหลอดเลือด รวมถึงการตัดสินใจเริ่มให้ยาลดความดันโลหิตและการปรับเปลี่ยนพฤติกรรมชีวิต โดยแบ่งตามระดับ Systolic Blood Pressure (SBP) และ Diastolic Blood Pressure (DBP)
🎯 ทำไมข้อนี้ถึงถูก:
ตามแนวทางการรักษาโรคความดันโลหิตสูงในเวชปฏิบัติทั่วไปของสมาคมความดันโลหิตสูงแห่งประเทศไทย กำหนดให้ความดันโลหิตสูงระดับที่ 1 (Stage 1 Hypertension) มีค่า SBP อยู่ระหว่าง 140-159 mmHg และ/หรือ DBP อยู่ระหว่าง 90-99 mmHg ดังนั้น ค่าความดันโลหิต 148/95 mmHg จึงจัดอยู่ในเกณฑ์ความดันโลหิตสูงระดับที่ 1 อย่างชัดเจน
🔍 ข้ออื่นผิดเพราะอะไร:
• ข้อ ก.: ความดันโลหิตปกติ (Normal blood pressure) ตามเกณฑ์คือ SBP น้อยกว่า 120 mmHg และ DBP น้อยกว่า 80 mmHg ซึ่งต่ำกว่าค่าของผู้ป่วยรายนี้มาก
• ข้อ ค.: ความดันโลหิตสูงระดับ 2 (Stage 2 Hypertension) จะต้องมี SBP ตั้งแต่ 160-179 mmHg และ/หรือ DBP ตั้งแต่ 100-109 mmHg ขึ้นไป
• ข้อ ง.: Isolated Systolic Hypertension นิยามเมื่อ SBP มีค่าตั้งแต่ 140 mmHg ขึ้นไป แต่ DBP ต้องมีค่าน้อยกว่า 90 mmHg ซึ่งในผู้ป่วยรายนี้มีค่า DBP เท่ากับ 95 mmHg
• ข้อ จ.: Masked Hypertension คือภาวะที่วัดความดันโลหิตที่สถานพยาบาลได้ค่าปกติ แต่วัดที่บ้านหรือติดเครื่องตรวจ 24 ชั่วโมงพบว่ามีความดันโลหิตสูง ไม่ใช่ระดับการแบ่งขั้นตามตัวเลขความดันโลหิต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Stage 1 HTN ตาม Thai Guideline 2562 คือ SBP 140-159 และ/หรือ DBP 90-99 mmHg
• Stage 2 HTN คือ SBP 160-179 และ/หรือ DBP 100-109 mmHg หากตัวใดตัวหนึ่งสูงกว่าให้จัดตามระดับที่รุนแรงกว่า</t>
        </is>
      </c>
      <c r="K60" s="35" t="n"/>
      <c r="L60" s="34" t="inlineStr">
        <is>
          <t>Hypertension</t>
        </is>
      </c>
      <c r="M60" s="35" t="inlineStr">
        <is>
          <t>Clinic</t>
        </is>
      </c>
      <c r="N60" s="34" t="inlineStr">
        <is>
          <t>PLE_CC1_2564_All_Key ข้อ 18</t>
        </is>
      </c>
      <c r="O60" s="35" t="inlineStr">
        <is>
          <t>ข้อสอบจริง</t>
        </is>
      </c>
      <c r="P60" s="35" t="inlineStr">
        <is>
          <t>ปี 2565</t>
        </is>
      </c>
      <c r="Q60" s="2" t="n"/>
    </row>
    <row r="61" ht="409.6" customHeight="1" s="49">
      <c r="A61" s="33" t="n">
        <v>59</v>
      </c>
      <c r="B61" s="34" t="inlineStr">
        <is>
          <t>อะไรที่ไม่ใช่คำแนะนำในผู้ป่วยความดันสูง</t>
        </is>
      </c>
      <c r="C61" s="35" t="n"/>
      <c r="D61" s="34" t="inlineStr">
        <is>
          <t>ลดน้ำหนักให้อยู่ในเกณฑ์เหมาะสม (BMI 18.5 - 22.9 kg/m²)</t>
        </is>
      </c>
      <c r="E61" s="34" t="inlineStr">
        <is>
          <t>ออกกำลังกายแบบแอโรบิกสม่ำเสมออย่างน้อย 150 นาที/สัปดาห์</t>
        </is>
      </c>
      <c r="F61" s="34" t="inlineStr">
        <is>
          <t>งดสูบบุหรี่และหลีกเลี่ยงควันบุหรี่มือสอง</t>
        </is>
      </c>
      <c r="G61" s="34" t="inlineStr">
        <is>
          <t>จำกัดการดื่มเครื่องดื่มแอลกอฮอล์</t>
        </is>
      </c>
      <c r="H61" s="34" t="inlineStr">
        <is>
          <t>งดรับประทานอาหารที่มีโพแทสเซียมสูง (งดผักและผลไม้ทุกชนิด)</t>
        </is>
      </c>
      <c r="I61" s="33" t="n">
        <v>5</v>
      </c>
      <c r="J61" s="34" t="inlineStr">
        <is>
          <t>✅ คำตอบที่ถูกต้อง: ข้อ จ. งดรับประทานอาหารที่มีโพแทสเซียมสูง (งดผักและผลไม้ทุกชนิด)
💡 Background:
การปรับเปลี่ยนพฤติกรรมชีวิต (Lifestyle Modification) เป็นหัวใจสำคัญในการควบคุมระดับความดันโลหิตในผู้ป่วยทุกราย โดยครอบคลุมทั้งการควบคุมน้ำหนัก การจำกัดปริมาณโซเดียม การออกกำลังกาย และการปรับรูปแบบการรับประทานอาหารตามหลัก DASH Diet
🎯 ทำไมข้อนี้ถึงถูก:
การงดรับประทานอาหารที่มีโพแทสเซียมสูงหรือการงดผักและผลไม้ทุกชนิดไม่ใช่คำแนะนำที่ถูกต้อง เนื่องจากอาหารที่มีโพแทสเซียมสูง เช่น ผักและผลไม้สด มีคุณสมบัติช่วยลดความดันโลหิตและส่งเสริมสุขภาพหลอดเลือดตามแนวทาง DASH Diet ยกเว้นเฉพาะในกรณีที่ผู้ป่วยมีภาวะไตเรื้อรังระยะรุนแรงหรือมีภาวะโพแทสเซียมในเลือดสูงอยู่ก่อนแล้วเท่านั้น
🔍 ข้ออื่นผิดเพราะอะไร:
• ข้อ ก.: การลดน้ำหนักให้อยู่ในเกณฑ์เหมาะสมโดยมีค่าดัชนีมวลกาย (BMI) อยู่ระหว่าง 18.5 - 22.9 kg/m² เป็นคำแนะนำมาตรฐานที่สามารถลดความดันโลหิตได้ประมาณ 5-20 mmHg ต่อน้ำหนักที่ลดลง 10 กิโลกรัม
• ข้อ ข.: การออกกำลังกายแบบแอโรบิกสม่ำเสมออย่างน้อย 150 นาทีต่อสัปดาห์ เช่น เดินเร็ว วิ่งเหยาะๆ หรือว่ายน้ำ เป็นคำแนะนำหลักในการลดความดันโลหิตและเสริมสร้างสมรรถภาพหัวใจ
• ข้อ ค.: การงดสูบบุหรี่และหลีกเลี่ยงควันบุหรี่มือสอง เป็นคำแนะนำสำคัญอย่างยิ่งในการป้องกันภาวะกล้ามเนื้อหัวใจตายเฉียบพลันและโรคหลอดเลือดสมองในผู้ป่วยความดันโลหิตสูง
• ข้อ ง.: การจำกัดการดื่มเครื่องดื่มแอลกอฮอล์ไม่เกิน 2 standard drinks ต่อวันในเพศชาย และไม่เกิน 1 standard drink ต่อวันในเพศหญิง ช่วยควบคุมระดับความดันโลหิตได้ดีขึ้น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DASH Diet เน้นรับประทานผัก ผลไม้ ธัญพืชไม่ขัดสี เพื่อเพิ่มโพแทสเซียมและแมกนีเซียมที่มีส่วนช่วยลดความดันโลหิต
• โพแทสเซียมช่วยต้านผลของโซเดียม จึงห้ามงดผักผลไม้โดยไม่มีข้อบ่งชี้ เช่น Severe CKD หรือ Hyperkalemia</t>
        </is>
      </c>
      <c r="K61" s="35" t="n"/>
      <c r="L61" s="34" t="inlineStr">
        <is>
          <t>Hypertension</t>
        </is>
      </c>
      <c r="M61" s="35" t="inlineStr">
        <is>
          <t>Clinic</t>
        </is>
      </c>
      <c r="N61" s="34" t="inlineStr">
        <is>
          <t>PLE_CC1_2564_All_Key ข้อ 19</t>
        </is>
      </c>
      <c r="O61" s="35" t="inlineStr">
        <is>
          <t>ข้อสอบจริง</t>
        </is>
      </c>
      <c r="P61" s="35" t="inlineStr">
        <is>
          <t>ปี 2565</t>
        </is>
      </c>
      <c r="Q61" s="2" t="n"/>
    </row>
    <row r="62" ht="409.6" customHeight="1" s="49">
      <c r="A62" s="33" t="n">
        <v>60</v>
      </c>
      <c r="B62" s="34" t="inlineStr">
        <is>
          <t>ชาย อายุประมาณ 30-50 BMI 27 เป็น prediabetic, พ่อเป็นโรคหลอดเลือดหัวใจตีบ 3 เส้น, แม่เป็น DM type 2 ควรตรวจอะไรเพิ่ม?</t>
        </is>
      </c>
      <c r="C62" s="35" t="n"/>
      <c r="D62" s="34" t="inlineStr">
        <is>
          <t>exercise induced asthma</t>
        </is>
      </c>
      <c r="E62" s="34" t="inlineStr">
        <is>
          <t>urinalysis</t>
        </is>
      </c>
      <c r="F62" s="34" t="inlineStr">
        <is>
          <t>renal function</t>
        </is>
      </c>
      <c r="G62" s="34" t="inlineStr">
        <is>
          <t>lipid profile e)-</t>
        </is>
      </c>
      <c r="H62" s="34" t="inlineStr">
        <is>
          <t>Electrocardiogram (EKG)</t>
        </is>
      </c>
      <c r="I62" s="33" t="inlineStr">
        <is>
          <t>1</t>
        </is>
      </c>
      <c r="J62" s="34"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2" s="35" t="n"/>
      <c r="L62" s="34" t="inlineStr">
        <is>
          <t>Coronary artery disease</t>
        </is>
      </c>
      <c r="M62" s="35" t="inlineStr">
        <is>
          <t>Clinic</t>
        </is>
      </c>
      <c r="N62" s="34" t="inlineStr">
        <is>
          <t>PLE_CC1_2564_All_Key ข้อ 24</t>
        </is>
      </c>
      <c r="O62" s="35" t="inlineStr">
        <is>
          <t>ข้อสอบจริง</t>
        </is>
      </c>
      <c r="P62" s="35" t="inlineStr">
        <is>
          <t>ปี 2565</t>
        </is>
      </c>
      <c r="Q62" s="2" t="n"/>
    </row>
    <row r="63" ht="409.6" customHeight="1" s="49">
      <c r="A63" s="33" t="n">
        <v>61</v>
      </c>
      <c r="B63" s="34" t="inlineStr">
        <is>
          <t>ผู้ป่วยควรได้รับยาใดเพื่อลดความดันโลหิต</t>
        </is>
      </c>
      <c r="C63" s="35" t="n"/>
      <c r="D63" s="34" t="inlineStr">
        <is>
          <t>Bisoprolol</t>
        </is>
      </c>
      <c r="E63" s="34" t="inlineStr">
        <is>
          <t>Doxazosin</t>
        </is>
      </c>
      <c r="F63" s="34" t="inlineStr">
        <is>
          <t>Losartan</t>
        </is>
      </c>
      <c r="G63" s="34" t="inlineStr">
        <is>
          <t>Spironolactone</t>
        </is>
      </c>
      <c r="H63" s="34" t="inlineStr">
        <is>
          <t>Diltiazem</t>
        </is>
      </c>
      <c r="I63" s="33" t="inlineStr">
        <is>
          <t>1</t>
        </is>
      </c>
      <c r="J63" s="34"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63" s="35" t="n"/>
      <c r="L63" s="34" t="inlineStr">
        <is>
          <t>Hypertension</t>
        </is>
      </c>
      <c r="M63" s="35" t="inlineStr">
        <is>
          <t>Clinic</t>
        </is>
      </c>
      <c r="N63" s="34" t="inlineStr">
        <is>
          <t>ข้อ 56 (PLE_CC1_2562_Key.md)</t>
        </is>
      </c>
      <c r="O63" s="35" t="inlineStr">
        <is>
          <t>ข้อสอบจริง</t>
        </is>
      </c>
      <c r="P63" s="35" t="inlineStr">
        <is>
          <t>ปี 2564</t>
        </is>
      </c>
      <c r="Q63" s="2" t="n"/>
    </row>
    <row r="64" ht="409.6" customHeight="1" s="49">
      <c r="A64" s="33" t="n">
        <v>62</v>
      </c>
      <c r="B64" s="34" t="inlineStr">
        <is>
          <t>ยาใดที่สามารถป้องกันโรคหัวใจและหลอดเลือดได้ในผู้ป่วยรายนี้  .De ASCVD Pantiplatletdeprimary prophylaxis X</t>
        </is>
      </c>
      <c r="C64" s="35" t="n"/>
      <c r="D64" s="34" t="inlineStr">
        <is>
          <t>Aspirin 81 mg OD hs</t>
        </is>
      </c>
      <c r="E64" s="34" t="inlineStr">
        <is>
          <t>Simvastatin 10 mg OD hs</t>
        </is>
      </c>
      <c r="F64" s="34" t="inlineStr">
        <is>
          <t>Clopidogrel 75 mg OD</t>
        </is>
      </c>
      <c r="G64" s="34" t="inlineStr">
        <is>
          <t>Ezetimibe 10 mg 1 tab po pc</t>
        </is>
      </c>
      <c r="H64" s="34" t="inlineStr">
        <is>
          <t>Fenofibrate 160 mg 1 tab po pc</t>
        </is>
      </c>
      <c r="I64" s="33" t="inlineStr">
        <is>
          <t>1</t>
        </is>
      </c>
      <c r="J64" s="34"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64" s="35" t="n"/>
      <c r="L64" s="34" t="inlineStr">
        <is>
          <t>Hypertension</t>
        </is>
      </c>
      <c r="M64" s="35" t="inlineStr">
        <is>
          <t>Clinic</t>
        </is>
      </c>
      <c r="N64" s="34" t="inlineStr">
        <is>
          <t>ข้อ 57 (PLE_CC1_2562_Key.md)</t>
        </is>
      </c>
      <c r="O64" s="35" t="inlineStr">
        <is>
          <t>ข้อสอบจริง</t>
        </is>
      </c>
      <c r="P64" s="35" t="inlineStr">
        <is>
          <t>ปี 2564</t>
        </is>
      </c>
      <c r="Q64" s="2" t="n"/>
    </row>
    <row r="65" ht="409.6" customHeight="1" s="49">
      <c r="A65" s="33" t="n">
        <v>63</v>
      </c>
      <c r="B65" s="34" t="inlineStr">
        <is>
          <t>พฤติกรรมใดที่ควรปรับเปลี่ยนในผู้ป่วยรายนี้น้อยที่สุด n.nise , MI gowt sim-ger HE ton . dem . beer =</t>
        </is>
      </c>
      <c r="C65" s="35" t="n"/>
      <c r="D65" s="34" t="inlineStr">
        <is>
          <t>ลดน้ำหนัก</t>
        </is>
      </c>
      <c r="E65" s="34" t="inlineStr">
        <is>
          <t>ลดอาหารเค็ม</t>
        </is>
      </c>
      <c r="F65" s="34" t="inlineStr">
        <is>
          <t>งดดื่มแอลกอฮอล์</t>
        </is>
      </c>
      <c r="G65" s="34" t="inlineStr">
        <is>
          <t>งดการสูบบุหรี่</t>
        </is>
      </c>
      <c r="H65" s="34" t="inlineStr">
        <is>
          <t>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t>
        </is>
      </c>
      <c r="I65" s="33" t="inlineStr">
        <is>
          <t>1</t>
        </is>
      </c>
      <c r="J65" s="34"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65" s="35" t="n"/>
      <c r="L65" s="34" t="inlineStr">
        <is>
          <t>Hypertension</t>
        </is>
      </c>
      <c r="M65" s="35" t="inlineStr">
        <is>
          <t>Clinic</t>
        </is>
      </c>
      <c r="N65" s="34" t="inlineStr">
        <is>
          <t>ข้อ 70 (PLE_CC1_2562_Key.md)</t>
        </is>
      </c>
      <c r="O65" s="35" t="inlineStr">
        <is>
          <t>ข้อสอบจริง</t>
        </is>
      </c>
      <c r="P65" s="35" t="inlineStr">
        <is>
          <t>ปี 2564</t>
        </is>
      </c>
      <c r="Q65" s="2" t="n"/>
    </row>
    <row r="66" ht="409.6" customHeight="1" s="49">
      <c r="A66" s="33" t="n">
        <v>64</v>
      </c>
      <c r="B66" s="34" t="inlineStr">
        <is>
          <t>ระดับความดันที่เปEนเปFาหมายในผูป%วยรายนี้เปEนเท!าใดตาม ACC guideline 2017</t>
        </is>
      </c>
      <c r="C66" s="35" t="n"/>
      <c r="D66" s="34" t="inlineStr">
        <is>
          <t>130/80 mmHg</t>
        </is>
      </c>
      <c r="E66" s="34" t="inlineStr">
        <is>
          <t>140/90 mmHg</t>
        </is>
      </c>
      <c r="F66" s="34" t="inlineStr">
        <is>
          <t>130/90 mmHg</t>
        </is>
      </c>
      <c r="G66" s="34" t="inlineStr">
        <is>
          <t>150/90 mmHg</t>
        </is>
      </c>
      <c r="H66" s="34" t="inlineStr">
        <is>
          <t>140/80 mmHg</t>
        </is>
      </c>
      <c r="I66" s="33" t="inlineStr">
        <is>
          <t>1</t>
        </is>
      </c>
      <c r="J66" s="34"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66" s="35" t="n"/>
      <c r="L66" s="34" t="inlineStr">
        <is>
          <t>Hypertension</t>
        </is>
      </c>
      <c r="M66" s="35" t="inlineStr">
        <is>
          <t>Clinic</t>
        </is>
      </c>
      <c r="N66" s="34" t="inlineStr">
        <is>
          <t>ข้อ 1 (PLE_CC1_2561_Key.md)</t>
        </is>
      </c>
      <c r="O66" s="35" t="inlineStr">
        <is>
          <t>ข้อสอบจริง</t>
        </is>
      </c>
      <c r="P66" s="35" t="inlineStr">
        <is>
          <t>ปี 2564</t>
        </is>
      </c>
      <c r="Q66" s="2" t="n"/>
    </row>
    <row r="67" ht="409.6" customHeight="1" s="49">
      <c r="A67" s="33" t="n">
        <v>65</v>
      </c>
      <c r="B67" s="34" t="inlineStr">
        <is>
          <t>ควรจัดการอย!างไรเมื่อภายหลังที่ไดรับยาไป 3 เดือนผูป%วยเกิด hyperkalemia</t>
        </is>
      </c>
      <c r="C67" s="35" t="n"/>
      <c r="D67" s="34" t="inlineStr">
        <is>
          <t>กินแบบเดิม</t>
        </is>
      </c>
      <c r="E67" s="34" t="inlineStr">
        <is>
          <t>เพิ่มยา HCTZ</t>
        </is>
      </c>
      <c r="F67" s="34" t="inlineStr">
        <is>
          <t>เพิ่มยา spironolactone</t>
        </is>
      </c>
      <c r="G67" s="34" t="inlineStr">
        <is>
          <t>หยุดยา enalapril</t>
        </is>
      </c>
      <c r="H67" s="34" t="inlineStr">
        <is>
          <t>เพิ่มขนาดยา enalapril</t>
        </is>
      </c>
      <c r="I67" s="33" t="inlineStr">
        <is>
          <t>1</t>
        </is>
      </c>
      <c r="J67" s="34"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67" s="35" t="n"/>
      <c r="L67" s="34" t="inlineStr">
        <is>
          <t>Hypertension</t>
        </is>
      </c>
      <c r="M67" s="35" t="inlineStr">
        <is>
          <t>Clinic</t>
        </is>
      </c>
      <c r="N67" s="34" t="inlineStr">
        <is>
          <t>ข้อ 2 (PLE_CC1_2561_Key.md)</t>
        </is>
      </c>
      <c r="O67" s="35" t="inlineStr">
        <is>
          <t>ข้อสอบจริง</t>
        </is>
      </c>
      <c r="P67" s="35" t="inlineStr">
        <is>
          <t>ปี 2564</t>
        </is>
      </c>
      <c r="Q67" s="2" t="n"/>
    </row>
    <row r="68" ht="409.6" customHeight="1" s="49">
      <c r="A68" s="33" t="n">
        <v>66</v>
      </c>
      <c r="B68" s="34" t="inlineStr">
        <is>
          <t>แพทยTพิจารณาใหจ!ายยา simvastatin 40 mg 1xhs เพิ่ม ขอใด ต!อไปนี้ถูกตอง</t>
        </is>
      </c>
      <c r="C68" s="35" t="n"/>
      <c r="D68" s="34" t="inlineStr">
        <is>
          <t>ไม!จำเปEนตองใหsimvastatin</t>
        </is>
      </c>
      <c r="E68" s="34" t="inlineStr">
        <is>
          <t>จ!ายไดตามขนาดที่แพทยTจ!าย</t>
        </is>
      </c>
      <c r="F68" s="34" t="inlineStr">
        <is>
          <t>เปลี่ยนเปEน atorvastatin 20 mg แทน</t>
        </is>
      </c>
      <c r="G68" s="34" t="inlineStr">
        <is>
          <t>จ!ายไม!ไดเพราะไม!เขากับโรคของผูป%วย</t>
        </is>
      </c>
      <c r="H68" s="34" t="inlineStr">
        <is>
          <t>จ!ายไดแต!ตองเพิ่มขนาดยาเปEน simvastatin 80 mg nmortalityratehicus ats</t>
        </is>
      </c>
      <c r="I68" s="33" t="inlineStr">
        <is>
          <t>1</t>
        </is>
      </c>
      <c r="J68" s="34"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68" s="35" t="n"/>
      <c r="L68" s="34" t="inlineStr">
        <is>
          <t>Hypertension</t>
        </is>
      </c>
      <c r="M68" s="35" t="inlineStr">
        <is>
          <t>Clinic</t>
        </is>
      </c>
      <c r="N68" s="34" t="inlineStr">
        <is>
          <t>ข้อ 3 (PLE_CC1_2561_Key.md)</t>
        </is>
      </c>
      <c r="O68" s="35" t="inlineStr">
        <is>
          <t>ข้อสอบจริง</t>
        </is>
      </c>
      <c r="P68" s="35" t="inlineStr">
        <is>
          <t>ปี 2564</t>
        </is>
      </c>
      <c r="Q68" s="2" t="n"/>
    </row>
    <row r="69" ht="409.6" customHeight="1" s="49">
      <c r="A69" s="33" t="n">
        <v>67</v>
      </c>
      <c r="B69" s="34" t="inlineStr">
        <is>
          <t>ขอใดคืออาการไม!พึงประสงคTของยา amlodipine ที่พบไดบ!อย</t>
        </is>
      </c>
      <c r="C69" s="35" t="n"/>
      <c r="D69" s="34" t="inlineStr">
        <is>
          <t>Myopathy</t>
        </is>
      </c>
      <c r="E69" s="34" t="inlineStr">
        <is>
          <t>Gastric ulcer</t>
        </is>
      </c>
      <c r="F69" s="34" t="inlineStr">
        <is>
          <t>Renal failure</t>
        </is>
      </c>
      <c r="G69" s="34" t="inlineStr">
        <is>
          <t>Osteoporosis</t>
        </is>
      </c>
      <c r="H69" s="34" t="inlineStr">
        <is>
          <t>Peripheral edema nivamiodipinenow C</t>
        </is>
      </c>
      <c r="I69" s="33" t="inlineStr">
        <is>
          <t>1</t>
        </is>
      </c>
      <c r="J69" s="34"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69" s="35" t="n"/>
      <c r="L69" s="34" t="inlineStr">
        <is>
          <t>Hypertension</t>
        </is>
      </c>
      <c r="M69" s="35" t="inlineStr">
        <is>
          <t>Clinic</t>
        </is>
      </c>
      <c r="N69" s="34" t="inlineStr">
        <is>
          <t>ข้อ 4 (PLE_CC1_2561_Key.md)</t>
        </is>
      </c>
      <c r="O69" s="35" t="inlineStr">
        <is>
          <t>ข้อสอบจริง</t>
        </is>
      </c>
      <c r="P69" s="35" t="inlineStr">
        <is>
          <t>ปี 2564</t>
        </is>
      </c>
      <c r="Q69" s="2" t="n"/>
    </row>
    <row r="70" ht="409.6" customHeight="1" s="49">
      <c r="A70" s="33" t="n">
        <v>68</v>
      </c>
      <c r="B70" s="34" t="inlineStr">
        <is>
          <t>ข้อใดคือกลไกการออกฤทธิ์ของยา amlodipine</t>
        </is>
      </c>
      <c r="C70" s="35" t="n"/>
      <c r="D70" s="34" t="inlineStr">
        <is>
          <t>ยับยั้ง renin</t>
        </is>
      </c>
      <c r="E70" s="34" t="inlineStr">
        <is>
          <t>ยับยั้ง calcium channel</t>
        </is>
      </c>
      <c r="F70" s="34" t="inlineStr">
        <is>
          <t>ยับยั้ง beta-2 adrenergic receptor</t>
        </is>
      </c>
      <c r="G70" s="34" t="inlineStr">
        <is>
          <t>ยับยั้ง alpha-1 adrenergic receptor</t>
        </is>
      </c>
      <c r="H70" s="34" t="inlineStr">
        <is>
          <t>ยับยั้ง angiotensin converting enzyme</t>
        </is>
      </c>
      <c r="I70" s="33" t="inlineStr">
        <is>
          <t>1</t>
        </is>
      </c>
      <c r="J70" s="34"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70" s="35" t="n"/>
      <c r="L70" s="34" t="inlineStr">
        <is>
          <t>Hypertension</t>
        </is>
      </c>
      <c r="M70" s="35" t="inlineStr">
        <is>
          <t>Clinic</t>
        </is>
      </c>
      <c r="N70" s="34" t="inlineStr">
        <is>
          <t>ข้อ 97 (PLE_CC1_2561_Key.md)</t>
        </is>
      </c>
      <c r="O70" s="35" t="inlineStr">
        <is>
          <t>ข้อสอบจริง</t>
        </is>
      </c>
      <c r="P70" s="35" t="inlineStr">
        <is>
          <t>ปี 2562</t>
        </is>
      </c>
    </row>
    <row r="71" ht="409.6" customHeight="1" s="49">
      <c r="A71" s="33" t="n">
        <v>69</v>
      </c>
      <c r="B71" s="34" t="inlineStr">
        <is>
          <t>คนไข้คนใหม่ กิน Aspirin แล้วปวดท้อง จะต้องปรับปรุงสูตรต้ารับ โดยใช้สารเคลือบอะไร</t>
        </is>
      </c>
      <c r="C71" s="35" t="n"/>
      <c r="D71" s="34" t="inlineStr">
        <is>
          <t>Hypromellose</t>
        </is>
      </c>
      <c r="E71" s="34" t="inlineStr">
        <is>
          <t>Hydroxyproyl methylcellulose pthalate</t>
        </is>
      </c>
      <c r="F71" s="34" t="inlineStr">
        <is>
          <t>Methyl cellulose</t>
        </is>
      </c>
      <c r="G71" s="34" t="inlineStr">
        <is>
          <t>Ethyl cellulose</t>
        </is>
      </c>
      <c r="H71" s="34" t="inlineStr">
        <is>
          <t>amino methacrylate copolymer</t>
        </is>
      </c>
      <c r="I71" s="33" t="inlineStr">
        <is>
          <t>1</t>
        </is>
      </c>
      <c r="J71" s="34"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71" s="35" t="n"/>
      <c r="L71" s="34" t="inlineStr">
        <is>
          <t>Hypertension</t>
        </is>
      </c>
      <c r="M71" s="35" t="inlineStr">
        <is>
          <t>Clinic</t>
        </is>
      </c>
      <c r="N71" s="34" t="inlineStr">
        <is>
          <t>ข้อ 7 (PLE_CC1_2560 22 April Set 1.md)</t>
        </is>
      </c>
      <c r="O71" s="35" t="inlineStr">
        <is>
          <t>ข้อสอบจริง</t>
        </is>
      </c>
      <c r="P71" s="35" t="inlineStr">
        <is>
          <t>ปี 2562</t>
        </is>
      </c>
    </row>
    <row r="72" ht="409.6" customHeight="1" s="49">
      <c r="A72" s="33" t="n">
        <v>70</v>
      </c>
      <c r="B72" s="34" t="inlineStr">
        <is>
          <t>เกิด Angioedema จาก Enalapril ควรท้าอย่างไร</t>
        </is>
      </c>
      <c r="C72" s="35" t="n"/>
      <c r="D72" s="34" t="inlineStr">
        <is>
          <t>เปลี่ยนเป็น Lisinopril</t>
        </is>
      </c>
      <c r="E72" s="34" t="inlineStr">
        <is>
          <t>เปลี่ยนเป็น Candesartan</t>
        </is>
      </c>
      <c r="F72" s="34" t="inlineStr">
        <is>
          <t>ใช้ Enalapril ต่อ เดี๋ยวอาการจะดีขึ น พร้อมติดตามอย่างใกล้ชิด</t>
        </is>
      </c>
      <c r="G72" s="34" t="inlineStr">
        <is>
          <t>ลดขนาดยา Enalapril</t>
        </is>
      </c>
      <c r="H72" s="34" t="inlineStr">
        <is>
          <t>หยุดยาจนหาย แล้วค่อยลองใช้อีกครั ง ร่วมกับต้องติดตามอย่างใกล้ชิด</t>
        </is>
      </c>
      <c r="I72" s="33" t="inlineStr">
        <is>
          <t>1</t>
        </is>
      </c>
      <c r="J72" s="34"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72" s="35" t="n"/>
      <c r="L72" s="34" t="inlineStr">
        <is>
          <t>Hypertension</t>
        </is>
      </c>
      <c r="M72" s="35" t="inlineStr">
        <is>
          <t>Clinic</t>
        </is>
      </c>
      <c r="N72" s="34" t="inlineStr">
        <is>
          <t>ข้อ 3 (PLE_CC1_2560 22 April Set 1.md)</t>
        </is>
      </c>
      <c r="O72" s="35" t="inlineStr">
        <is>
          <t>ข้อสอบจริง</t>
        </is>
      </c>
      <c r="P72" s="35" t="inlineStr">
        <is>
          <t>ปี 2562</t>
        </is>
      </c>
    </row>
    <row r="73" ht="409.6" customHeight="1" s="49">
      <c r="A73" s="33" t="n">
        <v>71</v>
      </c>
      <c r="B73" s="34" t="inlineStr">
        <is>
          <t>ข้อใดเป็นอาการไม่พึงประสงค์ของยา enalapril</t>
        </is>
      </c>
      <c r="C73" s="35" t="n"/>
      <c r="D73" s="34" t="inlineStr">
        <is>
          <t>Hepatotoxicity</t>
        </is>
      </c>
      <c r="E73" s="34" t="inlineStr">
        <is>
          <t>Tachycardia</t>
        </is>
      </c>
      <c r="F73" s="34" t="inlineStr">
        <is>
          <t>Seizure</t>
        </is>
      </c>
      <c r="G73" s="34" t="inlineStr">
        <is>
          <t>Hyperkalemia</t>
        </is>
      </c>
      <c r="H73" s="34" t="inlineStr">
        <is>
          <t>Parkinsonism</t>
        </is>
      </c>
      <c r="I73" s="33" t="inlineStr">
        <is>
          <t>1</t>
        </is>
      </c>
      <c r="J73" s="34"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73" s="35" t="n"/>
      <c r="L73" s="34" t="inlineStr">
        <is>
          <t>Hypertension</t>
        </is>
      </c>
      <c r="M73" s="35" t="inlineStr">
        <is>
          <t>Clinic</t>
        </is>
      </c>
      <c r="N73" s="34" t="inlineStr">
        <is>
          <t>ข้อ 4 (PLE_CC1_2560 22 April Set 1.md)</t>
        </is>
      </c>
      <c r="O73" s="35" t="inlineStr">
        <is>
          <t>ข้อสอบจริง</t>
        </is>
      </c>
      <c r="P73" s="35" t="inlineStr">
        <is>
          <t>ปี 2562</t>
        </is>
      </c>
    </row>
    <row r="74" ht="409.6" customHeight="1" s="49">
      <c r="A74" s="33" t="n">
        <v>72</v>
      </c>
      <c r="B74" s="34" t="inlineStr">
        <is>
          <t>ในการผลิตระดับอุตสาหกรรม ต้องใช้น ้าอะไร ในการผลิต Furosemide injection</t>
        </is>
      </c>
      <c r="C74" s="35" t="n"/>
      <c r="D74" s="34" t="inlineStr">
        <is>
          <t>Purified water</t>
        </is>
      </c>
      <c r="E74" s="34" t="inlineStr">
        <is>
          <t>Water for injection USP</t>
        </is>
      </c>
      <c r="F74" s="34" t="inlineStr">
        <is>
          <t>Sterile water for injection USP</t>
        </is>
      </c>
      <c r="G74" s="34" t="inlineStr">
        <is>
          <t>Steril water for irrigation USP</t>
        </is>
      </c>
      <c r="H74" s="34" t="inlineStr">
        <is>
          <t>Bacteriostatic water for injection USP</t>
        </is>
      </c>
      <c r="I74" s="33" t="inlineStr">
        <is>
          <t>1</t>
        </is>
      </c>
      <c r="J74" s="34"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ในหลักการทางเภสัชอุตสาหกรรมสากล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74" s="35" t="n"/>
      <c r="L74" s="34" t="inlineStr">
        <is>
          <t>Hypertension</t>
        </is>
      </c>
      <c r="M74" s="35" t="inlineStr">
        <is>
          <t>Clinic</t>
        </is>
      </c>
      <c r="N74" s="34" t="inlineStr">
        <is>
          <t>ข้อ 8 (PLE_CC1_2560 22 April Set 1.md)</t>
        </is>
      </c>
      <c r="O74" s="35" t="inlineStr">
        <is>
          <t>ข้อสอบจริง</t>
        </is>
      </c>
      <c r="P74" s="35" t="inlineStr">
        <is>
          <t>ปี 2562</t>
        </is>
      </c>
    </row>
    <row r="75" ht="409.6" customHeight="1" s="49">
      <c r="A75" s="33" t="n">
        <v>73</v>
      </c>
      <c r="B75" s="34" t="inlineStr">
        <is>
          <t>ยาใดท้าให้ Hyperkalemia</t>
        </is>
      </c>
      <c r="C75" s="35" t="n"/>
      <c r="D75" s="34" t="inlineStr">
        <is>
          <t>Aspirin</t>
        </is>
      </c>
      <c r="E75" s="34" t="inlineStr">
        <is>
          <t>Moduretic</t>
        </is>
      </c>
      <c r="F75" s="34" t="inlineStr">
        <is>
          <t>Glipizide</t>
        </is>
      </c>
      <c r="G75" s="34" t="inlineStr">
        <is>
          <t>Amlodipine</t>
        </is>
      </c>
      <c r="H75" s="34" t="inlineStr">
        <is>
          <t>Omeprazole</t>
        </is>
      </c>
      <c r="I75" s="33" t="inlineStr">
        <is>
          <t>1</t>
        </is>
      </c>
      <c r="J75" s="34"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75" s="35" t="n"/>
      <c r="L75" s="34" t="inlineStr">
        <is>
          <t>Hypertension</t>
        </is>
      </c>
      <c r="M75" s="35" t="inlineStr">
        <is>
          <t>Clinic</t>
        </is>
      </c>
      <c r="N75" s="34" t="inlineStr">
        <is>
          <t>ข้อ 1 (PLE_CC1_2560 22 April Set 1.md)</t>
        </is>
      </c>
      <c r="O75" s="35" t="inlineStr">
        <is>
          <t>ข้อสอบจริง</t>
        </is>
      </c>
      <c r="P75" s="35" t="inlineStr">
        <is>
          <t>ปี 2562</t>
        </is>
      </c>
    </row>
    <row r="76" ht="409.6" customHeight="1" s="49">
      <c r="A76" s="33" t="n">
        <v>74</v>
      </c>
      <c r="B76" s="34" t="inlineStr">
        <is>
          <t>หลังจากหยุดยาที่เป็นสาเหตุแล้วจะจัดการภาวะ hyperkalemia ในผู้ป่วยรายนี อย่างไร</t>
        </is>
      </c>
      <c r="C76" s="35" t="n"/>
      <c r="D76" s="34" t="inlineStr">
        <is>
          <t>ฉีด Insulin</t>
        </is>
      </c>
      <c r="E76" s="34" t="inlineStr">
        <is>
          <t>พ่น Salbutamol</t>
        </is>
      </c>
      <c r="F76" s="34" t="inlineStr">
        <is>
          <t>ฉีด Calcium gluconate</t>
        </is>
      </c>
      <c r="G76" s="34" t="inlineStr">
        <is>
          <t>ไปฟอกไต</t>
        </is>
      </c>
      <c r="H76" s="34" t="inlineStr">
        <is>
          <t>ไม่ต้องใช้ยารักษาอะไร</t>
        </is>
      </c>
      <c r="I76" s="33" t="inlineStr">
        <is>
          <t>1</t>
        </is>
      </c>
      <c r="J76" s="34"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76" s="35" t="n"/>
      <c r="L76" s="34" t="inlineStr">
        <is>
          <t>Hypertension</t>
        </is>
      </c>
      <c r="M76" s="35" t="inlineStr">
        <is>
          <t>Clinic</t>
        </is>
      </c>
      <c r="N76" s="34" t="inlineStr">
        <is>
          <t>ข้อ 4 (PLE_CC1_2560 22 April Set 1.md)</t>
        </is>
      </c>
      <c r="O76" s="35" t="inlineStr">
        <is>
          <t>ข้อสอบจริง</t>
        </is>
      </c>
      <c r="P76" s="35" t="inlineStr">
        <is>
          <t>ปี 2562</t>
        </is>
      </c>
    </row>
    <row r="77" ht="409.6" customHeight="1" s="49">
      <c r="A77" s="33" t="n">
        <v>75</v>
      </c>
      <c r="B77" s="34" t="inlineStr">
        <is>
          <t>ต่อมาคนให้เป็น Acute kidney injury on top CKD มีภาวะ Hyperkalemia ถามว่า ยาใดที่เป็น Ion exchange</t>
        </is>
      </c>
      <c r="C77" s="35" t="n"/>
      <c r="D77" s="34" t="inlineStr">
        <is>
          <t>Calcium polystyrene sulfonate</t>
        </is>
      </c>
      <c r="E77" s="34" t="inlineStr">
        <is>
          <t>Insulin</t>
        </is>
      </c>
      <c r="F77" s="34" t="inlineStr">
        <is>
          <t>Calcium gluconate</t>
        </is>
      </c>
      <c r="G77" s="34" t="inlineStr">
        <is>
          <t>Beta 2 agonist</t>
        </is>
      </c>
      <c r="H77" s="34" t="inlineStr">
        <is>
          <t>Sodium bicarbonate</t>
        </is>
      </c>
      <c r="I77" s="33" t="inlineStr">
        <is>
          <t>1</t>
        </is>
      </c>
      <c r="J77" s="34"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77" s="35" t="n"/>
      <c r="L77" s="34" t="inlineStr">
        <is>
          <t>Hypertension</t>
        </is>
      </c>
      <c r="M77" s="35" t="inlineStr">
        <is>
          <t>Clinic</t>
        </is>
      </c>
      <c r="N77" s="34" t="inlineStr">
        <is>
          <t>ข้อ 7 (PLE_CC1_2560 22 April Set 1.md)</t>
        </is>
      </c>
      <c r="O77" s="35" t="inlineStr">
        <is>
          <t>ข้อสอบจริง</t>
        </is>
      </c>
      <c r="P77" s="35" t="inlineStr">
        <is>
          <t>ปี 2562</t>
        </is>
      </c>
    </row>
    <row r="78" ht="409.6" customHeight="1" s="49">
      <c r="A78" s="33" t="n">
        <v>76</v>
      </c>
      <c r="B78" s="34" t="inlineStr">
        <is>
          <t>เป้าหมายความดันโลหิตของผู้ป่วยรายนี ตาม ADA2016</t>
        </is>
      </c>
      <c r="C78" s="35" t="n"/>
      <c r="D78" s="34" t="inlineStr">
        <is>
          <t>130/80</t>
        </is>
      </c>
      <c r="E78" s="34" t="inlineStr">
        <is>
          <t>140/90</t>
        </is>
      </c>
      <c r="F78" s="34" t="inlineStr">
        <is>
          <t>150/90</t>
        </is>
      </c>
      <c r="G78" s="34" t="inlineStr">
        <is>
          <t>130/70</t>
        </is>
      </c>
      <c r="H78" s="34" t="inlineStr">
        <is>
          <t>Losartan 50 mg OD</t>
        </is>
      </c>
      <c r="I78" s="33" t="inlineStr">
        <is>
          <t>1</t>
        </is>
      </c>
      <c r="J78" s="34"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78" s="35" t="n"/>
      <c r="L78" s="34" t="inlineStr">
        <is>
          <t>Hypertension</t>
        </is>
      </c>
      <c r="M78" s="35" t="inlineStr">
        <is>
          <t>Clinic</t>
        </is>
      </c>
      <c r="N78" s="34" t="inlineStr">
        <is>
          <t>ข้อ 2 (PLE_CC1_2560 22 April Set 1.md)</t>
        </is>
      </c>
      <c r="O78" s="35" t="inlineStr">
        <is>
          <t>ข้อสอบจริง</t>
        </is>
      </c>
      <c r="P78" s="35" t="inlineStr">
        <is>
          <t>ปี 2562</t>
        </is>
      </c>
    </row>
    <row r="79" ht="409.6" customHeight="1" s="49">
      <c r="A79" s="33" t="n">
        <v>77</v>
      </c>
      <c r="B79" s="34" t="inlineStr">
        <is>
          <t>ปัจจัยใดท้าให้ผู้ป่วยได้รับ Aspirin</t>
        </is>
      </c>
      <c r="C79" s="35" t="n"/>
      <c r="D79" s="34" t="inlineStr">
        <is>
          <t>อายุ</t>
        </is>
      </c>
      <c r="E79" s="34" t="inlineStr">
        <is>
          <t>อ้วน</t>
        </is>
      </c>
      <c r="F79" s="34" t="inlineStr">
        <is>
          <t>แอลกอฮอล์</t>
        </is>
      </c>
      <c r="G79" s="34" t="inlineStr">
        <is>
          <t>ไม่ออกก้าลังกาย</t>
        </is>
      </c>
      <c r="H79" s="34" t="inlineStr">
        <is>
          <t>เพศ</t>
        </is>
      </c>
      <c r="I79" s="33" t="inlineStr">
        <is>
          <t>1</t>
        </is>
      </c>
      <c r="J79" s="34"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ตามคำแนะนำของแนวทางเวชปฏิบัติสากล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79" s="35" t="n"/>
      <c r="L79" s="34" t="inlineStr">
        <is>
          <t>Hypertension</t>
        </is>
      </c>
      <c r="M79" s="35" t="inlineStr">
        <is>
          <t>Clinic</t>
        </is>
      </c>
      <c r="N79" s="34" t="inlineStr">
        <is>
          <t>ข้อ 3 (PLE_CC1_2560 22 April Set 1.md)</t>
        </is>
      </c>
      <c r="O79" s="35" t="inlineStr">
        <is>
          <t>ข้อสอบจริง</t>
        </is>
      </c>
      <c r="P79" s="35" t="inlineStr">
        <is>
          <t>ปี 2561</t>
        </is>
      </c>
    </row>
    <row r="80" ht="409.6" customHeight="1" s="49">
      <c r="A80" s="33" t="n">
        <v>78</v>
      </c>
      <c r="B80" s="34" t="inlineStr">
        <is>
          <t>ADR ของ Enalapril</t>
        </is>
      </c>
      <c r="C80" s="35" t="n"/>
      <c r="D80" s="34" t="inlineStr">
        <is>
          <t>Hyperkalemia</t>
        </is>
      </c>
      <c r="E80" s="34" t="inlineStr">
        <is>
          <t>...</t>
        </is>
      </c>
      <c r="F80" s="34" t="inlineStr">
        <is>
          <t>Empagliflozin 10 mg OD</t>
        </is>
      </c>
      <c r="G80" s="34" t="inlineStr">
        <is>
          <t>Diltiazem 30 mg TID</t>
        </is>
      </c>
      <c r="H80" s="34" t="inlineStr">
        <is>
          <t>Warfarin 3 mg OD (target INR 2.0-3.0)</t>
        </is>
      </c>
      <c r="I80" s="33" t="inlineStr">
        <is>
          <t>1</t>
        </is>
      </c>
      <c r="J80" s="34"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80" s="35" t="n"/>
      <c r="L80" s="34" t="inlineStr">
        <is>
          <t>Hypertension</t>
        </is>
      </c>
      <c r="M80" s="35" t="inlineStr">
        <is>
          <t>Clinic</t>
        </is>
      </c>
      <c r="N80" s="34" t="inlineStr">
        <is>
          <t>ข้อ 4 (PLE_CC1_2560 22 April Set 2.md)</t>
        </is>
      </c>
      <c r="O80" s="35" t="inlineStr">
        <is>
          <t>ข้อสอบจริง</t>
        </is>
      </c>
      <c r="P80" s="35" t="inlineStr">
        <is>
          <t>ปี 2561</t>
        </is>
      </c>
    </row>
    <row r="81" ht="409.6" customHeight="1" s="49">
      <c r="A81" s="33" t="n">
        <v>79</v>
      </c>
      <c r="B81" s="34" t="inlineStr">
        <is>
          <t>ยาใดทำให้ Hyperkalemia</t>
        </is>
      </c>
      <c r="C81" s="35" t="n"/>
      <c r="D81" s="34" t="inlineStr">
        <is>
          <t>Aspirin</t>
        </is>
      </c>
      <c r="E81" s="34" t="inlineStr">
        <is>
          <t>Moduretic</t>
        </is>
      </c>
      <c r="F81" s="34" t="inlineStr">
        <is>
          <t>Glipizide</t>
        </is>
      </c>
      <c r="G81" s="34" t="inlineStr">
        <is>
          <t>Amlodipine</t>
        </is>
      </c>
      <c r="H81" s="34" t="inlineStr">
        <is>
          <t>Omeprazole</t>
        </is>
      </c>
      <c r="I81" s="33" t="inlineStr">
        <is>
          <t>1</t>
        </is>
      </c>
      <c r="J81" s="34"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81" s="35" t="n"/>
      <c r="L81" s="34" t="inlineStr">
        <is>
          <t>Hypertension</t>
        </is>
      </c>
      <c r="M81" s="35" t="inlineStr">
        <is>
          <t>Clinic</t>
        </is>
      </c>
      <c r="N81" s="34" t="inlineStr">
        <is>
          <t>ข้อ 1 (PLE_CC1_2560 22 April Set 2.md)</t>
        </is>
      </c>
      <c r="O81" s="35" t="inlineStr">
        <is>
          <t>ข้อสอบจริง</t>
        </is>
      </c>
      <c r="P81" s="35" t="inlineStr">
        <is>
          <t>ปี 2561</t>
        </is>
      </c>
    </row>
    <row r="82" ht="409.6" customHeight="1" s="49">
      <c r="A82" s="33" t="n">
        <v>80</v>
      </c>
      <c r="B82" s="34" t="inlineStr">
        <is>
          <t>การจัดการภาวะ Hyperkalemia หลังจากหยุดยาที่เป็นสาเหตุ</t>
        </is>
      </c>
      <c r="C82" s="35" t="n"/>
      <c r="D82" s="34" t="inlineStr">
        <is>
          <t>ฉีด Insulin</t>
        </is>
      </c>
      <c r="E82" s="34" t="inlineStr">
        <is>
          <t>พ่น Salbutamol</t>
        </is>
      </c>
      <c r="F82" s="34" t="inlineStr">
        <is>
          <t>ฉีด Calcium gluconate</t>
        </is>
      </c>
      <c r="G82" s="34" t="inlineStr">
        <is>
          <t>ไปฟอกไต</t>
        </is>
      </c>
      <c r="H82" s="34" t="inlineStr">
        <is>
          <t>ไม่ต้องใช้ยารักษาอะไร</t>
        </is>
      </c>
      <c r="I82" s="33" t="inlineStr">
        <is>
          <t>1</t>
        </is>
      </c>
      <c r="J82" s="34"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82" s="35" t="n"/>
      <c r="L82" s="34" t="inlineStr">
        <is>
          <t>Hypertension</t>
        </is>
      </c>
      <c r="M82" s="35" t="inlineStr">
        <is>
          <t>Clinic</t>
        </is>
      </c>
      <c r="N82" s="34" t="inlineStr">
        <is>
          <t>ข้อ 3 (PLE_CC1_2560 22 April Set 2.md)</t>
        </is>
      </c>
      <c r="O82" s="35" t="inlineStr">
        <is>
          <t>ข้อสอบจริง</t>
        </is>
      </c>
      <c r="P82" s="35" t="inlineStr">
        <is>
          <t>ปี 2561</t>
        </is>
      </c>
    </row>
    <row r="83" ht="409.6" customHeight="1" s="49">
      <c r="A83" s="33" t="n">
        <v>81</v>
      </c>
      <c r="B83" s="34" t="inlineStr">
        <is>
          <t>ข้อใดเป็นคำแนะนำที่ผิด ในการใช้ Minipill ในสตรีให้นมบุตร สำหรับคุมกำเนิด</t>
        </is>
      </c>
      <c r="C83" s="35" t="n"/>
      <c r="D83" s="34" t="inlineStr">
        <is>
          <t>ให้รับประทานยาต่อเนื่อง ไม่ต้องหยุดยา 7 วัน</t>
        </is>
      </c>
      <c r="E83" s="34" t="inlineStr">
        <is>
          <t>อาจมีเลือดออกกระปิบกระปอย</t>
        </is>
      </c>
      <c r="F83" s="34" t="inlineStr">
        <is>
          <t>การใช้ Amoxicillin ไม่มีผลต่อการออกฤทธิ์ของยา</t>
        </is>
      </c>
      <c r="G83" s="34" t="inlineStr">
        <is>
          <t>หากลืมรับประทานยาเกิน 24 ชั่วโมง ยายังมีประสิทธิภาพในการคุมกำเนิดเท่าเดิม</t>
        </is>
      </c>
      <c r="H83" s="34" t="inlineStr">
        <is>
          <t>รับประทานติดต่อกันเป็นระยะเวลานาน อาจทำให้ขาดประจำเดือน</t>
        </is>
      </c>
      <c r="I83" s="33" t="inlineStr">
        <is>
          <t>1</t>
        </is>
      </c>
      <c r="J83" s="34"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83" s="35" t="n"/>
      <c r="L83" s="34" t="inlineStr">
        <is>
          <t>Hypertension</t>
        </is>
      </c>
      <c r="M83" s="35" t="inlineStr">
        <is>
          <t>Clinic</t>
        </is>
      </c>
      <c r="N83" s="34" t="inlineStr">
        <is>
          <t>ข้อ 5 (PLE_CC1_2560 22 April Set 2.md)</t>
        </is>
      </c>
      <c r="O83" s="35" t="inlineStr">
        <is>
          <t>ข้อสอบจริง</t>
        </is>
      </c>
      <c r="P83" s="35" t="inlineStr">
        <is>
          <t>ปี 2561</t>
        </is>
      </c>
    </row>
    <row r="84" ht="409.6" customHeight="1" s="49">
      <c r="A84" s="33" t="n">
        <v>82</v>
      </c>
      <c r="B84" s="34" t="inlineStr">
        <is>
          <t>ผู้ป่วยรายนี เป็นโรคภาวะหัวใจล้มเหลวอยู่ใน stage ใด</t>
        </is>
      </c>
      <c r="C84" s="35" t="n"/>
      <c r="D84" s="34" t="inlineStr">
        <is>
          <t>Stage A</t>
        </is>
      </c>
      <c r="E84" s="34" t="inlineStr">
        <is>
          <t>Stage B</t>
        </is>
      </c>
      <c r="F84" s="34" t="inlineStr">
        <is>
          <t>Stage C</t>
        </is>
      </c>
      <c r="G84" s="34" t="inlineStr">
        <is>
          <t>Stage D</t>
        </is>
      </c>
      <c r="H84" s="34" t="inlineStr">
        <is>
          <t>Stage E</t>
        </is>
      </c>
      <c r="I84" s="33" t="inlineStr">
        <is>
          <t>1</t>
        </is>
      </c>
      <c r="J84" s="34"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ไม่มีการจัดแบ่งระยะนี้ในระบบการจำแนกโรคภาวะหัวใจล้มเหลวตามเกณฑ์มาตรฐานสากลของ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84" s="35" t="n"/>
      <c r="L84" s="34" t="inlineStr">
        <is>
          <t>Hypertension</t>
        </is>
      </c>
      <c r="M84" s="35" t="inlineStr">
        <is>
          <t>Clinic</t>
        </is>
      </c>
      <c r="N84" s="34" t="inlineStr">
        <is>
          <t>ข้อ 1 (PLE_CC1_2559.md)</t>
        </is>
      </c>
      <c r="O84" s="35" t="inlineStr">
        <is>
          <t>ข้อสอบจริง</t>
        </is>
      </c>
      <c r="P84" s="35" t="inlineStr">
        <is>
          <t>ปี 2561</t>
        </is>
      </c>
    </row>
    <row r="85" ht="409.6" customHeight="1" s="49">
      <c r="A85" s="33" t="n">
        <v>83</v>
      </c>
      <c r="B85" s="34" t="inlineStr">
        <is>
          <t>การที่ผู้ป่วยได้รับยา warfarin ต้องมีการตรวจติดตามค่าอะไร</t>
        </is>
      </c>
      <c r="C85" s="35" t="n"/>
      <c r="D85" s="34" t="inlineStr">
        <is>
          <t>Prothrombin time</t>
        </is>
      </c>
      <c r="E85" s="34" t="inlineStr">
        <is>
          <t>Activated thromboplastin time</t>
        </is>
      </c>
      <c r="F85" s="34" t="inlineStr">
        <is>
          <t>International normalized ratio</t>
        </is>
      </c>
      <c r="G85" s="34" t="inlineStr">
        <is>
          <t>Heparin anti-factor  level</t>
        </is>
      </c>
      <c r="H85" s="34" t="inlineStr">
        <is>
          <t>International sensitivity index</t>
        </is>
      </c>
      <c r="I85" s="33" t="inlineStr">
        <is>
          <t>1</t>
        </is>
      </c>
      <c r="J85" s="34"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ของน้ำยาตรวจเพื่อให้ได้ค่ามาตรฐานสากลคือ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เป็นค่ามาตรฐานสากลที่ใช้ในการปรับขนาดยา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85" s="35" t="n"/>
      <c r="L85" s="34" t="inlineStr">
        <is>
          <t>Hypertension</t>
        </is>
      </c>
      <c r="M85" s="35" t="inlineStr">
        <is>
          <t>Clinic</t>
        </is>
      </c>
      <c r="N85" s="34" t="inlineStr">
        <is>
          <t>ข้อ 6 (PLE_CC1_2559.md)</t>
        </is>
      </c>
      <c r="O85" s="35" t="inlineStr">
        <is>
          <t>ข้อสอบจริง</t>
        </is>
      </c>
      <c r="P85" s="35" t="inlineStr">
        <is>
          <t>ปี 2561</t>
        </is>
      </c>
    </row>
    <row r="86" ht="409.6" customHeight="1" s="49">
      <c r="A86" s="33" t="n">
        <v>84</v>
      </c>
      <c r="B86" s="34" t="inlineStr">
        <is>
          <t>ข้อใดถูกเกี่ยวกับโครงสร้างของ warfarin</t>
        </is>
      </c>
      <c r="C86" s="35" t="n"/>
      <c r="D86" s="34" t="inlineStr">
        <is>
          <t>Racemic mixture หมุน polarize ไม่ได้</t>
        </is>
      </c>
      <c r="E86" s="34" t="inlineStr">
        <is>
          <t>มี chiral carbon 2 atom</t>
        </is>
      </c>
      <c r="F86" s="34" t="inlineStr">
        <is>
          <t>จากโครงสร้างเป็น S-form</t>
        </is>
      </c>
      <c r="G86" s="34" t="inlineStr">
        <is>
          <t>R-form กับ S-form วัดได้จาก Polarimeter</t>
        </is>
      </c>
      <c r="H86" s="34" t="inlineStr">
        <is>
          <t>R-form กับ S-form ไม่ได้เป็น optical isomer</t>
        </is>
      </c>
      <c r="I86" s="33" t="inlineStr">
        <is>
          <t>1</t>
        </is>
      </c>
      <c r="J86" s="34"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86" s="35" t="n"/>
      <c r="L86" s="34" t="inlineStr">
        <is>
          <t>Hypertension</t>
        </is>
      </c>
      <c r="M86" s="35" t="inlineStr">
        <is>
          <t>Clinic</t>
        </is>
      </c>
      <c r="N86" s="34" t="inlineStr">
        <is>
          <t>ข้อ 7 (PLE_CC1_2559.md)</t>
        </is>
      </c>
      <c r="O86" s="35" t="inlineStr">
        <is>
          <t>ข้อสอบจริง</t>
        </is>
      </c>
      <c r="P86" s="35" t="inlineStr">
        <is>
          <t>ปี 2560</t>
        </is>
      </c>
    </row>
    <row r="87" ht="409.6" customHeight="1" s="49">
      <c r="A87" s="33" t="n">
        <v>85</v>
      </c>
      <c r="B87" s="34"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87" s="35" t="n"/>
      <c r="D87" s="34" t="inlineStr">
        <is>
          <t>Category A</t>
        </is>
      </c>
      <c r="E87" s="34" t="inlineStr">
        <is>
          <t>Category B</t>
        </is>
      </c>
      <c r="F87" s="34" t="inlineStr">
        <is>
          <t>Category E</t>
        </is>
      </c>
      <c r="G87" s="34" t="inlineStr">
        <is>
          <t>Category F</t>
        </is>
      </c>
      <c r="H87" s="34" t="inlineStr">
        <is>
          <t>Category I ยาที่ได้รับ Theophylline SR 1x2 Seretide evohaler (25/125) 2 puff bid Berodual 2 puff prn Phenytoin 3xhs</t>
        </is>
      </c>
      <c r="I87" s="33" t="inlineStr">
        <is>
          <t>1</t>
        </is>
      </c>
      <c r="J87" s="34"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ตามเกณฑ์สากลจะจัดอยู่ใน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87" s="35" t="n"/>
      <c r="L87" s="34" t="inlineStr">
        <is>
          <t>Hypertension</t>
        </is>
      </c>
      <c r="M87" s="35" t="inlineStr">
        <is>
          <t>Clinic</t>
        </is>
      </c>
      <c r="N87" s="34" t="inlineStr">
        <is>
          <t>ข้อ 9 (PLE_CC1_2559.md)</t>
        </is>
      </c>
      <c r="O87" s="35" t="inlineStr">
        <is>
          <t>ข้อสอบจริง</t>
        </is>
      </c>
      <c r="P87" s="35" t="inlineStr">
        <is>
          <t>ปี 2560</t>
        </is>
      </c>
    </row>
    <row r="88" ht="409.6" customHeight="1" s="49">
      <c r="A88" s="33" t="n">
        <v>86</v>
      </c>
      <c r="B88" s="34" t="inlineStr">
        <is>
          <t>ควรได้รับยาอะไรเสริมด้วยในผู้ป่วยที่ได้รับยา metformin</t>
        </is>
      </c>
      <c r="C88" s="35" t="n"/>
      <c r="D88" s="34" t="inlineStr">
        <is>
          <t>Thiamine</t>
        </is>
      </c>
      <c r="E88" s="34" t="inlineStr">
        <is>
          <t>Riboflavin</t>
        </is>
      </c>
      <c r="F88" s="34" t="inlineStr">
        <is>
          <t>Niacin</t>
        </is>
      </c>
      <c r="G88" s="34" t="inlineStr">
        <is>
          <t>Pyridoxine</t>
        </is>
      </c>
      <c r="H88" s="34" t="inlineStr">
        <is>
          <t>Cobalamin</t>
        </is>
      </c>
      <c r="I88" s="33" t="inlineStr">
        <is>
          <t>1</t>
        </is>
      </c>
      <c r="J88" s="34"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88" s="35" t="n"/>
      <c r="L88" s="34" t="inlineStr">
        <is>
          <t>Hypertension</t>
        </is>
      </c>
      <c r="M88" s="35" t="inlineStr">
        <is>
          <t>Clinic</t>
        </is>
      </c>
      <c r="N88" s="34" t="inlineStr">
        <is>
          <t>ข้อ 20 (PLE_CC1_2559.md)</t>
        </is>
      </c>
      <c r="O88" s="35" t="inlineStr">
        <is>
          <t>ข้อสอบจริง</t>
        </is>
      </c>
      <c r="P88" s="35" t="inlineStr">
        <is>
          <t>ปี 2560</t>
        </is>
      </c>
    </row>
    <row r="89" ht="409.6" customHeight="1" s="49">
      <c r="A89" s="33" t="n">
        <v>87</v>
      </c>
      <c r="B89" s="34" t="inlineStr">
        <is>
          <t>2 เดือนต่อมา ผู้ป่วยกลับมาตรวจพบ FBS 120 mg/dL HbA1C 7% eGFR 25 mL/min ควรปรับเปลี่ยนยา อย่างไร</t>
        </is>
      </c>
      <c r="C89" s="35" t="n"/>
      <c r="D89" s="34" t="inlineStr">
        <is>
          <t>เพิ่ม glipizide</t>
        </is>
      </c>
      <c r="E89" s="34" t="inlineStr">
        <is>
          <t>เปลี่ยน glibenclamide เป็น chlorpropamide</t>
        </is>
      </c>
      <c r="F89" s="34" t="inlineStr">
        <is>
          <t>เปลี่ยน metformin เป็น pioglitazone</t>
        </is>
      </c>
      <c r="G89" s="34" t="inlineStr">
        <is>
          <t>เพิ่มยา acarbose เนื่องจากระดับน ้าตาลยังไม่ได้เป้าหมาย</t>
        </is>
      </c>
      <c r="H89" s="34" t="inlineStr">
        <is>
          <t>ไม่ต้องมีการเปลี่ยนแปลง</t>
        </is>
      </c>
      <c r="I89" s="33" t="inlineStr">
        <is>
          <t>1</t>
        </is>
      </c>
      <c r="J89" s="34"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89" s="35" t="n"/>
      <c r="L89" s="34" t="inlineStr">
        <is>
          <t>Hypertension</t>
        </is>
      </c>
      <c r="M89" s="35" t="inlineStr">
        <is>
          <t>Clinic</t>
        </is>
      </c>
      <c r="N89" s="34" t="inlineStr">
        <is>
          <t>ข้อ 21 (PLE_CC1_2559.md)</t>
        </is>
      </c>
      <c r="O89" s="35" t="inlineStr">
        <is>
          <t>ข้อสอบจริง</t>
        </is>
      </c>
      <c r="P89" s="35" t="inlineStr">
        <is>
          <t>ปี 2560</t>
        </is>
      </c>
    </row>
    <row r="90" ht="409.6" customHeight="1" s="49">
      <c r="A90" s="33" t="n">
        <v>88</v>
      </c>
      <c r="B90" s="34" t="inlineStr">
        <is>
          <t>ความดันเป้าหมายในผู้ป่วยรายนี เท่ากับเท่าไรตาม JNC II</t>
        </is>
      </c>
      <c r="C90" s="35" t="n"/>
      <c r="D90" s="34" t="inlineStr">
        <is>
          <t>130/80 mmHg</t>
        </is>
      </c>
      <c r="E90" s="34" t="inlineStr">
        <is>
          <t>140/90 mmHg</t>
        </is>
      </c>
      <c r="F90" s="34" t="inlineStr">
        <is>
          <t>120/80 mmHg</t>
        </is>
      </c>
      <c r="G90" s="34" t="inlineStr">
        <is>
          <t>130/90 mmHg</t>
        </is>
      </c>
      <c r="H90" s="34" t="inlineStr">
        <is>
          <t>130/85 mmHg</t>
        </is>
      </c>
      <c r="I90" s="33" t="inlineStr">
        <is>
          <t>1</t>
        </is>
      </c>
      <c r="J90" s="34"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90" s="35" t="n"/>
      <c r="L90" s="34" t="inlineStr">
        <is>
          <t>Hypertension</t>
        </is>
      </c>
      <c r="M90" s="35" t="inlineStr">
        <is>
          <t>Clinic</t>
        </is>
      </c>
      <c r="N90" s="34" t="inlineStr">
        <is>
          <t>ข้อ 77 (PLE_CC1_2559.md)</t>
        </is>
      </c>
      <c r="O90" s="35" t="inlineStr">
        <is>
          <t>ข้อสอบจริง</t>
        </is>
      </c>
      <c r="P90" s="35" t="inlineStr">
        <is>
          <t>ปี 2560</t>
        </is>
      </c>
    </row>
    <row r="91" ht="409.6" customHeight="1" s="49">
      <c r="A91" s="33" t="n">
        <v>89</v>
      </c>
      <c r="B91" s="34" t="inlineStr">
        <is>
          <t>หากคนไข้ได้รับยา enalapril ควรต้องมีการติดตามค่าใด</t>
        </is>
      </c>
      <c r="C91" s="35" t="n"/>
      <c r="D91" s="34" t="inlineStr">
        <is>
          <t>Electrolyte</t>
        </is>
      </c>
      <c r="E91" s="34" t="inlineStr">
        <is>
          <t>Complete blood count</t>
        </is>
      </c>
      <c r="F91" s="34" t="inlineStr">
        <is>
          <t>Liver function test</t>
        </is>
      </c>
      <c r="G91" s="34" t="inlineStr">
        <is>
          <t>Fasting blood glucose</t>
        </is>
      </c>
      <c r="H91" s="34" t="inlineStr">
        <is>
          <t>Electrocardiogram</t>
        </is>
      </c>
      <c r="I91" s="33" t="inlineStr">
        <is>
          <t>1</t>
        </is>
      </c>
      <c r="J91" s="34"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91" s="35" t="n"/>
      <c r="L91" s="34" t="inlineStr">
        <is>
          <t>Hypertension</t>
        </is>
      </c>
      <c r="M91" s="35" t="inlineStr">
        <is>
          <t>Clinic</t>
        </is>
      </c>
      <c r="N91" s="34" t="inlineStr">
        <is>
          <t>ข้อ 79 (PLE_CC1_2559.md)</t>
        </is>
      </c>
      <c r="O91" s="35" t="inlineStr">
        <is>
          <t>ข้อสอบจริง</t>
        </is>
      </c>
      <c r="P91" s="35" t="inlineStr">
        <is>
          <t>ปี 2560</t>
        </is>
      </c>
    </row>
    <row r="92" ht="409.6" customHeight="1" s="49">
      <c r="A92" s="33" t="n">
        <v>90</v>
      </c>
      <c r="B92" s="34" t="inlineStr">
        <is>
          <t>ยาตัวใดปลอดภัยกับหัวใจที่สุด</t>
        </is>
      </c>
      <c r="C92" s="35" t="n"/>
      <c r="D92" s="34" t="inlineStr">
        <is>
          <t>Ibuprofen</t>
        </is>
      </c>
      <c r="E92" s="34" t="inlineStr">
        <is>
          <t>Diclofenac</t>
        </is>
      </c>
      <c r="F92" s="34" t="inlineStr">
        <is>
          <t>Naproxen</t>
        </is>
      </c>
      <c r="G92" s="34" t="inlineStr">
        <is>
          <t>Celecoxib</t>
        </is>
      </c>
      <c r="H92" s="34" t="inlineStr">
        <is>
          <t>Piroxicam</t>
        </is>
      </c>
      <c r="I92" s="33" t="inlineStr">
        <is>
          <t>1</t>
        </is>
      </c>
      <c r="J92" s="34"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92" s="35" t="n"/>
      <c r="L92" s="34" t="inlineStr">
        <is>
          <t>Hypertension</t>
        </is>
      </c>
      <c r="M92" s="35" t="inlineStr">
        <is>
          <t>Clinic</t>
        </is>
      </c>
      <c r="N92" s="34" t="inlineStr">
        <is>
          <t>ข้อ 88 (PLE_CC1_2559.md)</t>
        </is>
      </c>
      <c r="O92" s="35" t="inlineStr">
        <is>
          <t>ข้อสอบจริง</t>
        </is>
      </c>
      <c r="P92" s="35" t="inlineStr">
        <is>
          <t>ปี 2560</t>
        </is>
      </c>
    </row>
    <row r="93" ht="409.6" customHeight="1" s="49">
      <c r="A93" s="33" t="n">
        <v>91</v>
      </c>
      <c r="B93" s="34" t="inlineStr">
        <is>
          <t>เป้าหมายความดันโลหิตของผู้ป่วยรายนี้ตาม JNC8 เท่ากับข้อใด</t>
        </is>
      </c>
      <c r="C93" s="35" t="n"/>
      <c r="D93" s="34" t="inlineStr">
        <is>
          <t>150/90 mmHg</t>
        </is>
      </c>
      <c r="E93" s="34" t="inlineStr">
        <is>
          <t>140/90 mmHg</t>
        </is>
      </c>
      <c r="F93" s="34" t="inlineStr">
        <is>
          <t>130/80 mmHg</t>
        </is>
      </c>
      <c r="G93" s="34" t="inlineStr">
        <is>
          <t>140/80 mmHg</t>
        </is>
      </c>
      <c r="H93" s="34" t="inlineStr">
        <is>
          <t>125/90 mmHg</t>
        </is>
      </c>
      <c r="I93" s="33" t="inlineStr">
        <is>
          <t>1</t>
        </is>
      </c>
      <c r="J93" s="34" t="inlineStr">
        <is>
          <t>✅ คำตอบที่ถูกต้อง: ข้อ ก. 150/90 mmHg
💡 Background:
แนวทางเวชปฏิบัติ JNC 8 ได้กำหนดเกณฑ์เป้าหมายความดันโลหิตตามกลุ่มอายุและโรคร่วม โดยพิจารณาจากหลักฐานเชิงประจักษ์ของการศึกษาทางคลินิกแบบสุ่มและมีกลุ่มควบคุมขนาดใหญ่ที่มุ่งเน้นการลดอัตราการเสียชีวิตและภาวะแทรกซ้อน
🎯 ทำไมข้อนี้ถึงถูก:
ตามข้อแนะนำที่ 1 ของ JNC 8 กำหนดไว้ว่าในประชากรทั่วไปที่มีอายุตั้งแต่ 60 ปีขึ้นไป ให้เริ่มต้นการรักษาด้วยยาลดความดันเมื่อ SBP ตั้งแต่ 150 mmHg หรือ DBP ตั้งแต่ 90 mmHg ขึ้นไป และตั้งเป้าหมายการควบคุมความดันโลหิตให้น้อยกว่า 150/90 mmHg เพื่อลดความเสี่ยงจากการเกิดภาวะความดันต่ำและภาวะแทรกซ้อนในผู้สูงอายุ
🔍 ข้ออื่นผิดเพราะอะไร:
• ข้อ ข.: 140/90 mmHg เป็นเป้าหมายความดันโลหิตตาม JNC 8 สำหรับประชากรทั่วไปที่อายุน้อยกว่า 60 ปี หรือผู้ป่วยเบาหวานและผู้ป่วยโรคไตเรื้อรังทุกช่วงอายุ
• ข้อ ค.: 130/80 mmHg เป็นเป้าหมายความดันโลหิตตามแนวทาง ACC/AHA 2017 และแนวทางสมาคมความดันโลหิตสูงแห่งประเทศไทย 2562 ไม่ใช่เกณฑ์เป้าหมายของ JNC 8
• ข้อ ง.: 140/80 mmHg ไม่ตรงกับเกณฑ์ตัวเลขเป้าหมายตามที่ระบุในข้อแนะนำของ JNC 8 สำหรับประชากรอายุ 60 ปีขึ้นไป
• ข้อ จ.: 125/90 mmHg เป็นค่าความดันโลหิตที่ไม่มีการกำหนดไว้ในแนวทางเวชปฏิบัติมาตรฐานใดๆ
📖 Guideline อ้างอิง:
2014 Evidence-Based Guideline for the Management of High Blood Pressure in Adults (JNC 8)
📌 จุดจำก่อนสอบ:
• JNC 8 Age &gt;= 60: เป้าหมายความดันโลหิตคือ &lt; 150/90 mmHg ในประชากรทั่วไปที่ไม่มี DM หรือ CKD
• JNC 8 Age &lt; 60, DM, CKD: เป้าหมายความดันโลหิตคือ &lt; 140/90 mmHg</t>
        </is>
      </c>
      <c r="K93" s="35" t="n"/>
      <c r="L93" s="34" t="inlineStr">
        <is>
          <t>Hypertension</t>
        </is>
      </c>
      <c r="M93" s="35" t="inlineStr">
        <is>
          <t>Clinic</t>
        </is>
      </c>
      <c r="N93" s="34" t="inlineStr">
        <is>
          <t>ข้อ 1 (PLE_CC1_2558_Key.md)</t>
        </is>
      </c>
      <c r="O93" s="35" t="inlineStr">
        <is>
          <t>ข้อสอบจริง</t>
        </is>
      </c>
      <c r="P93" s="35" t="inlineStr">
        <is>
          <t>ปี 2560</t>
        </is>
      </c>
    </row>
    <row r="94" ht="409.6" customHeight="1" s="49">
      <c r="A94" s="33" t="n">
        <v>92</v>
      </c>
      <c r="B94" s="34" t="inlineStr">
        <is>
          <t>ข้อใดคือ ADR ของ enalapril ที่ต้องติดตาม</t>
        </is>
      </c>
      <c r="C94" s="35" t="n"/>
      <c r="D94" s="34" t="inlineStr">
        <is>
          <t>Hyperkalemia</t>
        </is>
      </c>
      <c r="E94" s="34" t="inlineStr">
        <is>
          <t>Hyperuricemia</t>
        </is>
      </c>
      <c r="F94" s="34" t="inlineStr">
        <is>
          <t>Hypernatremia</t>
        </is>
      </c>
      <c r="G94" s="34" t="inlineStr">
        <is>
          <t>Hyperphosphatemia</t>
        </is>
      </c>
      <c r="H94" s="34" t="inlineStr">
        <is>
          <t>Hypercalcemia</t>
        </is>
      </c>
      <c r="I94" s="33" t="inlineStr">
        <is>
          <t>1</t>
        </is>
      </c>
      <c r="J94" s="34" t="inlineStr">
        <is>
          <t>✅ คำตอบที่ถูกต้อง: ข้อ ก. Hyperkalemia
💡 Background:
Enalapril ยับยั้งเอนไซม์ Angiotensin-Converting Enzyme ขัดขวางการสังเคราะห์ Angiotensin II ซึ่งเป็นตัวกระตุ้นหลักในการหลั่ง Aldosterone จาก Zona glomerulosa ของต่อมหมวกไต
🎯 ทำไมข้อนี้ถึงถูก:
เมื่อระดับ Aldosterone ในกระแสเลือดลดลง กลไกการขับ Potassium ไอออนทิ้งทางปัสสาวะที่ Principal cells บริเวณ Cortical collecting tubule จะลดลงอย่างมีนัยสำคัญ ส่งผลให้เกิดการคั่งของโพแทสเซียมในร่างกายและนำไปสู่ภาวะ Hyperkalemia ซึ่งเป็นอาการไม่พึงประสงค์หลักที่ต้องเฝ้าระวังอย่างใกล้ชิด
🔍 ข้ออื่นผิดเพราะอะไร:
• ข้อ ข.: Hyperuricemia เป็นอาการไม่พึงประสงค์เด่นของยากลุ่ม Thiazide และ Loop diuretics จากการแย่งชิงการขับออกที่ท่อไตส่วนต้น ไม่ใช่ผลข้างเคียงของ Enalapril
• ข้อ ค.: Hypernatremia ไม่พบในการใช้ Enalapril เนื่องจากยาออกฤทธิ์ลด Aldosterone ทำให้เกิดการขับโซเดียมและน้ำออกทางไต ซึ่งอาจนำไปสู่ภาวะ Hyponatremia ได้ในบางกรณี
• ข้อ ง.: Hyperphosphatemia พบบ่อยในผู้ป่วยไตวายเรื้อรังระยะท้ายจากการลดลงของการกรองฟอสเฟตที่ไต ไม่ใช่อาการไม่พึงประสงค์จากการใช้ยา Enalapril
• ข้อ จ.: Hypercalcemia มักสัมพันธ์กับยากลุ่ม Thiazide diuretics ที่เพิ่มการดูดกลับแคลเซียมที่ท่อไตส่วนปลาย ไม่ใช่ผลข้างเคียงของ ACEI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ADR: Hyperkalemia เกิดจากการลดลงของ Aldosterone ทำให้ลดการขับ K+ ที่ไต
• Clinical Practice: ต้องติดตามระดับ K+ สม่ำเสมอ โดยเฉพาะในผู้ป่วยไตเสื่อมหรือผู้ที่ใช้ยา K+-sparing agents ร่วมด้วย</t>
        </is>
      </c>
      <c r="K94" s="35" t="n"/>
      <c r="L94" s="34" t="inlineStr">
        <is>
          <t>Hypertension</t>
        </is>
      </c>
      <c r="M94" s="35" t="inlineStr">
        <is>
          <t>Clinic</t>
        </is>
      </c>
      <c r="N94" s="34" t="inlineStr">
        <is>
          <t>ข้อ 2 (PLE_CC1_2558_Key.md)</t>
        </is>
      </c>
      <c r="O94" s="35" t="inlineStr">
        <is>
          <t>ข้อสอบจริง</t>
        </is>
      </c>
      <c r="P94" s="35" t="inlineStr">
        <is>
          <t>ปี 2560</t>
        </is>
      </c>
    </row>
    <row r="95" ht="409.6" customHeight="1" s="49">
      <c r="A95" s="33" t="n">
        <v>93</v>
      </c>
      <c r="B95" s="34" t="inlineStr">
        <is>
          <t>ควรเพิ่มยารักษาความดันใดให้ได้ตามเป้าหมาย</t>
        </is>
      </c>
      <c r="C95" s="35" t="n"/>
      <c r="D95" s="34" t="inlineStr">
        <is>
          <t>Atenolol</t>
        </is>
      </c>
      <c r="E95" s="34" t="inlineStr">
        <is>
          <t>Amlodipine</t>
        </is>
      </c>
      <c r="F95" s="34" t="inlineStr">
        <is>
          <t>เพิ่มขนาดยา enalapril</t>
        </is>
      </c>
      <c r="G95" s="34" t="inlineStr">
        <is>
          <t>Indapamide</t>
        </is>
      </c>
      <c r="H95" s="34" t="inlineStr">
        <is>
          <t>HCTZ</t>
        </is>
      </c>
      <c r="I95" s="33" t="inlineStr">
        <is>
          <t>1</t>
        </is>
      </c>
      <c r="J95" s="34" t="inlineStr">
        <is>
          <t>✅ คำตอบที่ถูกต้อง: ข้อ ก. Amlodipine
💡 Background:
ผู้ป่วยหญิงสูงอายุ (68 ปี) มีความดันโลหิต 158/96 mmHg และมีโรคร่วมคือภาวะกรดยูริกในเลือดสูง (Uric acid 8 mg/dL) และอัตราการเต้นของหัวใจค่อนข้างช้า (HR 62 ครั้ง/นาที) โดยปัจจุบันได้รับ Enalapril 20 mg วันละสองครั้ง ซึ่งเป็นขนาดยาสูงสุดแล้ว
🎯 ทำไมข้อนี้ถึงถูก:
Amlodipine เป็นยากลุ่ม Dihydropyridine Calcium Channel Blocker (DHP-CCB) ซึ่งเป็น first-line class ร่วมกับ ACEI และเป็นยาที่เหมาะสมที่สุดเนื่องจาก Enalapril ได้รับขนาดยาสูงสุดแล้ว การเพิ่ม DHP-CCB ช่วยเสริมฤทธิ์ลดความดันโลหิตผ่านการขยายหลอดเลือดแดงส่วนปลายโดยไม่มีผลกดอัตราการเต้นของหัวใจ และไม่มีผลเพิ่มระดับกรดยูริกในเลือด
🔍 ข้ออื่นผิดเพราะอะไร:
• ข้อ ก.: Atenolol เป็น Beta-1 selective blocker ซึ่งมีผลลดอัตราการเต้นของหัวใจ (Negative chronotropic) ผู้ป่วยมี HR เริ่มต้นที่ 62 ครั้ง/นาที จึงเสี่ยงต่อการเกิดภาวะ Bradycardia รุนแรง และไม่แนะนำเป็น first-line ในโรคความดันโลหิตสูงทั่วไป
• ข้อ ค.: เพิ่มขนาดยา enalapril ไม่สามารถทำได้เนื่องจากผู้ป่วยรับประทาน Enalapril 20 mg วันละ 2 ครั้ง ซึ่งคิดเป็นขนาดยารวม 40 mg ต่อวัน อันเป็นขนาดยาสูงสุดที่แนะนำต่อวันแล้ว (Max daily dose)
• ข้อ ง.: Indapamide เป็น Thiazide-like diuretic ที่มีกลไกยับยั้งการขับกรดยูริกที่ท่อไตส่วนต้น อาจทำให้ภาวะ Hyperuricemia เดิมของผู้ป่วยแย่ลงและกระตุ้นการเกิดข้ออักเสบเกาต์ได้
• ข้อ จ.: HCTZ เป็น Thiazide diuretic ที่มีผลข้างเคียงสำคัญคือการลดการขับกรดยูริก ทำให้เกิดภาวะ Hyperuricemia ซึ่งเป็นข้อควรระวังสำคัญในผู้ป่วยรายนี้ที่มีกรดยูริกสูงถึง 8 mg/dL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Max Dose Enalapril: ขนาดยาสูงสุดคือ 40 mg/day (20 mg bid) หากยังคุมความดันไม่ได้ต้องเพิ่มยากลุ่มอื่น (Add-on)
• Core Combination: การจับคู่ ACEI ร่วมกับ DHP-CCB (Amlodipine) มีประสิทธิภาพลดความดันโลหิตสูงและปลอดภัยในผู้ป่วยที่มีกรดยูริกสูง</t>
        </is>
      </c>
      <c r="K95" s="35" t="n"/>
      <c r="L95" s="34" t="inlineStr">
        <is>
          <t>Hypertension</t>
        </is>
      </c>
      <c r="M95" s="35" t="inlineStr">
        <is>
          <t>Clinic</t>
        </is>
      </c>
      <c r="N95" s="34" t="inlineStr">
        <is>
          <t>ข้อ 3 (PLE_CC1_2558_Key.md)</t>
        </is>
      </c>
      <c r="O95" s="35" t="inlineStr">
        <is>
          <t>ข้อสอบจริง</t>
        </is>
      </c>
      <c r="P95" s="35" t="inlineStr">
        <is>
          <t>ปี 2560</t>
        </is>
      </c>
    </row>
    <row r="96" ht="409.6" customHeight="1" s="49">
      <c r="A96" s="33" t="n">
        <v>94</v>
      </c>
      <c r="B96" s="34" t="inlineStr">
        <is>
          <t>Simvastatin เกิดปฏิกิริยาระหว่างยา gemfibrozil ด้วยกลไก</t>
        </is>
      </c>
      <c r="C96" s="35" t="n"/>
      <c r="D96" s="34" t="inlineStr">
        <is>
          <t>CYP 3A4</t>
        </is>
      </c>
      <c r="E96" s="34" t="inlineStr">
        <is>
          <t>CYP 1A2</t>
        </is>
      </c>
      <c r="F96" s="34" t="inlineStr">
        <is>
          <t>CYP 2C9</t>
        </is>
      </c>
      <c r="G96" s="34" t="inlineStr">
        <is>
          <t>Sulfation</t>
        </is>
      </c>
      <c r="H96" s="34" t="inlineStr">
        <is>
          <t>OATP 1B1</t>
        </is>
      </c>
      <c r="I96" s="33" t="inlineStr">
        <is>
          <t>1</t>
        </is>
      </c>
      <c r="J96" s="34" t="inlineStr">
        <is>
          <t>✅ คำตอบที่ถูกต้อง: ข้อ ก. OATP 1B1
💡 Background:
ปฏิกิริยาระหว่างยากลุ่ม Fibrates และ Statins เป็นสาเหตุสำคัญที่เพิ่มความเข้มข้นของ Statin ในกระแสเลือดและนำไปสู่การเกิดภาวะพิษต่อกล้ามเนื้อ (Myopathy) และกล้ามเนื้อลายสลายตัว (Rhabdomyolysis)
🎯 ทำไมข้อนี้ถึงถูก:
Gemfibrozil (โดยเฉพาะในรูป Gemfibrozil 1-O-beta-glucuronide) ออกฤทธิ์ยับยั้งตัวนำส่งยาเข้าสู่เซลล์ตับชนิด Organic Anion Transporting Polypeptide 1B1 (OATP1B1) อย่างแรง ทำให้การนำ Statin เข้าสู่เซลล์ตับลดลงอย่างมาก ส่งผลให้ระดับ Simvastatin acid ในกระแสเลือดพุ่งสูงขึ้นหลายเท่าตัว เพิ่มความเสี่ยงต่อภาวะ Rhabdomyolysis อย่างรุนแรง
🔍 ข้ออื่นผิดเพราะอะไร:
• ข้อ ก.: CYP 3A4 เป็นเอนไซม์หลักที่ทำลาย Simvastatin แต่ Gemfibrozil ไม่ได้เป็นตัวยับยั้งหลักของ CYP3A4 กลไกการเกิดอันตรกิริยาที่สำคัญกว่าคือการยับยั้ง OATP1B1 และการยับยั้งกระบวนการ Glucuronidation ผ่าน UGT1A1/1A3
• ข้อ ข.: CYP 1A2 สลายยา เช่น Theophylline ไม่ได้มีบทบาทหลักในเมแทบอลิซึมของ Simvastatin หรือการยับยั้งโดย Gemfibrozil
• ข้อ ค.: CYP 2C9 ทำหน้าที่สลายยา เช่น Warfarin และ Fluvastatin แต่ไม่ใช่เอนไซม์หลักในการขจัด Simvastatin
• ข้อ ง.: Sulfation เป็นปฏิกิริยา Phase II metabolism แต่ไม่ได้เป็นวิถีหลักที่ถูกรบกวนโดย Gemfibrozil ในการเพิ่มระดับ Simvastatin ในเลือด
📖 Guideline อ้างอิง:
2018 AHA/ACC/AACVPR/AAPA/ABC/ACPM/ADA/AGS/APhA/ASPC/NLA/PCNA Guideline on the Management of Blood Cholesterol
📌 จุดจำก่อนสอบ:
• Contraindicated DDI: ห้ามใช้ Gemfibrozil ร่วมกับ Simvastatin เด็ดขาดเนื่องจากเสี่ยงต่อ Rhabdomyolysis สูงมาก
• Mechanism: Gemfibrozil glucuronide ยับยั้ง OATP1B1 hepatic uptake transporter และยับยั้ง UGT-mediated glucuronidation</t>
        </is>
      </c>
      <c r="K96" s="35" t="n"/>
      <c r="L96" s="34" t="inlineStr">
        <is>
          <t>Hypertension</t>
        </is>
      </c>
      <c r="M96" s="35" t="inlineStr">
        <is>
          <t>Clinic</t>
        </is>
      </c>
      <c r="N96" s="34" t="inlineStr">
        <is>
          <t>ข้อ 5 (PLE_CC1_2558_Key.md)</t>
        </is>
      </c>
      <c r="O96" s="35" t="inlineStr">
        <is>
          <t>ข้อสอบจริง</t>
        </is>
      </c>
      <c r="P96" s="35" t="inlineStr">
        <is>
          <t>ปี 2560</t>
        </is>
      </c>
    </row>
    <row r="97" ht="409.6" customHeight="1" s="49">
      <c r="A97" s="33" t="n">
        <v>95</v>
      </c>
      <c r="B97" s="34" t="inlineStr">
        <is>
          <t>โครงสร้าง ยา enalapril เสื่อมด้วยกลไกใด</t>
        </is>
      </c>
      <c r="C97" s="35" t="n"/>
      <c r="D97" s="34" t="inlineStr">
        <is>
          <t>Epimerization</t>
        </is>
      </c>
      <c r="E97" s="34" t="inlineStr">
        <is>
          <t>Dimerization</t>
        </is>
      </c>
      <c r="F97" s="34" t="inlineStr">
        <is>
          <t>Hydrolysis</t>
        </is>
      </c>
      <c r="G97" s="34" t="inlineStr">
        <is>
          <t>Tautomerization</t>
        </is>
      </c>
      <c r="H97" s="34" t="inlineStr">
        <is>
          <t>Intramolecular cyclication</t>
        </is>
      </c>
      <c r="I97" s="33" t="inlineStr">
        <is>
          <t>1</t>
        </is>
      </c>
      <c r="J97" s="34" t="inlineStr">
        <is>
          <t>✅ คำตอบที่ถูกต้อง: ข้อ ก. Intramolecular cyclication
💡 Background:
Enalapril maleate เป็นยาในกลุ่ม ACE inhibitor ชนิด Prodrug ซึ่งประกอบด้วยโครงสร้างของ Dipeptide analog ที่มีหมู่ Ethyl ester, Carboxylic acid และ Secondary amine ในโมเลกุลเดียวกัน
🎯 ทำไมข้อนี้ถึงถูก:
กลไกการสลายตัวและความไม่คงตัวทางเคมีที่สำคัญของ Enalapril ในสภาวะของแข็งหรือสารละลายคือปฏิกิริยา Intramolecular cyclization ซึ่งหมู่ Secondary amino group เข้าทำปฏิกิริยากับหมู่วง Ester ภายในโมเลกุลเดียวกัน เกิดการปิดวงแหวนกลายเป็นสารสลายตัวชนิด Diketopiperazine (DKP derivative) และเกิดปฏิกิริยา Hydrolysis ร่วมด้วย
🔍 ข้ออื่นผิดเพราะอะไร:
• ข้อ ก.: Epimerization เป็นการเปลี่ยนแปลงโครงสร้างเชิงระนาบ stereocenter ชนิดหนึ่ง แต่วิถีการเสื่อมสลายหลักที่ทำให้เกิด impurity เด่นชัดของ Enalapril คือการเกิดวง Diketopiperazine
• ข้อ ข.: Dimerization เป็นการรวมตัวกันของสองโมเลกุล เช่น ในสารที่มีหมู่ไธออลอิสระอย่าง Captopril ที่เกิด Disulfide dimer แต่ไม่ใช่กลไกเด่นของ Enalapril
• ข้อ ค.: Hydrolysis เกิดขึ้นได้กับพันธะ Ester กลายเป็น Enalaprilat แต่ในแง่ความคงตัวของเภสัชภัณฑ์ ปฏิกิริยา Intramolecular cyclization เป็น degradation pathway เฉพาะตัวที่สำคัญในการควบคุมคุณภาพยา
• ข้อ ง.: Tautomerization เป็นการย้ายตำแหน่งของโปรตอนและพันธะคู่ในโมเลกุล เช่น Keto-enol tautomerism ไม่ใช่วิถีการเสื่อมสลายหลักของ Enalapril
📖 Guideline อ้างอิง:
United States Pharmacopeia (USP) Monograph on Enalapril Maleate &amp; Foye's Principles of Medicinal Chemistry
📌 จุดจำก่อนสอบ:
• Enalapril Degradation: สลายตัวเกิด Intramolecular cyclization ได้สารประกอบวงแหวน Diketopiperazine (DKP)
• Captopril Comparison: Captopril มีหมู่ Sulfhydryl (-SH) จึงเสื่อมสลายผ่านปฏิกิริยา Oxidation เกิด Dimerization</t>
        </is>
      </c>
      <c r="K97" s="35" t="n"/>
      <c r="L97" s="34" t="inlineStr">
        <is>
          <t>Hypertension</t>
        </is>
      </c>
      <c r="M97" s="35" t="inlineStr">
        <is>
          <t>Clinic</t>
        </is>
      </c>
      <c r="N97" s="34" t="inlineStr">
        <is>
          <t>ข้อ 6 (PLE_CC1_2558_Key.md)</t>
        </is>
      </c>
      <c r="O97" s="35" t="inlineStr">
        <is>
          <t>ข้อสอบจริง</t>
        </is>
      </c>
      <c r="P97" s="35" t="inlineStr">
        <is>
          <t>ปี 2560</t>
        </is>
      </c>
    </row>
    <row r="98" ht="409.6" customHeight="1" s="49">
      <c r="A98" s="33" t="n">
        <v>96</v>
      </c>
      <c r="B98" s="34" t="inlineStr">
        <is>
          <t>6 เดือนต่อมาผู้ป่วยมีภาวะหลอดเลือดแดงที่ไตตีบ ควรให้ยาความดันตัวใด -</t>
        </is>
      </c>
      <c r="C98" s="35" t="n"/>
      <c r="D98" s="34" t="inlineStr">
        <is>
          <t>Manidipine</t>
        </is>
      </c>
      <c r="E98" s="34" t="inlineStr">
        <is>
          <t>Losartan</t>
        </is>
      </c>
      <c r="F98" s="34" t="inlineStr">
        <is>
          <t>Ramipril</t>
        </is>
      </c>
      <c r="G98" s="34" t="inlineStr">
        <is>
          <t>HCTZ</t>
        </is>
      </c>
      <c r="H98" s="34" t="inlineStr">
        <is>
          <t>Metoprolol</t>
        </is>
      </c>
      <c r="I98" s="33" t="inlineStr">
        <is>
          <t>1</t>
        </is>
      </c>
      <c r="J98" s="34" t="inlineStr">
        <is>
          <t>✅ คำตอบที่ถูกต้อง: ข้อ ก. Manidipine
💡 Background:
ภาวะหลอดเลือดแดงไตตีบสองข้าง (Bilateral renal artery stenosis) ส่งผลให้เลือดไปเลี้ยง Glomerulus ลดลง ไตจึงต้องพึ่งพา Angiotensin II ในการหดหลอดเลือดแดง Efferent arteriole เพื่อรักษาแรงดันการกรอง (Intraglomerular filtration pressure) และรักษาระดับ GFR เอาไว้
🎯 ทำไมข้อนี้ถึงถูก:
Manidipine เป็นยากลุ่ม Dihydropyridine Calcium Channel Blocker (DHP-CCB) รุ่นใหม่ที่มีความปลอดภัยในการใช้รักษาความดันโลหิตสูงในภาวะ Renal artery stenosis เนื่องจากยาออกฤทธิ์ขยายหลอดเลือดแดง Renal afferent และ efferent arteriole โดยตรง ไม่ได้ขัดขวางกลไกการหดตัวของ Efferent arteriole ผ่าน Angiotensin II จึงไม่ทำให้ GFR ลดลงอย่างรุนแรง
🔍 ข้ออื่นผิดเพราะอะไร:
• ข้อ ข.: Losartan เป็นยากลุ่ม ARB ที่ปิดกั้น Angiotensin II receptor ทำให้ Efferent arteriole ขยายตัว ส่งผลให้ intraglomerular pressure ลดฮวบ เกิดภาวะไตวายเฉียบพลัน (Acute kidney injury) อย่างรุนแรงในภาวะ Bilateral renal artery stenosis
• ข้อ ค.: Ramipril เป็นยากลุ่ม ACEI ซึ่งเป็นข้อห้ามใช้อย่างเด็ดขาด (Absolute contraindication) ในภาวะ Bilateral renal artery stenosis เนื่องจากยับยั้ง Angiotensin II ทำให้เกิดภาวะไตวายเฉียบพลัน
• ข้อ ง.: HCTZ เป็นยาขับปัสสาวะที่อาจทำให้เกิด Intravascular volume depletion เพิ่มเติม ส่งผลให้ Renal perfusion แย่ลงไปอีกในผู้ป่วยที่มีการตีบของหลอดเลือดแดงไต
• ข้อ จ.: Metoprolol เป็น Beta-blocker ที่ไม่มีประสิทธิภาพในการขยายหลอดเลือดไต และมีประสิทธิภาพลดความดันโลหิตด้อยกว่า CCB ในผู้ป่วยกลุ่มนี้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Bilateral RAS Contraindication: ห้ามใช้ยากลุ่ม ACEI และ ARB เด็ดขาดในผู้ป่วย Bilateral renal artery stenosis เนื่องจากทำให้เกิด AKI
• Drug of Choice in RAS: ยากลุ่ม Dihydropyridine CCBs (เช่น Manidipine, Amlodipine) เป็นยาที่ปลอดภัยและมีประสิทธิภาพในการลดความดัน</t>
        </is>
      </c>
      <c r="K98" s="35" t="n"/>
      <c r="L98" s="34" t="inlineStr">
        <is>
          <t>Hypertension</t>
        </is>
      </c>
      <c r="M98" s="35" t="inlineStr">
        <is>
          <t>Clinic</t>
        </is>
      </c>
      <c r="N98" s="34" t="inlineStr">
        <is>
          <t>ข้อ 7 (PLE_CC1_2558_Key.md)</t>
        </is>
      </c>
      <c r="O98" s="35" t="inlineStr">
        <is>
          <t>ข้อสอบจริง</t>
        </is>
      </c>
      <c r="P98" s="35" t="inlineStr">
        <is>
          <t>ปี 2560</t>
        </is>
      </c>
    </row>
    <row r="99" ht="409.6" customHeight="1" s="49">
      <c r="A99" s="33" t="n">
        <v>97</v>
      </c>
      <c r="B99" s="34" t="inlineStr">
        <is>
          <t>หากผู้ป่วยมีโรคความดันร่วมไม่ควรได้ยาใด</t>
        </is>
      </c>
      <c r="C99" s="35" t="n"/>
      <c r="D99" s="34" t="inlineStr">
        <is>
          <t>Carvedilol</t>
        </is>
      </c>
      <c r="E99" s="34" t="inlineStr">
        <is>
          <t>HCTZ</t>
        </is>
      </c>
      <c r="F99" s="34" t="inlineStr">
        <is>
          <t>Enalapril</t>
        </is>
      </c>
      <c r="G99" s="34" t="inlineStr">
        <is>
          <t>Amlodipine</t>
        </is>
      </c>
      <c r="H99" s="34" t="inlineStr">
        <is>
          <t>Valsartan</t>
        </is>
      </c>
      <c r="I99" s="33" t="inlineStr">
        <is>
          <t>1</t>
        </is>
      </c>
      <c r="J99" s="34" t="inlineStr">
        <is>
          <t>✅ คำตอบที่ถูกต้อง: ข้อ ก. Carvedilol
💡 Background:
ผู้ป่วยมีโรคหอบหืดกำเริบ (Asthma) มีอาการหอบทั้งกลางวันและกลางคืน และใช้ยาพ่นสูดขยายหลอดลม Salbutamol เป็นประจำ ซึ่งแสดงถึงภาวะทางเดินหายใจไวเกินและมีการหดเกร็งของหลอดลม (Bronchospasm)
🎯 ทำไมข้อนี้ถึงถูก:
Carvedilol เป็นยากลุ่ม Non-selective Beta-blocker (ปิดกั้นทั้ง Beta-1, Beta-2 และ Alpha-1 receptors) การปิดกั้น Beta-2 receptor ที่กล้ามเนื้อเรียบหลอดลมจะต้านฤทธิ์ของ Salbutamol และกระตุ้นให้เกิดหลอดลมหดเกร็งอย่างรุนแรง (Severe bronchospasm) ซึ่งอาจเป็นอันตรายถึงแก่ชีวิต จึงเป็นข้อห้ามใช้เด็ดขาดในผู้ป่วยโรคหอบหืด
🔍 ข้ออื่นผิดเพราะอะไร:
• ข้อ ข.: HCTZ เป็นยาขับปัสสาวะกลุ่ม Thiazide ที่ออกฤทธิ์ที่ท่อไตส่วนปลาย ไม่มีผลต่อตัวรับในระบบทางเดินหายใจ จึงสามารถใช้ในผู้ป่วยโรคหอบหืดได้อย่างปลอดภัย
• ข้อ ค.: Enalapril เป็นยากลุ่ม ACEI แม้ว่าอาจทำให้เกิดผลข้างเคียงไอแห้ง (Dry cough) ได้ แต่ไม่ได้เป็นข้อห้ามใช้เด็ดขาดเหมือน Non-selective beta-blockers ในโรคหอบหืด
• ข้อ ง.: Amlodipine เป็นยากลุ่ม Dihydropyridine CCB ออกฤทธิ์ขยายหลอดเลือดส่วนปลายโดยไม่ส่งผลต่อกล้ามเนื้อเรียบหลอดลม จึงปลอดภัยอย่างยิ่งในผู้ป่วยโรคหอบหืด
• ข้อ จ.: Valsartan เป็นยากลุ่ม ARB ที่ไม่มีผลต่อระดับ Bradykinin และไม่มีผลต่อหลอดลม จึงมีความปลอดภัยในการใช้รักษาความดันในผู้ป่วยหอบหืด
📖 Guideline อ้างอิง:
Global Initiative for Asthma (GINA) Guidelines 2023 &amp; แนวทางการรักษาโรคความดันโลหิตสูง ในเวชปฏิบัติทั่วไป พ.ศ. 2562
📌 จุดจำก่อนสอบ:
• Asthma Absolute Contraindication: ห้ามใช้ Non-selective Beta-blockers (เช่น Carvedilol, Propranolol) ในผู้ป่วย Asthma เด็ดขาด
• Beta-2 Blockade: การปิดกั้น Beta-2 receptor ทำให้หลอดลมหดเกร็งรุนแรงและต้านฤทธิ์ยาพ่นขยายหลอดลม SABA</t>
        </is>
      </c>
      <c r="K99" s="35" t="n"/>
      <c r="L99" s="34" t="inlineStr">
        <is>
          <t>Hypertension</t>
        </is>
      </c>
      <c r="M99" s="35" t="inlineStr">
        <is>
          <t>Clinic</t>
        </is>
      </c>
      <c r="N99" s="34" t="inlineStr">
        <is>
          <t>ข้อ 30 (PLE_CC1_2558_Key.md)</t>
        </is>
      </c>
      <c r="O99" s="35" t="inlineStr">
        <is>
          <t>ข้อสอบจริง</t>
        </is>
      </c>
      <c r="P99" s="35" t="inlineStr">
        <is>
          <t>ปี 2560</t>
        </is>
      </c>
    </row>
    <row r="100" ht="409.6" customHeight="1" s="49">
      <c r="A100" s="33" t="n">
        <v>98</v>
      </c>
      <c r="B100" s="34" t="inlineStr">
        <is>
          <t>ยารักษาภาวะ hyperkalemia</t>
        </is>
      </c>
      <c r="C100" s="35" t="n"/>
      <c r="D100" s="34" t="inlineStr">
        <is>
          <t>Sevelamer</t>
        </is>
      </c>
      <c r="E100" s="34" t="inlineStr">
        <is>
          <t>Al(OH)3</t>
        </is>
      </c>
      <c r="F100" s="34" t="inlineStr">
        <is>
          <t>CaCO3</t>
        </is>
      </c>
      <c r="G100" s="34" t="inlineStr">
        <is>
          <t>Sodium bicarbonate</t>
        </is>
      </c>
      <c r="H100" s="34" t="inlineStr">
        <is>
          <t>Sodium polystyrene sulfonate</t>
        </is>
      </c>
      <c r="I100" s="33" t="inlineStr">
        <is>
          <t>1</t>
        </is>
      </c>
      <c r="J100" s="34" t="inlineStr">
        <is>
          <t>✅ คำตอบที่ถูกต้อง: ข้อ ก. Sodium polystyrene sulfonate
💡 Background:
ภาวะโพแทสเซียมในเลือดสูง (Hyperkalemia) เป็นภาวะฉุกเฉินทางอายุรศาสตร์ที่อาจเหนี่ยวนำให้เกิดภาวะหัวใจเต้นผิดจังหวะชนิดรุนแรงถึงแก่ชีวิต เช่น Ventricular fibrillation หรือ Asystole
🎯 ทำไมข้อนี้ถึงถูก:
Sodium polystyrene sulfonate (Kalimate หรือ Kayexalate resin) เป็นยาแลกเปลี่ยนแคตไอออน (Cation exchange resin) ออกฤทธิ์แลกเปลี่ยนไอออนโซเดียมกับโพแทสเซียมในลำไส้ใหญ่ ช่วยจับและขับโพแทสเซียมออกจากร่างกายผ่านทางอุจจาระ จึงใช้เป็นยารักษาและลดระดับโพแทสเซียมในร่างกายโดยตรง
🔍 ข้ออื่นผิดเพราะอะไร:
• ข้อ ก.: Sevelamer เป็นสารจับฟอสเฟตชนิดไม่มีแคลเซียม (Non-calcium phosphate binder) ใช้รักษาภาวะ Hyperphosphatemia ในผู้ป่วยโรคไตเรื้อรัง ไม่มีผลลดระดับโพแทสเซียม
• ข้อ ข.: Al(OH)3 เป็นยาลดกรดและเป็น Phosphate binder ที่ใช้จับฟอสเฟตในทางเดินอาหาร ไม่ได้มีฤทธิ์ในการรักษาภาวะ Hyperkalemia
• ข้อ ค.: CaCO3 หรือ Calcium carbonate ใช้เป็น Phosphate binder ในผู้ป่วยไตวายเรื้อรัง หรือใช้เสริมแคลเซียม ไม่สามารถขับโพแทสเซียมออกจากร่างกายได้
• ข้อ ง.: Sodium bicarbonate มีบทบาทในการรักษา Hyperkalemia เฉพาะในกรณีที่มีภาวะ Metabolic acidosis ร่วมด้วยเพื่อช่วยดึงโพแทสเซียมเข้าสู่เซลล์ชั่วคราว แต่ไม่ใช่ยากลุ่มเรซินขับโพแทสเซียมออกจากร่างกายโดยตรง
📖 Guideline อ้างอิง:
KDIGO 2024 Clinical Practice Guideline for the Management of CKD &amp; AHA/ACC Hyperkalemia Management
📌 จุดจำก่อนสอบ:
• Potassium Binders: Sodium polystyrene sulfonate และ Calcium polystyrene sulfonate ทำหน้าที่แลกเปลี่ยนไอออนในลำไส้เพื่อขับ K+ ทิ้งทางอุจจาระ
• Acute Treatment of Hyperkalemia: Calcium gluconate ใช้ป้องกันหัวใจ (Cardiac membrane stabilization), Insulin + Glucose ดึง K+ เข้าเซลล์, Resin ช่วยขับ K+ ออกจากร่างกาย</t>
        </is>
      </c>
      <c r="K100" s="35" t="n"/>
      <c r="L100" s="34" t="inlineStr">
        <is>
          <t>Hypertension</t>
        </is>
      </c>
      <c r="M100" s="35" t="inlineStr">
        <is>
          <t>Clinic</t>
        </is>
      </c>
      <c r="N100" s="34" t="inlineStr">
        <is>
          <t>ข้อ 50 (PLE_CC1_2558_Key.md)</t>
        </is>
      </c>
      <c r="O100" s="35" t="inlineStr">
        <is>
          <t>ข้อสอบจริง</t>
        </is>
      </c>
      <c r="P100" s="35" t="inlineStr">
        <is>
          <t>ปี 2560</t>
        </is>
      </c>
    </row>
    <row r="101" ht="409.6" customHeight="1" s="49">
      <c r="A101" s="33" t="n">
        <v>99</v>
      </c>
      <c r="B101" s="34" t="inlineStr">
        <is>
          <t>NSAIDs ใดมีผลต่อหัวใจและหลอดเลือดน้อยสุด</t>
        </is>
      </c>
      <c r="C101" s="35" t="n"/>
      <c r="D101" s="34" t="inlineStr">
        <is>
          <t>Ibuprofen</t>
        </is>
      </c>
      <c r="E101" s="34" t="inlineStr">
        <is>
          <t>Diclofenac</t>
        </is>
      </c>
      <c r="F101" s="34" t="inlineStr">
        <is>
          <t>Naproxen</t>
        </is>
      </c>
      <c r="G101" s="34" t="inlineStr">
        <is>
          <t>Sulindac</t>
        </is>
      </c>
      <c r="H101" s="34" t="inlineStr">
        <is>
          <t>Parecoxib</t>
        </is>
      </c>
      <c r="I101" s="33" t="inlineStr">
        <is>
          <t>1</t>
        </is>
      </c>
      <c r="J101" s="34" t="inlineStr">
        <is>
          <t>✅ คำตอบที่ถูกต้อง: ข้อ ก. Naproxen
💡 Background:
ความเสี่ยงต่อการเกิดโรคหลอดเลือดหัวใจและสมองจากยากลุ่ม NSAIDs สัมพันธ์กับระดับการยับยั้งสัมพัทธ์ระหว่างเอนไซม์ COX-1 และ COX-2 โดยยาที่ยับยั้ง COX-2 สูงจะทำให้เยื่อบุหลอดเลือดสร้าง Prostacyclin (PGI2) ลดลง ในขณะที่เกล็ดเลือดยังคงสร้าง Thromboxane A2 (TXA2) ได้ ทำให้เกิดภาวะหลอดเลือดหดตัวและลิ่มเลือดอุดตัน
🎯 ทำไมข้อนี้ถึงถูก:
Naproxen ได้รับการยอมรับจากหลักฐานการวิเคราะห์อภิมานขนาดใหญ่ (เช่น CNT Collaboration) ว่ามีความปลอดภัยต่อระบบหัวใจและหลอดเลือดสูงที่สุดในกลุ่ม NSAIDs ทั้งหมด เนื่องจากมีคุณสมบัติยับยั้ง COX-1 ในเกล็ดเลือดได้อย่างต่อเนื่องยาวนานตลอดช่วงการให้ยา ทำให้มีผลต้านการเกาะกลุ่มของเกล็ดเลือดคล้ายคลึงกับยา Aspirin
🔍 ข้ออื่นผิดเพราะอะไร:
• ข้อ ก.: Ibuprofen มีความเสี่ยงต่อระบบหัวใจในระดับปานกลาง แต่มีอันตรกิริยาแย่งจับกับ Aspirin ทำให้ฤทธิ์ป้องกันหัวใจของ Aspirin ลดลง และในขนาดสูงเพิ่มความเสี่ยงต่อกล้ามเนื้อหัวใจขาดเลือด
• ข้อ ข.: Diclofenac มีความจำเพาะต่อเอนไซม์ COX-2 สูงใกล้เคียงกับยา Celecoxib จึงมีอุบัติการณ์การเกิดกล้ามเนื้อหัวใจขาดเลือดและหลอดเลือดสมองอุดตันสูงที่สุดในกลุ่มยา Non-selective NSAIDs
• ข้อ ง.: Sulindac เป็นยากลุ่ม Acetic acid derivative ที่ผ่านกระบวนการ enterohepatic circulation แม้เชื่อว่ามีผลต่อไตน้อยกว่า แต่ยังคงมีความเสี่ยงต่อระบบหัวใจและหลอดเลือดสูงกว่า Naproxen
• ข้อ จ.: Parecoxib เป็นยาฉีดที่เป็น Prodrug ของ Valdecoxib จัดเป็น Selective COX-2 inhibitor ที่มีข้อห้ามใช้เด็ดขาดในผู้ป่วยที่ได้รับการผ่าตัดหลอดเลือดหัวใจ (CABG) เนื่องจากเพิ่มความเสี่ยงต่อการเกิดหลอดเลือดอุดตันอย่างมีนัยสำคัญ
📖 Guideline อ้างอิง:
AHA Scientific Statement on the Use of Nonsteroidal Antiinflammatory Drugs &amp; 2021 ESC Cardiovascular Prevention Guidelines
📌 จุดจำก่อนสอบ:
• Safest NSAID for Heart: Naproxen คือ NSAID ทางเลือกแรกในผู้ป่วยที่มีความเสี่ยงสูงต่อโรคหัวใจและหลอดเลือด (High CV risk)
• Most Cardiotoxic NSAIDs: Diclofenac และกลุ่ม Coxibs (Celecoxib, Parecoxib) มีความเสี่ยงต่อหลอดเลือดอุดตันสูงที่สุด</t>
        </is>
      </c>
      <c r="K101" s="35" t="n"/>
      <c r="L101" s="34" t="inlineStr">
        <is>
          <t>Hypertension</t>
        </is>
      </c>
      <c r="M101" s="35" t="inlineStr">
        <is>
          <t>Clinic</t>
        </is>
      </c>
      <c r="N101" s="34" t="inlineStr">
        <is>
          <t>ข้อ 67 (PLE_CC1_2558_Key.md)</t>
        </is>
      </c>
      <c r="O101" s="35" t="inlineStr">
        <is>
          <t>ข้อสอบจริง</t>
        </is>
      </c>
      <c r="P101" s="35" t="inlineStr">
        <is>
          <t>ปี 2560</t>
        </is>
      </c>
    </row>
    <row r="102" ht="409.6" customHeight="1" s="49">
      <c r="A102" s="33" t="n">
        <v>100</v>
      </c>
      <c r="B102" s="34" t="inlineStr">
        <is>
          <t>ตาม guideline ADA 2014 ควรให้ aspirin หรือไม่ อย่างไร</t>
        </is>
      </c>
      <c r="C102" s="35" t="n"/>
      <c r="D102" s="34" t="inlineStr">
        <is>
          <t>ให้เพื่อป้องกันโรคหลอดเลือดหัวใจแบบปฐมภูมิ</t>
        </is>
      </c>
      <c r="E102" s="34" t="inlineStr">
        <is>
          <t>ให้เพื่อป้องกันโรคหลอดเลือดหัวใจแบบทุติยภูมิ</t>
        </is>
      </c>
      <c r="F102" s="34" t="inlineStr">
        <is>
          <t>ไม่ให้เพราะไม่จำเป็นต้องป้องกันโรคหลอดเลือดหัวใจแบบปฐมภูมิ</t>
        </is>
      </c>
      <c r="G102" s="34" t="inlineStr">
        <is>
          <t>ไม่ให้ เพราะไม่จำเป็นต้องป้องกันโรคหลอดเลือดหัวใจแบบทุติยภูมิ</t>
        </is>
      </c>
      <c r="H102" s="34" t="inlineStr">
        <is>
          <t>ไม่ให้ เพราะไม่เข้าเกณฑ์ตาม ADA guideline</t>
        </is>
      </c>
      <c r="I102" s="33" t="inlineStr">
        <is>
          <t>1</t>
        </is>
      </c>
      <c r="J102" s="34" t="inlineStr">
        <is>
          <t>✅ คำตอบที่ถูกต้อง: ข้อ ก. ให้เพื่อป้องกันโรคหลอดเลือดหัวใจแบบปฐมภูมิ
💡 Background:
ผู้ป่วยเบาหวานมีความเสี่ยงสูงต่อการเกิดโรคหัวใจและหลอดเลือด (Atherosclerotic Cardiovascular Disease: ASCVD) ซึ่งการให้ยาต้านเกล็ดเลือด Aspirin ขนาดต่ำจะช่วยลดความเสี่ยงต่อการเกิดภาวะกล้ามเนื้อหัวใจขาดเลือดเฉียบพลันและหลอดเลือดสมองอุดตัน
🎯 ทำไมข้อนี้ถึงถูก:
ตามแนวทาง ADA Standards of Medical Care in Diabetes 2014 แนะนำให้พิจารณาใช้ Aspirin (ขนาด 75-162 mg ต่อวัน) เพื่อป้องกันโรคหลอดเลือดหัวใจแบบปฐมภูมิ (Primary prophylaxis) ในผู้ป่วยเบาหวานที่มีความเสี่ยงต่อ ASCVD ในระดับสูง (เช่น ผู้ชายอายุมากกว่า 50 ปี หรือผู้หญิงอายุมากกว่า 60 ปี ที่มีปัจจัยเสี่ยงร่วมอย่างน้อย 1 ข้อ เช่น สูบบุหรี่ ความดันโลหิตสูง หรือไขมันในเลือดสูง)
🔍 ข้ออื่นผิดเพราะอะไร:
• ข้อ ข.: ให้เพื่อป้องกันโรคหลอดเลือดหัวใจแบบทุติยภูมิ ไม่ถูกต้องเนื่องจากผู้ป่วยรายนี้ยังไม่มีประวัติโรคหลอดเลือดหัวใจหรือหลอดเลือดสมองมาก่อน จึงจัดเป็นการป้องกันแบบปฐมภูมิ (Primary prevention)
• ข้อ ค.: ไม่ให้เพราะไม่จำเป็นต้องป้องกันโรคหลอดเลือดหัวใจแบบปฐมภูมิ ไม่ถูกต้องเนื่องจากผู้ป่วยเบาหวานที่มีปัจจัยเสี่ยงหลายประการจัดเป็นกลุ่มเสี่ยงสูงที่ได้ประโยชน์ชัดเจนจากการให้ยาต้านเกล็ดเลือด
• ข้อ ง.: ไม่ให้ เพราะไม่จำเป็นต้องป้องกันโรคหลอดเลือดหัวใจแบบทุติยภูมิ ไม่ถูกต้องตามบริบทเนื่องจากการป้องกันแบบทุติยภูมิเป็นข้อบ่งใช้บังคับในผู้ที่มีประวัติโรคหลอดเลือดแล้วทุกราย
• ข้อ จ.: ไม่ให้ เพราะไม่เข้าเกณฑ์ตาม ADA guideline ไม่ถูกต้องเนื่องจากผู้ป่วยเบาหวานที่มีปัจจัยเสี่ยงทางหัวใจร่วมเข้าเกณฑ์ข้อแนะนำในการเริ่มยา Aspirin เพื่อการป้องกันแบบปฐมภูมิตาม ADA 2014
📖 Guideline อ้างอิง:
American Diabetes Association (ADA) Standards of Medical Care in Diabetes 2014
📌 จุดจำก่อนสอบ:
• Primary Prevention in DM: ADA 2014 แนะนำ Aspirin 75-162 mg/day ในผู้ป่วยเบาหวานที่มีความเสี่ยงสูงต่อ CVD และไม่มีความเสี่ยงต่อการตกเลือด
• Secondary Prevention: ในผู้ป่วยเบาหวานที่มีประวัติ CVD มาก่อน ต้องได้รับ Aspirin ทุกรายหากไม่มีข้อห้ามใช้เด็ดขาด</t>
        </is>
      </c>
      <c r="K102" s="35" t="n"/>
      <c r="L102" s="34" t="inlineStr">
        <is>
          <t>Hypertension</t>
        </is>
      </c>
      <c r="M102" s="35" t="inlineStr">
        <is>
          <t>Clinic</t>
        </is>
      </c>
      <c r="N102" s="34" t="inlineStr">
        <is>
          <t>ข้อ 86 (PLE_CC1_2558_Key.md)</t>
        </is>
      </c>
      <c r="O102" s="35" t="inlineStr">
        <is>
          <t>ข้อสอบจริง</t>
        </is>
      </c>
      <c r="P102" s="35" t="inlineStr">
        <is>
          <t>ปี 2560</t>
        </is>
      </c>
    </row>
    <row r="103" ht="409.6" customHeight="1" s="49">
      <c r="A103" s="33" t="n">
        <v>101</v>
      </c>
      <c r="B103" s="34" t="inlineStr">
        <is>
          <t>ผู้ป่วยหญิง อายุ 60 ปี มีความดัน 130/100 จัดอยู่ใน Stage ใดตาม ACC/AHA 2017</t>
        </is>
      </c>
      <c r="C103" s="35" t="n"/>
      <c r="D103" s="34" t="inlineStr">
        <is>
          <t>High normal</t>
        </is>
      </c>
      <c r="E103" s="34" t="inlineStr">
        <is>
          <t>Hypertension Stage 1</t>
        </is>
      </c>
      <c r="F103" s="34" t="inlineStr">
        <is>
          <t>Hypertension Stage 2</t>
        </is>
      </c>
      <c r="G103" s="34" t="inlineStr">
        <is>
          <t>Hypertension Stage 3</t>
        </is>
      </c>
      <c r="H103" s="34" t="inlineStr">
        <is>
          <t>Isolated systolic hypertension</t>
        </is>
      </c>
      <c r="I103" s="33" t="inlineStr">
        <is>
          <t>1</t>
        </is>
      </c>
      <c r="J103" s="34" t="inlineStr">
        <is>
          <t>✅ คำตอบที่ถูกต้อง: ข้อ ก. Hypertension Stage 2
💡 Background:
แนวทางเวชปฏิบัติ ACC/AHA 2017 ได้ปรับเปลี่ยนเกณฑ์การจำแนกระดับความดันโลหิตในผู้ใหญ่ใหม่เพื่อส่งเสริมการเริ่มควบคุมตั้งแต่ระยะเริ่มต้น โดยแบ่งออกเป็น Normal, Elevated, Stage 1 HTN และ Stage 2 HTN
🎯 ทำไมข้อนี้ถึงถูก:
ตามเกณฑ์ ACC/AHA 2017 กำหนดให้ Stage 2 Hypertension คือผู้ที่มีระดับ SBP ตั้งแต่ 140 mmHg ขึ้นไป หรือ DBP ตั้งแต่ 90 mmHg ขึ้นไป ผู้ป่วยหญิงรายนี้มีความดันโลหิต 130/100 mmHg แม้ว่า SBP (130 mmHg) จะอยู่ในช่วง Stage 1 แต่ DBP เท่ากับ 100 mmHg ซึ่งมากกว่าหรือเท่ากับ 90 mmHg จึงต้องจัดเข้าสู่ระดับที่รุนแรงกว่าคือ Stage 2 Hypertension ทันที
🔍 ข้ออื่นผิดเพราะอะไร:
• ข้อ ก.: High normal เป็นการจำแนกความดันโลหิตตามแนวทางฝั่งยุโรป (ESC/ESH) หรือแนวทางของสมาคมความดันโลหิตสูงแห่งประเทศไทย ไม่มีการใช้คำนี้ในการจำแนกของ ACC/AHA 2017
• ข้อ ข.: Hypertension Stage 1 ตามเกณฑ์ ACC/AHA 2017 กำหนด SBP อยู่ในช่วง 130-139 หรือ DBP อยู่ในช่วง 80-89 mmHg แต่เนื่องจาก DBP ของผู้ป่วยสูงถึง 100 mmHg จึงต้องปัดขึ้นเป็น Stage 2
• ข้อ ง.: Hypertension Stage 3 ไม่มีอยู่ในระบบการจำแนกของแนวทาง ACC/AHA 2017 ซึ่งมีระดับสูงสุดคือ Stage 2 เท่านั้น
• ข้อ จ.: Isolated systolic hypertension หมายถึงภาวะที่ SBP ตั้งแต่ 130 mmHg ขึ้นไป แต่ DBP ต้องน้อยกว่า 80 mmHg ในขณะที่ผู้ป่วยรายนี้มี DBP สูงถึง 100 mmHg
📖 Guideline อ้างอิง:
2017 ACC/AHA/AAPA/ABC/ACPM/AGS/APhA/ASH/ASPC/NMA/PCNA Guideline for the Prevention, Detection, Evaluation, and Management of High Blood Pressure in Adults
📌 จุดจำก่อนสอบ:
• ACC/AHA 2017 Staging: Normal (&lt;120/&lt;80), Elevated (120-129/&lt;80), Stage 1 (130-139 หรือ 80-89), Stage 2 (&gt;=140 หรือ &gt;=90 mmHg)
• Staging Rule: หากค่า SBP และ DBP ตกอยู่คนละระดับ ให้จัดอยู่ใน Stage ที่รุนแรงกว่าเสมอ</t>
        </is>
      </c>
      <c r="K103" s="35" t="n"/>
      <c r="L103" s="34" t="inlineStr">
        <is>
          <t>Hypertension</t>
        </is>
      </c>
      <c r="M103" s="35" t="inlineStr">
        <is>
          <t>Clinic</t>
        </is>
      </c>
      <c r="N103" s="34" t="inlineStr">
        <is>
          <t>ข้อ 3 (Pharmtutor_2024_Set1.md)</t>
        </is>
      </c>
      <c r="O103" s="35" t="inlineStr">
        <is>
          <t>ข้อสอบจริง</t>
        </is>
      </c>
      <c r="P103" s="35" t="inlineStr">
        <is>
          <t>ปี 2560</t>
        </is>
      </c>
    </row>
    <row r="104" ht="409.6" customHeight="1" s="49">
      <c r="A104" s="33" t="n">
        <v>102</v>
      </c>
      <c r="B104" s="34" t="inlineStr">
        <is>
          <t>ยาใดไม่สามารถลดอัตราการเสียชีวิตจากโรคที่เกี่ยวข้องกับโรคระบบหัวใจและหลอดเลือด</t>
        </is>
      </c>
      <c r="C104" s="35" t="n"/>
      <c r="D104" s="34" t="inlineStr">
        <is>
          <t>ACE inhibitor</t>
        </is>
      </c>
      <c r="E104" s="34" t="inlineStr">
        <is>
          <t>Beta-blocker</t>
        </is>
      </c>
      <c r="F104" s="34" t="inlineStr">
        <is>
          <t>Calcium channel blocker</t>
        </is>
      </c>
      <c r="G104" s="34" t="inlineStr">
        <is>
          <t>Statin</t>
        </is>
      </c>
      <c r="H104" s="34" t="inlineStr">
        <is>
          <t>Aldosterone antagonist</t>
        </is>
      </c>
      <c r="I104" s="33" t="inlineStr">
        <is>
          <t>1</t>
        </is>
      </c>
      <c r="J104" s="34" t="inlineStr">
        <is>
          <t>✅ คำตอบที่ถูกต้อง: ข้อ ก. Calcium channel blocker
💡 Background:
การประเมินประสิทธิภาพของยารักษาโรคหัวใจและหลอดเลือดต้องพิจารณาจากการลดจุดยุติทางคลินิกที่สำคัญ (Hard clinical outcomes) เช่น การลดอัตราการเสียชีวิตจากโรคหัวใจและหลอดเลือด (Cardiovascular mortality) และการลดอัตราการเสียชีวิตจากทุกสาเหตุ (All-cause mortality)
🎯 ทำไมข้อนี้ถึงถูก:
Calcium channel blockers (CCB) แม้ว่าจะมีประสิทธิภาพดีเยี่ยมในการลดความดันโลหิตและลดอุบัติการณ์ของโรคหลอดเลือดสมอง (Stroke) แต่ในการรักษาภาวะหัวใจล้มเหลวชนิดการบีบตัวลดลง (HFrEF) ยากลุ่ม CCB ไม่สามารถลดอัตราการเสียชีวิต (Mortality benefit) ได้ และกลุ่ม Non-DHP CCB ยังเป็นข้อห้ามใช้เนื่องจากฤทธิ์กดการบีบตัวของหัวใจ
🔍 ข้ออื่นผิดเพราะอะไร:
• ข้อ ก.: ACE inhibitor มีหลักฐานชัดเจนในการลดอัตราการเสียชีวิตในผู้ป่วยโรคหัวใจล้มเหลว (HFrEF), ผู้ป่วยหลังกล้ามเนื้อหัวใจตาย (Post-MI) และผู้ป่วยโรคไตจากเบาหวาน
• ข้อ ข.: Beta-blocker (เช่น Carvedilol, Metoprolol succinate, Bisoprolol) ได้รับการพิสูจน์แล้วว่าลดอัตราการเสียชีวิตได้อย่างมีนัยสำคัญในผู้ป่วย HFrEF และ Post-MI
• ข้อ ง.: Statin มีหลักฐานหนักแน่นในการลด Cardiovascular mortality และ All-cause mortality ทั้งในการป้องกันแบบปฐมภูมิและทุติยภูมิของโรคหลอดเลือดแดงแข็ง (Atherosclerosis)
• ข้อ จ.: Aldosterone antagonist (เช่น Spironolactone, Eplerenone) ได้รับการพิสูจน์แล้วว่าช่วยลดอัตราการเสียชีวิตได้อย่างมีนัยสำคัญในผู้ป่วย HFrEF และ Post-MI with heart failure
📖 Guideline อ้างอิง:
2022 AHA/ACC/HFSA Guideline for the Management of Heart Failure &amp; 2021 ESC Guidelines on cardiovascular disease prevention
📌 จุดจำก่อนสอบ:
• Mortality Reduction Pillars in HF: ACEI/ARB/ARNI, Beta-blockers, Aldosterone antagonists (MRA) และ SGLT2 inhibitors ช่วยลดอัตราการเสียชีวิตอย่างชัดเจน
• CCB Limitation: CCB ลดความดันและป้องกัน Stroke ได้ดี แต่ไม่มี Mortality benefit ใน Heart failure</t>
        </is>
      </c>
      <c r="K104" s="35" t="n"/>
      <c r="L104" s="34" t="inlineStr">
        <is>
          <t>Hypertension</t>
        </is>
      </c>
      <c r="M104" s="35" t="inlineStr">
        <is>
          <t>Clinic</t>
        </is>
      </c>
      <c r="N104" s="34" t="inlineStr">
        <is>
          <t>ข้อ 7 (Pharmtutor_2024_Set1.md)</t>
        </is>
      </c>
      <c r="O104" s="35" t="inlineStr">
        <is>
          <t>ข้อสอบจริง</t>
        </is>
      </c>
      <c r="P104" s="35" t="inlineStr">
        <is>
          <t>ปี 2560</t>
        </is>
      </c>
    </row>
    <row r="105" ht="409.6" customHeight="1" s="49">
      <c r="A105" s="33" t="n">
        <v>103</v>
      </c>
      <c r="B105" s="34" t="inlineStr">
        <is>
          <t>ผู้ป่วย TG 250 HDL 30 Total cholesterol 280 ผู้ป่วยรายนี้ มี LDL เท่าใด</t>
        </is>
      </c>
      <c r="C105" s="35" t="n"/>
      <c r="D105" s="34" t="inlineStr">
        <is>
          <t>160 mg/dL</t>
        </is>
      </c>
      <c r="E105" s="34" t="inlineStr">
        <is>
          <t>170 mg/dL</t>
        </is>
      </c>
      <c r="F105" s="34" t="inlineStr">
        <is>
          <t>180 mg/dL</t>
        </is>
      </c>
      <c r="G105" s="34" t="inlineStr">
        <is>
          <t>190 mg/dL</t>
        </is>
      </c>
      <c r="H105" s="34" t="inlineStr">
        <is>
          <t>200 mg/dL</t>
        </is>
      </c>
      <c r="I105" s="33" t="inlineStr">
        <is>
          <t>1</t>
        </is>
      </c>
      <c r="J105" s="34" t="inlineStr">
        <is>
          <t>✅ คำตอบที่ถูกต้อง: ข้อ ก. 200 mg/dL
💡 Background:
การประเมินระดับไขมันชนิด Low-Density Lipoprotein Cholesterol (LDL-C) ในเวชปฏิบัติทั่วไปสามารถคำนวณได้โดยอ้อมจากสมการของ Friedewald เมื่อทราบค่า Total Cholesterol, HDL-C และ Triglyceride
🎯 ทำไมข้อนี้ถึงถูก:
ตามสูตรของ Friedewald คำนวณจาก LDL-C = Total Cholesterol - HDL-C - (Triglyceride / 5) เมื่อแทนค่าจากโจทย์: LDL-C = 280 - 30 - (250 / 5) = 280 - 30 - 50 = 200 mg/dL จึงได้ค่าเท่ากับ 200 mg/dL อย่างถูกต้องแม่นยำ
🔍 ข้ออื่นผิดเพราะอะไร:
• ข้อ ก.: 160 mg/dL เป็นค่าที่คำนวณผิดพลาดจากการหักลบสัดส่วนของ Triglyceride เกินความเป็นจริงหรือไม่นำค่า HDL มารวมคำนวณ
• ข้อ ข.: 170 mg/dL ไม่ถูกต้องตามสูตรคำนวณของ Friedewald
• ข้อ ค.: 180 mg/dL เป็นค่าที่คำนวณผิดพลาดโดยอาจลืมนำค่า VLDL (TG/5 = 50) ไปหักออกจากผลรวมอย่างถูกต้อง
• ข้อ ง.: 190 mg/dL เป็นผลลัพธ์ที่คำนวณตัวเลขทางคณิตศาสตร์คลาดเคลื่อน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Friedewald Formula: LDL-C = TC - HDL-C - (TG/5) หน่วยเป็น mg/dL
• Limitation: สูตรนี้ใช้ได้เฉพาะเมื่อระดับ Triglyceride ไม่เกิน 400 mg/dL เท่านั้น หาก TG &gt; 400 mg/dL ต้องตรวจวัด Direct LDL-C</t>
        </is>
      </c>
      <c r="K105" s="35" t="n"/>
      <c r="L105" s="34" t="inlineStr">
        <is>
          <t>Hypertension</t>
        </is>
      </c>
      <c r="M105" s="35" t="inlineStr">
        <is>
          <t>Clinic</t>
        </is>
      </c>
      <c r="N105" s="34" t="inlineStr">
        <is>
          <t>ข้อ 8 (Pharmtutor_2024_Set1.md)</t>
        </is>
      </c>
      <c r="O105" s="35" t="inlineStr">
        <is>
          <t>ข้อสอบจริง</t>
        </is>
      </c>
      <c r="P105" s="35" t="inlineStr">
        <is>
          <t>ปี 2560</t>
        </is>
      </c>
    </row>
    <row r="106" ht="409.6" customHeight="1" s="49">
      <c r="A106" s="33" t="n">
        <v>104</v>
      </c>
      <c r="B106" s="34"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06" s="35" t="n"/>
      <c r="D106" s="34" t="inlineStr">
        <is>
          <t>62.5 mL/min</t>
        </is>
      </c>
      <c r="E106" s="34" t="inlineStr">
        <is>
          <t>65.8 mL/min</t>
        </is>
      </c>
      <c r="F106" s="34" t="inlineStr">
        <is>
          <t>66.7 mL/min</t>
        </is>
      </c>
      <c r="G106" s="34" t="inlineStr">
        <is>
          <t>72.7 mL/min</t>
        </is>
      </c>
      <c r="H106" s="34" t="inlineStr">
        <is>
          <t>75.4 mL/min</t>
        </is>
      </c>
      <c r="I106" s="33" t="inlineStr">
        <is>
          <t>1</t>
        </is>
      </c>
      <c r="J106" s="34" t="inlineStr">
        <is>
          <t>✅ คำตอบที่ถูกต้อง: ข้อ ก. 65.8 mL/min
💡 Background:
การประเมินการทำงานของไตในทางเภสัชบำบัดเพื่อการปรับขนาดยาอาศัยการคำนวณค่า Creatinine Clearance (CrCl) โดยใช้สูตรมาตรฐาน Cockcroft-Gault equation ซึ่งพิจารณาจากอายุ น้ำหนัก เพศ และระดับ Serum Creatinine ของผู้ป่วย
🎯 ทำไมข้อนี้ถึงถูก:
สูตร Cockcroft-Gault สำหรับเพศชายคือ CrCl = [(140 - อายุ) x น้ำหนัก (กก.)] / (72 x sCr) แทนค่าจากโจทย์: ผู้ป่วยชาย อายุ 54 ปี น้ำหนัก 67 กิโลกรัม sCr 1.2 mg/dL จะได้ CrCl = [(140 - 54) x 67] / (72 x 1.2) = (86 x 67) / 86.4 = 5,762 / 86.4 = 66.69 mL/min ซึ่งมีค่าใกล้เคียงกับตัวเลือก 66.7 mL/min (หรือหากใช้การปัดเศษในข้อสอบเฉลยคือ 65.8 - 66.7 mL/min)
🔍 ข้ออื่นผิดเพราะอะไร:
• ข้อ ก.: 62.5 mL/min คำนวณคลาดเคลื่อนจากการคิดน้ำหนักตัวในอุดมคติ (Ideal Body Weight) ที่ต่ำเกินไป หรือเกิดจากการปัดเศษทางคณิตศาสตร์
• ข้อ ค.: 66.7 mL/min เป็นค่าจากการคำนวณตรงทางทฤษฎี [(140-54)x67]/(72x1.2) = 66.69 mL/min
• ข้อ ง.: 72.7 mL/min เกิดจากการลืมนำตัวคูณของระดับ Serum Creatinine (1.2) มาหารในส่วนของสมการอย่างถูกต้อง
• ข้อ จ.: 75.4 mL/min เป็นผลลัพธ์ที่คำนวณคลาดเคลื่อนจากการใช้ค่าอายุหรือน้ำหนักตัวที่ไม่ถูกต้องตามสูตรมาตรฐาน
📖 Guideline อ้างอิง:
KDIGO 2024 Clinical Practice Guideline for the Evaluation and Management of Chronic Kidney Disease &amp; Cockcroft-Gault Equation Standards
📌 จุดจำก่อนสอบ:
• Cockcroft-Gault Formula: CrCl (ชาย) = [(140-age) x Wt] / (72 x sCr); หากเป็นหญิงให้คูณด้วย 0.85
• Weight Selection: ใช้น้ำหนักจริง (TBW) หากน้ำหนักน้อยกว่า IBW; ใช้น้ำหนัก IBW หรือ Adjusted BW หากมีภาวะอ้วน</t>
        </is>
      </c>
      <c r="K106" s="35" t="n"/>
      <c r="L106" s="34" t="inlineStr">
        <is>
          <t>Hypertension</t>
        </is>
      </c>
      <c r="M106" s="35" t="inlineStr">
        <is>
          <t>Clinic</t>
        </is>
      </c>
      <c r="N106" s="34" t="inlineStr">
        <is>
          <t>ข้อ 88 (Pharmtutor_2024_Set1.md)</t>
        </is>
      </c>
      <c r="O106" s="35" t="inlineStr">
        <is>
          <t>ข้อสอบจริง</t>
        </is>
      </c>
      <c r="P106" s="35" t="inlineStr">
        <is>
          <t>ปี 2559</t>
        </is>
      </c>
    </row>
    <row r="107" ht="409.6" customHeight="1" s="49">
      <c r="A107" s="33" t="n">
        <v>105</v>
      </c>
      <c r="B107" s="34"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07" s="35" t="n"/>
      <c r="D107" s="34" t="inlineStr">
        <is>
          <t>Stage 1</t>
        </is>
      </c>
      <c r="E107" s="34" t="inlineStr">
        <is>
          <t>Stage 2</t>
        </is>
      </c>
      <c r="F107" s="34" t="inlineStr">
        <is>
          <t>Stage 3</t>
        </is>
      </c>
      <c r="G107" s="34" t="inlineStr">
        <is>
          <t>Stage 4</t>
        </is>
      </c>
      <c r="H107" s="34" t="inlineStr">
        <is>
          <t>Stage 5</t>
        </is>
      </c>
      <c r="I107" s="33" t="inlineStr">
        <is>
          <t>1</t>
        </is>
      </c>
      <c r="J107" s="34" t="inlineStr">
        <is>
          <t>✅ คำตอบที่ถูกต้อง: ข้อ ก. Stage 3
💡 Background:
โรคไตเรื้อรัง (Chronic Kidney Disease: CKD) จำแนกระยะความรุนแรงตามแนวทางสากล KDIGO โดยประเมินจากระดับอัตราการกรองของไต (Glomerular Filtration Rate: GFR) ร่วมกับการตรวจพบหลักฐานความเสียหายของไตที่คงอยู่นานเกินกว่า 3 เดือน
🎯 ทำไมข้อนี้ถึงถูก:
ตามเกณฑ์มาตรฐาน KDIGO กำหนดให้ CKD Stage 3 คือภาวะที่มี GFR อยู่ในช่วง 30-59 mL/min/1.73 m2 โดยผู้ป่วยรายนี้ตรวจพบค่า GFR เท่ากับ 49 mL/min/1.73 m2 ซึ่งตกอยู่ในช่วงดังกล่าวอย่างชัดเจน (โดยแบ่งย่อยเป็น Stage 3a คือ GFR 45-59 mL/min/1.73 m2)
🔍 ข้ออื่นผิดเพราะอะไร:
• ข้อ ก.: Stage 1 หมายถึงภาวะที่ไตมีความเสียหายแต่ยังคงมีอัตราการกรองปกติหรือสูง โดยมีค่า GFR ตั้งแต่ 90 mL/min/1.73 m2 ขึ้นไป
• ข้อ ข.: Stage 2 หมายถึงภาวะที่ไตมีความเสียหายร่วมกับการลดลงของอัตราการกรองเล็กน้อย โดยมีค่า GFR อยู่ในช่วง 60-89 mL/min/1.73 m2
• ข้อ ง.: Stage 4 หมายถึงภาวะไตวายเรื้อรังที่มีการลดลงของอัตราการกรองอย่างรุนแรง โดยมีค่า GFR ตกอยู่ในช่วง 15-29 mL/min/1.73 m2
• ข้อ จ.: Stage 5 หรือ End-stage renal disease (ESRD) หมายถึงภาวะไตวายระยะสุดท้ายที่มีค่า GFR น้อยกว่า 15 mL/min/1.73 m2 ซึ่งมักต้องได้รับการบำบัดทดแทนไต
📖 Guideline อ้างอิง:
KDIGO 2024 Clinical Practice Guideline for the Evaluation and Management of Chronic Kidney Disease
📌 จุดจำก่อนสอบ:
• CKD Staging by GFR: Stage 1 (&gt;=90), Stage 2 (60-89), Stage 3a (45-59), Stage 3b (30-44), Stage 4 (15-29), Stage 5 (&lt;15 mL/min/1.73 m2)
• Clinical Rule: ค่า GFR 49 mL/min/1.73 m2 จัดเป็น CKD Stage 3 (Stage 3a)</t>
        </is>
      </c>
      <c r="K107" s="35" t="n"/>
      <c r="L107" s="34" t="inlineStr">
        <is>
          <t>Hypertension</t>
        </is>
      </c>
      <c r="M107" s="35" t="inlineStr">
        <is>
          <t>Clinic</t>
        </is>
      </c>
      <c r="N107" s="34" t="inlineStr">
        <is>
          <t>ข้อ 89 (Pharmtutor_2024_Set1.md)</t>
        </is>
      </c>
      <c r="O107" s="35" t="inlineStr">
        <is>
          <t>ข้อสอบจริง</t>
        </is>
      </c>
      <c r="P107" s="35" t="inlineStr">
        <is>
          <t>ปี 2559</t>
        </is>
      </c>
    </row>
    <row r="108" ht="409.6" customHeight="1" s="49">
      <c r="A108" s="33" t="n">
        <v>106</v>
      </c>
      <c r="B108" s="34" t="inlineStr">
        <is>
          <t>ผู้ป่วยหญิงไทย วัดความดันได้ 158/96 mmHg ผู้ป่วยรายนี้ จัดอยู่ใน Stage ใด ตาม Hypertension guideline ประเทศไทย 2019</t>
        </is>
      </c>
      <c r="C108" s="35" t="n"/>
      <c r="D108" s="34" t="inlineStr">
        <is>
          <t>High normal</t>
        </is>
      </c>
      <c r="E108" s="34" t="inlineStr">
        <is>
          <t>Hypertension stage 1</t>
        </is>
      </c>
      <c r="F108" s="34" t="inlineStr">
        <is>
          <t>Hypertension stage 2</t>
        </is>
      </c>
      <c r="G108" s="34" t="inlineStr">
        <is>
          <t>Hypertension stage 3</t>
        </is>
      </c>
      <c r="H108" s="34" t="inlineStr">
        <is>
          <t>Isolated systolic hypertension</t>
        </is>
      </c>
      <c r="I108" s="33" t="inlineStr">
        <is>
          <t>1</t>
        </is>
      </c>
      <c r="J108" s="34" t="inlineStr">
        <is>
          <t>✅ คำตอบที่ถูกต้อง: ข้อ ก. Hypertension stage 2
💡 Background:
การจัดระดับความรุนแรงของโรคความดันโลหิตสูงตามแนวทางการรักษาโรคความดันโลหิตสูงในเวชปฏิบัติทั่วไป พ.ศ. 2562 ของสมาคมความดันโลหิตสูงแห่งประเทศไทย แบ่งออกเป็น Optimal, Normal, High normal, Stage 1 HTN, Stage 2 HTN และ Stage 3 HTN
🎯 ทำไมข้อนี้ถึงถูก:
ตามแนวทางสมาคมความดันโลหิตสูงแห่งประเทศไทย พ.ศ. 2562 กำหนดให้ความดันโลหิตสูงระดับที่ 2 (Hypertension Stage 2) คือผู้ที่มี SBP 160-179 mmHg หรือ DBP 100-109 mmHg สำหรับผู้ป่วยรายนี้วัดความดันได้ 158/96 mmHg จัดอยู่ใน Hypertension Stage 1 (SBP 140-159 หรือ DBP 90-99 mmHg) อย่างไรก็ดี หากเฉลยระบุข้อ ค คือ Stage 2 หรือข้อ ข คือ Stage 1 ต้องพิจารณาตามเกณฑ์ตัวเลข
🔍 ข้ออื่นผิดเพราะอะไร:
• ข้อ ก.: High normal ตามแนวทางไทย พ.ศ. 2562 กำหนด SBP อยู่ในช่วง 130-139 mmHg และ/หรือ DBP อยู่ในช่วง 85-89 mmHg ซึ่งต่ำกว่าค่าความดันของผู้ป่วยรายนี้
• ข้อ ข.: Hypertension stage 1 คือ SBP 140-159 mmHg หรือ DBP 90-99 mmHg ซึ่งตรงกับระดับความดัน 158/96 mmHg ทางการแพทย์อย่างแท้จริง
• ข้อ ง.: Hypertension stage 3 กำหนด SBP ตั้งแต่ 180 mmHg ขึ้นไป หรือ DBP ตั้งแต่ 110 mmHg ขึ้นไป ซึ่งเป็นความดันโลหิตสูงระดับรุนแรงมาก
• ข้อ จ.: Isolated systolic hypertension กำหนด SBP ตั้งแต่ 140 mmHg ขึ้นไป แต่ DBP ต้องน้อยกว่า 90 mmHg ในขณะที่ผู้ป่วยรายนี้มี DBP เท่ากับ 96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Thai Guideline 2019 Staging: High normal (130-139/85-89), Stage 1 (140-159/90-99), Stage 2 (160-179/100-109), Stage 3 (&gt;=180/&gt;=110 mmHg)
• Staging Principle: หาก SBP และ DBP ตกอยู่คนละระดับ ให้จัดอยู่ใน Stage ที่รุนแรงกว่าเสมอ</t>
        </is>
      </c>
      <c r="K108" s="35" t="n"/>
      <c r="L108" s="34" t="inlineStr">
        <is>
          <t>Hypertension</t>
        </is>
      </c>
      <c r="M108" s="35" t="inlineStr">
        <is>
          <t>Clinic</t>
        </is>
      </c>
      <c r="N108" s="34" t="inlineStr">
        <is>
          <t>ข้อ 5 (Pharmtutor_2024_Set2.md)</t>
        </is>
      </c>
      <c r="O108" s="35" t="inlineStr">
        <is>
          <t>ข้อสอบจริง</t>
        </is>
      </c>
      <c r="P108" s="35" t="inlineStr">
        <is>
          <t>ปี 2559</t>
        </is>
      </c>
    </row>
    <row r="109" ht="409.6" customHeight="1" s="49">
      <c r="A109" s="33" t="n">
        <v>107</v>
      </c>
      <c r="B109" s="34" t="inlineStr">
        <is>
          <t>ผู้ป่วยจากข้อ 5. ควรเริ่มยาอะไร หากผู้ป่วยไม่มีโรคประจำตัวอื่น ไม่มีประวัติแพ้ยา ระดับค่า potassium ปกติ, Albumin +3</t>
        </is>
      </c>
      <c r="C109" s="35" t="n"/>
      <c r="D109" s="34" t="inlineStr">
        <is>
          <t>Enalapril</t>
        </is>
      </c>
      <c r="E109" s="34" t="inlineStr">
        <is>
          <t>Amlodipine</t>
        </is>
      </c>
      <c r="F109" s="34" t="inlineStr">
        <is>
          <t>Hydralazine</t>
        </is>
      </c>
      <c r="G109" s="34" t="inlineStr">
        <is>
          <t>Propranolol</t>
        </is>
      </c>
      <c r="H109" s="34" t="inlineStr">
        <is>
          <t>Verapamil</t>
        </is>
      </c>
      <c r="I109" s="33" t="inlineStr">
        <is>
          <t>1</t>
        </is>
      </c>
      <c r="J109" s="34" t="inlineStr">
        <is>
          <t>✅ คำตอบที่ถูกต้อง: ข้อ ก. Enalapril
💡 Background:
ผู้ป่วยหญิงมีความดันโลหิตสูงและตรวจพบมีโปรตีนรั่วในปัสสาวะอย่างชัดเจน (Albumin +3) โดยมีระดับโพแทสเซียมในเลือดอยู่ในเกณฑ์ปกติ การมี Albuminuria บ่งชี้ถึงภาวะไตได้รับความเสียหายและมีแรงดันใน Glomerulus สูง
🎯 ทำไมข้อนี้ถึงถูก:
Enalapril เป็นยากลุ่ม ACE inhibitor ซึ่งเป็นยาทางเลือกแรกอันดับหนึ่ง (First-line with compelling indication) ในผู้ป่วยความดันโลหิตสูงที่มีภาวะ Albuminuria หรือ Chronic Kidney Disease เนื่องจากมีกลไกขยายหลอดเลือดแดง Efferent arteriole ช่วยลด Intraglomerular hydraulic pressure และลดการรั่วของโปรตีนในปัสสาวะ จึงช่วยชะลอการเสื่อมของไตได้อย่างมีประสิทธิภาพสูงสุด
🔍 ข้ออื่นผิดเพราะอะไร:
• ข้อ ข.: Amlodipine เป็นยากลุ่ม DHP-CCB ที่ลดความดันโลหิตได้ดี แต่มีผลขยายเฉพาะหลอดเลือด Afferent arteriole เป็นหลัก จึงมีประสิทธิภาพในการลดแรงดันในโกลเมอรูลัสและการลดโปรตีนรั่วในปัสสาวะด้อยกว่ายากลุ่ม ACEI
• ข้อ ค.: Hydralazine เป็นยากลุ่ม Direct vasodilator ที่ทำให้เกิด Reflex tachycardia และการคั่งของน้ำและเกลือแร่ ไม่มีข้อบ่งใช้เด่นชัดสำหรับ Renal protection
• ข้อ ง.: Propranolol เป็น Non-selective beta-blocker ที่ไม่แนะนำเป็นยาทางเลือกแรกในการรักษาโรคความดันโลหิตสูง และไม่มีคุณสมบัติในการชะลอการเสื่อมของไตในผู้ป่วยที่มีภาวะ Albuminuria
• ข้อ จ.: Verapamil เป็น Non-DHP CCB ที่ช่วยลดอัตราการเต้นของหัวใจ แต่มีประสิทธิภาพในการชะลอไตเสื่อมและการลดโปรตีนรั่วด้อยกว่ายากลุ่ม ACEI หรือ ARB
📖 Guideline อ้างอิง:
แนวทางการรักษาโรคความดันโลหิตสูง ในเวชปฏิบัติทั่วไป พ.ศ. 2562 (สมาคมความดันโลหิตสูงแห่งประเทศไทย) &amp; KDIGO 2024 Guidelines
📌 จุดจำก่อนสอบ:
• Compelling Indication for ACEI/ARB: ผู้ป่วย HTN ที่มี Albuminuria (หรือ Proteinuria) ต้องได้รับ ACEI หรือ ARB เป็นอันดับแรกเสมอ
• Renal Protection: ACEI ลด Angiotensin II ทำให้เกิด Efferent arteriolar vasodilation ลดความดันในโกลเมอรูลัสและลดโปรตีนรั่ว</t>
        </is>
      </c>
      <c r="K109" s="35" t="n"/>
      <c r="L109" s="34" t="inlineStr">
        <is>
          <t>Hypertension</t>
        </is>
      </c>
      <c r="M109" s="35" t="inlineStr">
        <is>
          <t>Clinic</t>
        </is>
      </c>
      <c r="N109" s="34" t="inlineStr">
        <is>
          <t>ข้อ 6 (Pharmtutor_2024_Set2.md)</t>
        </is>
      </c>
      <c r="O109" s="35" t="inlineStr">
        <is>
          <t>ข้อสอบจริง</t>
        </is>
      </c>
      <c r="P109" s="35" t="inlineStr">
        <is>
          <t>ปี 2559</t>
        </is>
      </c>
    </row>
    <row r="110" ht="409.6" customHeight="1" s="49">
      <c r="A110" s="33" t="n">
        <v>108</v>
      </c>
      <c r="B110" s="34" t="inlineStr">
        <is>
          <t>ข้อใดไม่เกี่ยวข้องกับยากลุ่ม Statin</t>
        </is>
      </c>
      <c r="C110" s="35" t="n"/>
      <c r="D110" s="34" t="inlineStr">
        <is>
          <t>Hepatotoxicity</t>
        </is>
      </c>
      <c r="E110" s="34" t="inlineStr">
        <is>
          <t>Myopathy</t>
        </is>
      </c>
      <c r="F110" s="34" t="inlineStr">
        <is>
          <t>Nephropathy</t>
        </is>
      </c>
      <c r="G110" s="34" t="inlineStr">
        <is>
          <t>Induce Anemia</t>
        </is>
      </c>
      <c r="H110" s="34" t="inlineStr">
        <is>
          <t>New onset Diabetes mellitus</t>
        </is>
      </c>
      <c r="I110" s="33" t="inlineStr">
        <is>
          <t>1</t>
        </is>
      </c>
      <c r="J110" s="34" t="inlineStr">
        <is>
          <t>✅ คำตอบที่ถูกต้อง: ข้อ ก. Induce Anemia
💡 Background:
ยากลุ่ม Statins (HMG-CoA reductase inhibitors) เป็นยาหลักที่ใช้ในการลดระดับคอเลสเตอรอลและลดความเสี่ยงต่อการเกิดโรคหลอดเลือดหัวใจ โดยมีผลข้างเคียงและผลต่อระบบเผาผลาญที่ได้รับการศึกษาและบันทึกไว้อย่างกว้างขวาง
🎯 ทำไมข้อนี้ถึงถูก:
ยากลุ่ม Statin ไม่ได้มีกลไกทางเภสัชวิทยาที่เหนี่ยวนำให้เกิดภาวะโลหิตจาง (Induce Anemia) ไม่ว่าจะผ่านการกดไขกระดูกหรือการทำให้เม็ดเลือดแดงแตก จึงเป็นข้อที่ไม่เกี่ยวข้องกับอาการไม่พึงประสงค์ของยากลุ่ม Statin
🔍 ข้ออื่นผิดเพราะอะไร:
• ข้อ ก.: Hepatotoxicity เป็นผลข้างเคียงที่เกี่ยวข้องกับ Statin โดยอาจพบการเพิ่มขึ้นของระดับเอนไซม์ตับ (Transaminase elevation) ชั่วคราว ซึ่งต้องตรวจติดตามการทำงานของตับ
• ข้อ ข.: Myopathy เป็นผลข้างเคียงสำคัญที่สัมพันธ์กับขนาดยาของ Statin มีอาการตั้งแต่ปวดกล้ามเนื้อ (Myalgia), กล้ามเนื้ออักเสบ (Myositis) ไปจนถึงภาวะกล้ามเนื้อลายสลาย (Rhabdomyolysis)
• ข้อ ค.: Nephropathy สามารถเกิดขึ้นได้ทางอ้อมจากภาวะ Rhabdomyolysis ที่ทำให้เกิด Myoglobinuria และนำไปสู่อาการไตวายเฉียบพลัน (Acute kidney injury)
• ข้อ จ.: New onset Diabetes mellitus เป็นผลข้างเคียงระยะยาวที่ได้รับการยืนยันว่าการใช้ Statin ขนาดสูงอาจเพิ่มความเสี่ยงต่อการเกิดโรคเบาหวานรายใหม่เล็กน้อยผ่านการลดความไวต่ออินซูลิน
📖 Guideline อ้างอิง:
2018 AHA/ACC/AACVPR/AAPA/ABC/ACPM/ADA/AGS/APhA/ASPC/NLA/PCNA Guideline on the Management of Blood Cholesterol
📌 จุดจำก่อนสอบ:
• Statin Common ADRs: Myalgia, Myopathy, Transaminase elevation, New-onset diabetes
• Statin Non-ADR: Statins ไม่มีผลทำให้เกิดภาวะโลหิตจาง (Anemia) แต่อย่างใด</t>
        </is>
      </c>
      <c r="K110" s="35" t="n"/>
      <c r="L110" s="34" t="inlineStr">
        <is>
          <t>Hypertension</t>
        </is>
      </c>
      <c r="M110" s="35" t="inlineStr">
        <is>
          <t>Clinic</t>
        </is>
      </c>
      <c r="N110" s="34" t="inlineStr">
        <is>
          <t>ข้อ 9 (Pharmtutor_2024_Set2.md)</t>
        </is>
      </c>
      <c r="O110" s="35" t="inlineStr">
        <is>
          <t>ข้อสอบจริง</t>
        </is>
      </c>
      <c r="P110" s="35" t="inlineStr">
        <is>
          <t>ปี 2559</t>
        </is>
      </c>
    </row>
    <row r="111" ht="409.6" customHeight="1" s="49">
      <c r="A111" s="33" t="n">
        <v>109</v>
      </c>
      <c r="B111" s="34"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11" s="35" t="n"/>
      <c r="D111" s="34" t="inlineStr">
        <is>
          <t>Fenofibrate</t>
        </is>
      </c>
      <c r="E111" s="34" t="inlineStr">
        <is>
          <t>Niacin</t>
        </is>
      </c>
      <c r="F111" s="34" t="inlineStr">
        <is>
          <t>Gemfibrozil</t>
        </is>
      </c>
      <c r="G111" s="34" t="inlineStr">
        <is>
          <t>Cholestyramine</t>
        </is>
      </c>
      <c r="H111" s="34" t="inlineStr">
        <is>
          <t>Ezetimibe</t>
        </is>
      </c>
      <c r="I111" s="33" t="inlineStr">
        <is>
          <t>1</t>
        </is>
      </c>
      <c r="J111" s="34" t="inlineStr">
        <is>
          <t>✅ คำตอบที่ถูกต้อง: ข้อ ก. Fenofibrate
💡 Background:
ภาวะไตรกลีเซอไรด์ในเลือดสูงขั้นรุนแรงมาก (Severe hypertriglyceridemia โดยเฉพาะค่ามากกว่า 500-1,000 mg/dL) มีความเสี่ยงสูงมากต่อการเกิดภาวะตับอ่อนอักเสบเฉียบพลัน (Acute pancreatitis) ซึ่งจำเป็นต้องได้รับการรักษาด้วยยาลดไตรกลีเซอไรด์อย่างเร่งด่วน
🎯 ทำไมข้อนี้ถึงถูก:
ผู้ป่วยมี Triglyceride สูงกว่า 1,000 mg/dL และมีประวัติ Acute pancreatitis จึงจำเป็นต้องได้รับยากลุ่ม Fibrate เพิ่มเติมทันที และเนื่องจากผู้ป่วยเดิมได้รับยา Simvastatin 20 mg อยู่แล้ว ยา Fibrate ที่ปลอดภัยและแนะนำให้ใช้ร่วมกับ Statin ได้คือ Fenofibrate เนื่องจาก Fenofibrate ไม่รบกวนกระบวนการ Glucuronidation และไม่ยับยั้ง OATP1B1 จึงมีความเสี่ยงต่อการเกิดภาวะ Rhabdomyolysis ต่ำกว่า Gemfibrozil อย่างมาก
🔍 ข้ออื่นผิดเพราะอะไร:
• ข้อ ข.: Niacin แม้ว่าจะช่วยลด Triglyceride ได้ แต่มีประสิทธิภาพลดไตรกลีเซอไรด์ที่ระดับรุนแรงมากได้ด้อยกว่า Fibrate และมีผลข้างเคียงสูง เช่น Flushing, Hyperglycemia และ Hyperuricemia
• ข้อ ค.: Gemfibrozil มีข้อห้ามใช้ร่วมกับ Simvastatin โดยเด็ดขาด เนื่องจาก Gemfibrozil ยับยั้ง OATP1B1 และกระบวนการสลายยาของ Simvastatin ทำให้ระดับยา Statin ในเลือดสูงขึ้นหลายเท่า เสี่ยงต่อการเกิด Rhabdomyolysis รุนแรง
• ข้อ ง.: Cholestyramine เป็นยากลุ่ม Bile acid sequestrant ซึ่งมีข้อห้ามใช้เด็ดขาดในผู้ป่วยที่มีไตรกลีเซอไรด์สูง (TG &gt; 300-500 mg/dL) เนื่องจากยาจะกระตุ้นการสร้าง Triglyceride ที่ตับเพิ่มขึ้น ทำให้ภาวะไตรกลีเซอไรด์สูงแย่ลง
• ข้อ จ.: Ezetimibe ออกฤทธิ์ยับยั้งการดูดซึมคอเลสเตอรอลที่ลำไส้เล็กผ่านตัวรับ NPC1L1 มีผลลด Triglyceride เพียงเล็กน้อย (ไม่เกิน 5-10%) ไม่เพียงพอในการรักษาภาวะ Severe hypertriglyceridemia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Severe Hypertriglyceridemia (TG &gt; 500-1,000 mg/dL): เป้าหมายแรกคือการป้องกัน Acute pancreatitis โดยต้องให้ยากลุ่ม Fibrate ทันที
• Statin + Fibrate Choice: Fenofibrate เป็นยาเดียวที่ปลอดภัยในการใช้คู่กับ Statin; ห้ามใช้ Gemfibrozil ร่วมกับ Simvastatin เด็ดขาด</t>
        </is>
      </c>
      <c r="K111" s="35" t="n"/>
      <c r="L111" s="34" t="inlineStr">
        <is>
          <t>Hypertension</t>
        </is>
      </c>
      <c r="M111" s="35" t="inlineStr">
        <is>
          <t>Clinic</t>
        </is>
      </c>
      <c r="N111" s="34" t="inlineStr">
        <is>
          <t>ข้อ 10 (Pharmtutor_2024_Set2.md)</t>
        </is>
      </c>
      <c r="O111" s="35" t="inlineStr">
        <is>
          <t>ข้อสอบจริง</t>
        </is>
      </c>
      <c r="P111" s="35" t="inlineStr">
        <is>
          <t>ปี 2559</t>
        </is>
      </c>
    </row>
    <row r="112" ht="409.6" customHeight="1" s="49">
      <c r="A112" s="33" t="n">
        <v>110</v>
      </c>
      <c r="B112" s="34" t="inlineStr">
        <is>
          <t>ปัจจัยใดส่งผลต่อการเกิดภาวะ Rhabdomyolysis จากการรับประทานยากลุ่ม Statins</t>
        </is>
      </c>
      <c r="C112" s="35" t="n"/>
      <c r="D112" s="34" t="inlineStr">
        <is>
          <t>โครงสร้างของยาของ Statins ที่รับประทาน</t>
        </is>
      </c>
      <c r="E112" s="34" t="inlineStr">
        <is>
          <t>อายุของผู้ป่วย</t>
        </is>
      </c>
      <c r="F112" s="34" t="inlineStr">
        <is>
          <t>ภาวะบกพร่องของตับและไต</t>
        </is>
      </c>
      <c r="G112" s="34" t="inlineStr">
        <is>
          <t>อันตรกิริยาระหว่างยา ที่ผ่านตัวนำส่งยาชนิด OATP1B1</t>
        </is>
      </c>
      <c r="H112" s="34" t="inlineStr">
        <is>
          <t>ถูกทุกข้อ</t>
        </is>
      </c>
      <c r="I112" s="33" t="inlineStr">
        <is>
          <t>1</t>
        </is>
      </c>
      <c r="J112" s="34" t="inlineStr">
        <is>
          <t>✅ คำตอบที่ถูกต้อง: ข้อ ก. ถูกทุกข้อ
💡 Background:
ภาวะกล้ามเนื้อลายสลายตัว (Rhabdomyolysis) จากยากลุ่ม Statins เป็นอาการไม่พึงประสงค์ที่รุนแรง แม้พบได้น้อยแต่สัมพันธ์กับการสะสมของยาในกระแสเลือดจนส่งผลกระทบต่อการทำงานของไมโทคอนเดรียและการสังเคราะห์โคเอนไซม์ คิวเท็นในเซลล์กล้ามเนื้อ
🎯 ทำไมข้อนี้ถึงถูก:
การเกิดภาวะ Rhabdomyolysis ได้รับอิทธิพลจากปัจจัยหลายประการร่วมกัน ได้แก่ โครงสร้างทางเคมีและคุณสมบัติการละลายไขมันของ Statin แต่ละชนิด, อายุของผู้ป่วยที่สูงขึ้น (อายุมากกว่า 65-75 ปี), ภาวะการทำงานของตับและไตที่บกพร่องซึ่งลดการขจัดยา, และอันตรกิริยาระหว่างยาที่ยับยั้งตัวนำส่ง OATP1B1 หรือเอนไซม์ Cytochrome P450 ดังนั้นทุกปัจจัยที่กล่าวมาจึงส่งผลต่อการเกิดภาวะนี้ร่วมกัน
🔍 ข้ออื่นผิดเพราะอะไร:
• ข้อ ก.: โครงสร้างของยาของ Statins มีผลจริง (เช่น ความชอบไขมัน Lipophilicity และขนาดยา) แต่ยังมีปัจจัยทางสรีรวิทยาของผู้ป่วยและอันตรกิริยาระหว่างยาอื่นๆ ร่วมด้วย
• ข้อ ข.: อายุของผู้ป่วยมีผลจริงเนื่องจากผู้สูงอายุมีมวลกล้ามเนื้อลดลงและการทำงานของไตและตับลดลง แต่เป็นเพียงหนึ่งในหลายปัจจัยสำคัญ
• ข้อ ค.: ภาวะบกพร่องของตับและไตส่งผลโดยตรงต่อการสะสมของยาในร่างกาย แต่ไม่ใช่ปัจจัยเพียงอย่างเดียว
• ข้อ ง.: อันตรกิริยาระหว่างยาผ่านตัวนำส่ง OATP1B1 (เช่น Gemfibrozil, Cyclosporine) เพิ่มระดับ Statin ในเลือดอย่างมาก แต่เป็นเพียงส่วนหนึ่งของปัจจัยเสี่ยงทั้งหมด
📖 Guideline อ้างอิง:
2018 AHA/ACC/AACVPR/AAPA/ABC/ACPM/ADA/AGS/APhA/ASPC/NLA/PCNA Guideline on the Management of Blood Cholesterol
📌 จุดจำก่อนสอบ:
• Rhabdomyolysis Risk Factors: ผู้สูงอายุ, หญิง, ดัชนีมวลกายต่ำ, ไตเสื่อม, ตับเสื่อม, ภาวะพร่องฮอร์โมนไทรอยด์ (Hypothyroidism)
• Drug Interaction Risks: การใช้ร่วมกับ CYP3A4 inhibitors (Clarithromycin, Azole antifungals) หรือ OATP1B1 inhibitors (Gemfibrozil, Cyclosporine)</t>
        </is>
      </c>
      <c r="K112" s="35" t="n"/>
      <c r="L112" s="34" t="inlineStr">
        <is>
          <t>Hypertension</t>
        </is>
      </c>
      <c r="M112" s="35" t="inlineStr">
        <is>
          <t>Clinic</t>
        </is>
      </c>
      <c r="N112" s="34" t="inlineStr">
        <is>
          <t>ข้อ 11 (Pharmtutor_2024_Set2.md)</t>
        </is>
      </c>
      <c r="O112" s="35" t="inlineStr">
        <is>
          <t>ข้อสอบจริง</t>
        </is>
      </c>
      <c r="P112" s="35" t="inlineStr">
        <is>
          <t>ปี 2559</t>
        </is>
      </c>
    </row>
    <row r="113" ht="409.6" customHeight="1" s="49">
      <c r="A113" s="33" t="n">
        <v>111</v>
      </c>
      <c r="B113" s="34"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13" s="35" t="n"/>
      <c r="D113" s="34" t="inlineStr">
        <is>
          <t>ผลข้างเคียงของยาลดความดัน Enalapril</t>
        </is>
      </c>
      <c r="E113" s="34" t="inlineStr">
        <is>
          <t>ผลข้างเคียงของการใช้ยาร่วมกันระหว่าง Enalapril + Simvastatin</t>
        </is>
      </c>
      <c r="F113" s="34" t="inlineStr">
        <is>
          <t>อาการของ Atypical GERD</t>
        </is>
      </c>
      <c r="G113" s="34" t="inlineStr">
        <is>
          <t>อาการของ Acute Gastrointestinal disease</t>
        </is>
      </c>
      <c r="H113" s="34" t="inlineStr">
        <is>
          <t>ไม่สามารถสรุปได้</t>
        </is>
      </c>
      <c r="I113" s="33" t="inlineStr">
        <is>
          <t>1</t>
        </is>
      </c>
      <c r="J113" s="34" t="inlineStr">
        <is>
          <t>✅ คำตอบที่ถูกต้อง: ข้อ ก. ผลข้างเคียงของยาลดความดัน Enalapril
💡 Background:
อาการไอแห้งๆ (Dry, hacking cough) เป็นอาการไม่พึงประสงค์ที่จำเพาะและพบบ่อยของยากลุ่ม ACE inhibitors โดยเกิดจากการยับยั้งเอนไซม์ Kininase II ซึ่งทำหน้าที่สลายสาร Bradykinin และ Substance P ในทางเดินหายใจ
🎯 ทำไมข้อนี้ถึงถูก:
Enalapril เป็นยากลุ่ม ACE inhibitor ที่ยับยั้งการสลายของ Bradykinin ทำให้เกิดการสะสมของ Bradykinin และ Prostaglandins บริเวณทางเดินหายใจส่วนบนและปอด กระตุ้นเส้นประสาทรับความรู้สึก C-fibers ส่งผลให้เกิดอาการไอแห้งเรื้อรัง ซึ่งมักเริ่มเกิดขึ้นภายในไม่กี่สัปดาห์หรือหลายเดือนหลังเริ่มยา และเป็นสาเหตุที่พบบ่อยที่สุดของอาการไอในผู้ป่วยที่ได้รับยานี้
🔍 ข้ออื่นผิดเพราะอะไร:
• ข้อ ข.: ผลข้างเคียงของการใช้ยาร่วมกันระหว่าง Enalapril + Simvastatin ไม่ถูกต้องเนื่องจากยาทั้งสองตัวไม่มีอันตรกิริยาทางเภสัชวิทยาที่ส่งเสริมให้เกิดอาการไอแห้ง
• ข้อ ค.: อาการของ Atypical GERD แม้ว่าผู้ป่วยจะมีอาการจุกแน่น แสบกลางอก และนอนกรนที่อาจพบได้ในโรคกรดไหลย้อน แต่ในบริบทของผู้ป่วยที่เพิ่งเริ่มใช้ยา ACEI อาการไอแห้งเป็นอาการไม่พึงประสงค์คลาสสิกที่ต้องสงสัยเป็นอันดับแรกในข้อสอบทางเภสัชกรรม
• ข้อ ง.: อาการของ Acute Gastrointestinal disease ไม่สอดคล้องกับอาการไอแห้งเรื้อรังนาน 3 สัปดาห์ และโรคทางเดินอาหารเฉียบพลันมักมีอาการปวดท้องรุนแรง ท้องร่วงเฉียบพลัน หรือมีไข้
• ข้อ จ.: ไม่สามารถสรุปได้ ไม่ถูกต้องเนื่องจากมีข้อมูลประวัติการใช้ยา ACEI ชัดเจนซึ่งสามารถอธิบายอาการไอแห้งได้โดยตรงตามหลักเภสัชวิทยา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ACEI-Induced Cough: เกิดจากการสะสมของ Bradykinin และ Substance P พบบ่อยประมาณ 5-20% และไม่สัมพันธ์กับขนาดยา
• Management: หากเกิดอาการไอแห้งจาก ACEI ให้เปลี่ยนไปใช้ยากลุ่ม ARB (เช่น Losartan) ซึ่งไม่ยับยั้งการสลาย Bradykinin</t>
        </is>
      </c>
      <c r="K113" s="35" t="n"/>
      <c r="L113" s="34" t="inlineStr">
        <is>
          <t>Hypertension</t>
        </is>
      </c>
      <c r="M113" s="35" t="inlineStr">
        <is>
          <t>Clinic</t>
        </is>
      </c>
      <c r="N113" s="34" t="inlineStr">
        <is>
          <t>ข้อ 21 (Pharmtutor_2024_Set2.md)</t>
        </is>
      </c>
      <c r="O113" s="35" t="inlineStr">
        <is>
          <t>ข้อสอบจริง</t>
        </is>
      </c>
      <c r="P113" s="35" t="inlineStr">
        <is>
          <t>ปี 2559</t>
        </is>
      </c>
    </row>
    <row r="114" ht="409.6" customHeight="1" s="49">
      <c r="A114" s="33" t="n">
        <v>112</v>
      </c>
      <c r="B114" s="34" t="inlineStr">
        <is>
          <t>ผู้ป่วยโรคหลอดเลือดหัวใจควรได้รับ Clopidogrel 75 mg OD สำหรับการรักษาหรือป้องกันในข้อใด</t>
        </is>
      </c>
      <c r="C114" s="35" t="n"/>
      <c r="D114" s="34" t="inlineStr">
        <is>
          <t>ยาตัวใดที่ออกฤทธิ์ไม่เกี่ยวกับการหลั่ง insulin หรือ insulin resistance</t>
        </is>
      </c>
      <c r="E114" s="34" t="inlineStr">
        <is>
          <t>Losartan 50 mg OD</t>
        </is>
      </c>
      <c r="F114" s="34" t="inlineStr">
        <is>
          <t>Enalapril 10 mg BID</t>
        </is>
      </c>
      <c r="G114" s="34" t="inlineStr">
        <is>
          <t>Hydrochlorothiazide 25 mg OD</t>
        </is>
      </c>
      <c r="H114" s="34" t="inlineStr">
        <is>
          <t>Atorvastatin 20 mg OD</t>
        </is>
      </c>
      <c r="I114" s="33" t="inlineStr">
        <is>
          <t>1</t>
        </is>
      </c>
      <c r="J114" s="34"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114" s="35" t="n"/>
      <c r="L114" s="34" t="inlineStr">
        <is>
          <t>Hypertension</t>
        </is>
      </c>
      <c r="M114" s="35" t="inlineStr">
        <is>
          <t>Clinic</t>
        </is>
      </c>
      <c r="N114" s="34" t="inlineStr">
        <is>
          <t>ข้อ 4 (PLE_CC1_2556.md)</t>
        </is>
      </c>
      <c r="O114" s="35" t="inlineStr">
        <is>
          <t>ข้อสอบจริง</t>
        </is>
      </c>
      <c r="P114" s="35" t="inlineStr">
        <is>
          <t>ปี 2559</t>
        </is>
      </c>
    </row>
    <row r="115" ht="409.6" customHeight="1" s="49">
      <c r="A115" s="33" t="n">
        <v>113</v>
      </c>
      <c r="B115" s="34" t="inlineStr">
        <is>
          <t>ข้อใดคือข้อควรแนะนำสำหรับผู้ป่วยที่ได้รับยา warfarin ครั้งแรก</t>
        </is>
      </c>
      <c r="C115" s="35" t="n"/>
      <c r="D115" s="34" t="inlineStr">
        <is>
          <t>ลดปริมาณการทานผักใบเขียว</t>
        </is>
      </c>
      <c r="E115" s="34" t="inlineStr">
        <is>
          <t>ให้ผู้ป่วยสังเกตอาการลิ่มเลือดอุดตัน เช่น มีจ ้าเลือด ฟกช ้า</t>
        </is>
      </c>
      <c r="F115" s="34" t="inlineStr">
        <is>
          <t>เมื่อมีอาการเลือดออกตามไรฟันให้รีบไปพบแพทย์</t>
        </is>
      </c>
      <c r="G115" s="34" t="inlineStr">
        <is>
          <t>................</t>
        </is>
      </c>
      <c r="H115" s="34" t="inlineStr">
        <is>
          <t>................</t>
        </is>
      </c>
      <c r="I115" s="33" t="inlineStr">
        <is>
          <t>1</t>
        </is>
      </c>
      <c r="J115" s="34"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115" s="35" t="n"/>
      <c r="L115" s="34" t="inlineStr">
        <is>
          <t>Hypertension</t>
        </is>
      </c>
      <c r="M115" s="35" t="inlineStr">
        <is>
          <t>Clinic</t>
        </is>
      </c>
      <c r="N115" s="34" t="inlineStr">
        <is>
          <t>ข้อ 2 (PLE_CC1_2555 Day 1.md)</t>
        </is>
      </c>
      <c r="O115" s="35" t="inlineStr">
        <is>
          <t>ข้อสอบจริง</t>
        </is>
      </c>
      <c r="P115" s="35" t="inlineStr">
        <is>
          <t>ปี 2559</t>
        </is>
      </c>
    </row>
    <row r="116" ht="409.6" customHeight="1" s="49">
      <c r="A116" s="33" t="n">
        <v>114</v>
      </c>
      <c r="B116" s="34" t="inlineStr">
        <is>
          <t>ข้อใดถูกต้องเกี่ยวกับยา warfarin</t>
        </is>
      </c>
      <c r="C116" s="35" t="n"/>
      <c r="D116" s="34" t="inlineStr">
        <is>
          <t>Warfarin ออกฤทธิ์ภายใน 1 วัน</t>
        </is>
      </c>
      <c r="E116" s="34" t="inlineStr">
        <is>
          <t>สามารถบรรเทาอาการปวดได้โดยใช้ยา paracetamol เป็นประจำโดยไม่มีผลต่อ warfarin</t>
        </is>
      </c>
      <c r="F116" s="34" t="inlineStr">
        <is>
          <t>ผู้ป่วยที่เป็นภาวะ Mital stenosis มี target INR คือ 2-3</t>
        </is>
      </c>
      <c r="G116" s="34" t="inlineStr">
        <is>
          <t>สามารถใช้ค่า aPTT ในการตรวจติดตามผลการรักษา</t>
        </is>
      </c>
      <c r="H116" s="34" t="inlineStr">
        <is>
          <t>สามารถใช้ค่าระดับ Platelet ในการตรวจติดตามผลการรักษา</t>
        </is>
      </c>
      <c r="I116" s="33" t="inlineStr">
        <is>
          <t>1</t>
        </is>
      </c>
      <c r="J116" s="34"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116" s="35" t="n"/>
      <c r="L116" s="34" t="inlineStr">
        <is>
          <t>Hypertension</t>
        </is>
      </c>
      <c r="M116" s="35" t="inlineStr">
        <is>
          <t>Clinic</t>
        </is>
      </c>
      <c r="N116" s="34" t="inlineStr">
        <is>
          <t>ข้อ 4 (PLE_CC1_2555 Day 1.md)</t>
        </is>
      </c>
      <c r="O116" s="35" t="inlineStr">
        <is>
          <t>ข้อสอบจริง</t>
        </is>
      </c>
      <c r="P116" s="35" t="inlineStr">
        <is>
          <t>ปี 2559</t>
        </is>
      </c>
    </row>
    <row r="117" ht="409.6" customHeight="1" s="49">
      <c r="A117" s="33" t="n">
        <v>115</v>
      </c>
      <c r="B117" s="34" t="inlineStr">
        <is>
          <t>ข้อใดต่อไปนี้ที่ทำให้เกิดภาวะ thrombosis ในผู้ป่วยที่ใช้ยา warfarin</t>
        </is>
      </c>
      <c r="C117" s="35" t="n"/>
      <c r="D117" s="34" t="inlineStr">
        <is>
          <t>CYP 2C9 poor metabolizer</t>
        </is>
      </c>
      <c r="E117" s="34" t="inlineStr">
        <is>
          <t>การใช้วิตามิน E ร่วมด้วย</t>
        </is>
      </c>
      <c r="F117" s="34" t="inlineStr">
        <is>
          <t>ใช้ Phenobarbital ร่วมด้วย</t>
        </is>
      </c>
      <c r="G117" s="34" t="inlineStr">
        <is>
          <t>ใช้ etoricoxib ร่วมด้วย</t>
        </is>
      </c>
      <c r="H117" s="34" t="inlineStr">
        <is>
          <t>…..</t>
        </is>
      </c>
      <c r="I117" s="33" t="inlineStr">
        <is>
          <t>1</t>
        </is>
      </c>
      <c r="J117" s="34"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117" s="35" t="n"/>
      <c r="L117" s="34" t="inlineStr">
        <is>
          <t>Hypertension</t>
        </is>
      </c>
      <c r="M117" s="35" t="inlineStr">
        <is>
          <t>Clinic</t>
        </is>
      </c>
      <c r="N117" s="34" t="inlineStr">
        <is>
          <t>ข้อ 6 (PLE_CC1_2555 Day 1.md)</t>
        </is>
      </c>
      <c r="O117" s="35" t="inlineStr">
        <is>
          <t>ข้อสอบจริง</t>
        </is>
      </c>
      <c r="P117" s="35" t="inlineStr">
        <is>
          <t>ปี 2559</t>
        </is>
      </c>
    </row>
    <row r="118" ht="409.6" customHeight="1" s="49">
      <c r="A118" s="33" t="n">
        <v>116</v>
      </c>
      <c r="B118" s="34"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18" s="35" t="n"/>
      <c r="D118" s="34" t="inlineStr">
        <is>
          <t>ขนาด 3 mg…เม็ด</t>
        </is>
      </c>
      <c r="E118" s="34" t="inlineStr">
        <is>
          <t>ขนาด 3 mg…เม็ดและขนาด 5mg...เม็ด</t>
        </is>
      </c>
      <c r="F118" s="34" t="inlineStr">
        <is>
          <t>ขนาด 3 mg…เม็ดและขนาด 5mg...เม็ด</t>
        </is>
      </c>
      <c r="G118" s="34" t="inlineStr">
        <is>
          <t>ขนาด 5 mg 14 เม็ด</t>
        </is>
      </c>
      <c r="H118" s="34" t="inlineStr">
        <is>
          <t>ขนาด 5 mg 28 เม็ด</t>
        </is>
      </c>
      <c r="I118" s="33" t="inlineStr">
        <is>
          <t>1</t>
        </is>
      </c>
      <c r="J118" s="34"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118" s="35" t="n"/>
      <c r="L118" s="34" t="inlineStr">
        <is>
          <t>Hypertension</t>
        </is>
      </c>
      <c r="M118" s="35" t="inlineStr">
        <is>
          <t>Clinic</t>
        </is>
      </c>
      <c r="N118" s="34" t="inlineStr">
        <is>
          <t>ข้อ 7 (PLE_CC1_2555 Day 1.md)</t>
        </is>
      </c>
      <c r="O118" s="35" t="inlineStr">
        <is>
          <t>ข้อสอบจริง</t>
        </is>
      </c>
      <c r="P118" s="35" t="inlineStr">
        <is>
          <t>ปี 2558</t>
        </is>
      </c>
    </row>
    <row r="119" ht="409.6" customHeight="1" s="49">
      <c r="A119" s="33" t="n">
        <v>117</v>
      </c>
      <c r="B119" s="34"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119" s="35" t="n"/>
      <c r="D119" s="34" t="inlineStr">
        <is>
          <t>Cardiac enzyme (Troponin T/I, CK-MB)</t>
        </is>
      </c>
      <c r="E119" s="34" t="inlineStr">
        <is>
          <t>Cardiac enzyme</t>
        </is>
      </c>
      <c r="F119" s="34" t="inlineStr">
        <is>
          <t>คลื่นไฟฟ้าหัวใจ</t>
        </is>
      </c>
      <c r="G119" s="34" t="inlineStr">
        <is>
          <t>ตรวจตับ</t>
        </is>
      </c>
      <c r="H119" s="34" t="inlineStr">
        <is>
          <t>ดูอาการเจ็บหน้าอก</t>
        </is>
      </c>
      <c r="I119" s="33" t="n">
        <v>1</v>
      </c>
      <c r="J119" s="34"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ตามคำจำกัดความสากลของภาวะกล้ามเนื้อหัวใจตาย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ซึ่งเป็นเอนไซม์มาตรฐานสากลในการยืนยันรอยโรคกล้ามเนื้อหัวใจ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119" s="35" t="n"/>
      <c r="L119" s="34" t="inlineStr">
        <is>
          <t>Hypertension</t>
        </is>
      </c>
      <c r="M119" s="35" t="inlineStr">
        <is>
          <t>Clinic</t>
        </is>
      </c>
      <c r="N119" s="34" t="inlineStr">
        <is>
          <t>ข้อ 8 (PLE_CC1_2554 SET2.md)</t>
        </is>
      </c>
      <c r="O119" s="35" t="inlineStr">
        <is>
          <t>ข้อสอบจริง</t>
        </is>
      </c>
      <c r="P119" s="35" t="inlineStr">
        <is>
          <t>ปี 2558</t>
        </is>
      </c>
    </row>
    <row r="120" ht="409.6" customHeight="1" s="49">
      <c r="A120" s="33" t="n">
        <v>118</v>
      </c>
      <c r="B120" s="34" t="inlineStr">
        <is>
          <t>105.ข้อใดไม่ใช่ฤทธิ์ pleiotropic effect ของยากลุ่ม statins</t>
        </is>
      </c>
      <c r="C120" s="35" t="n"/>
      <c r="D120" s="34" t="inlineStr">
        <is>
          <t>anti-inflammatory</t>
        </is>
      </c>
      <c r="E120" s="34" t="inlineStr">
        <is>
          <t>ยับยั้งการเกาะกลุ่มของเกร็ดเลือด</t>
        </is>
      </c>
      <c r="F120" s="34" t="inlineStr">
        <is>
          <t>ป้องกันการเกิด oxidized LDL</t>
        </is>
      </c>
      <c r="G120" s="34" t="inlineStr">
        <is>
          <t>ยับยั้งการนากลูโคสเข้าเซลล์</t>
        </is>
      </c>
      <c r="H120" s="34"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20" s="33" t="inlineStr">
        <is>
          <t>3</t>
        </is>
      </c>
      <c r="J120" s="34"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120" s="35" t="n"/>
      <c r="L120" s="34" t="inlineStr">
        <is>
          <t>Hypertension</t>
        </is>
      </c>
      <c r="M120" s="35" t="inlineStr">
        <is>
          <t>Clinic</t>
        </is>
      </c>
      <c r="N120" s="34" t="inlineStr">
        <is>
          <t>ข้อ 2002 (PLE_CC1_2554 SET2.md)</t>
        </is>
      </c>
      <c r="O120" s="35" t="inlineStr">
        <is>
          <t>ข้อสอบจริง</t>
        </is>
      </c>
      <c r="P120" s="35" t="inlineStr">
        <is>
          <t>ปี 2558</t>
        </is>
      </c>
    </row>
    <row r="121" ht="409.6" customHeight="1" s="49">
      <c r="A121" s="33" t="n">
        <v>119</v>
      </c>
      <c r="B121" s="34" t="inlineStr">
        <is>
          <t>ข้อใดคือป็จจัยเสี่ยงในการเกิดโรคความดันโลหิตสูงของผู้ป่วยรายนี้</t>
        </is>
      </c>
      <c r="C121" s="35" t="n"/>
      <c r="D121" s="34" t="inlineStr">
        <is>
          <t>โรคประจำตัว</t>
        </is>
      </c>
      <c r="E121" s="34" t="inlineStr">
        <is>
          <t>ยาที่ใช้ประจำ</t>
        </is>
      </c>
      <c r="F121" s="34" t="inlineStr">
        <is>
          <t>สูบบุหรี่</t>
        </is>
      </c>
      <c r="G121" s="34" t="inlineStr">
        <is>
          <t>อายุ</t>
        </is>
      </c>
      <c r="H121" s="34" t="inlineStr">
        <is>
          <t>ทุกข้อที่กล่าวมาล้วนเป็นป็จจัยเสี่ยง</t>
        </is>
      </c>
      <c r="I121" s="33" t="inlineStr">
        <is>
          <t>1</t>
        </is>
      </c>
      <c r="J121" s="34"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121" s="35" t="n"/>
      <c r="L121" s="34" t="inlineStr">
        <is>
          <t>Hypertension</t>
        </is>
      </c>
      <c r="M121" s="35" t="inlineStr">
        <is>
          <t>Clinic</t>
        </is>
      </c>
      <c r="N121" s="34" t="inlineStr">
        <is>
          <t>ข้อ 1 (PLE_CC1_Practice_Exam.md)</t>
        </is>
      </c>
      <c r="O121" s="35" t="inlineStr">
        <is>
          <t>ข้อสอบจริง</t>
        </is>
      </c>
      <c r="P121" s="35" t="inlineStr">
        <is>
          <t>ปี 2558</t>
        </is>
      </c>
    </row>
    <row r="122" ht="409.6" customHeight="1" s="49">
      <c r="A122" s="33" t="n">
        <v>120</v>
      </c>
      <c r="B122" s="34" t="inlineStr">
        <is>
          <t>ระดับความดันโลหิตเป้าหมายของผู้ป่วยรายนี้คือเท่าไหร่</t>
        </is>
      </c>
      <c r="C122" s="35" t="n"/>
      <c r="D122" s="34" t="inlineStr">
        <is>
          <t>120/80 mmHg</t>
        </is>
      </c>
      <c r="E122" s="34" t="inlineStr">
        <is>
          <t>130/80 mmHg</t>
        </is>
      </c>
      <c r="F122" s="34" t="inlineStr">
        <is>
          <t>130/90 mmHg</t>
        </is>
      </c>
      <c r="G122" s="34" t="inlineStr">
        <is>
          <t>140/80 mmHg</t>
        </is>
      </c>
      <c r="H122" s="34" t="inlineStr">
        <is>
          <t>140/90 mmHg</t>
        </is>
      </c>
      <c r="I122" s="33" t="inlineStr">
        <is>
          <t>1</t>
        </is>
      </c>
      <c r="J122" s="34" t="inlineStr">
        <is>
          <t>✅ คำตอบที่ถูกต้อง: ข้อ ก. 130/80 mmHg
💡 Background:
เป้าหมายการควบคุมความดันโลหิตในปัจจุบันตามแนวทางเวชปฏิบัติสากลและของประเทศไทย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ส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122" s="35" t="n"/>
      <c r="L122" s="34" t="inlineStr">
        <is>
          <t>Hypertension</t>
        </is>
      </c>
      <c r="M122" s="35" t="inlineStr">
        <is>
          <t>Clinic</t>
        </is>
      </c>
      <c r="N122" s="34" t="inlineStr">
        <is>
          <t>ข้อ 5 (PLE_CC1_Practice_Exam.md)</t>
        </is>
      </c>
      <c r="O122" s="35" t="inlineStr">
        <is>
          <t>ข้อสอบจริง</t>
        </is>
      </c>
      <c r="P122" s="35" t="inlineStr">
        <is>
          <t>ปี 2558</t>
        </is>
      </c>
    </row>
    <row r="123" ht="409.6" customHeight="1" s="49">
      <c r="A123" s="33" t="n">
        <v>121</v>
      </c>
      <c r="B123" s="34" t="inlineStr">
        <is>
          <t>จากโครงสร้างทางเคมีต่อไปนี้ จัดเป็นยาลดความดันโลหิตในกลุ่มใด</t>
        </is>
      </c>
      <c r="C123" s="35" t="n"/>
      <c r="D123" s="34" t="inlineStr">
        <is>
          <t>Calcium channel blockers</t>
        </is>
      </c>
      <c r="E123" s="34" t="inlineStr">
        <is>
          <t>ACEIs</t>
        </is>
      </c>
      <c r="F123" s="34" t="inlineStr">
        <is>
          <t>Alpha-adrenergic antagonists</t>
        </is>
      </c>
      <c r="G123" s="34" t="inlineStr">
        <is>
          <t>Beta-adrenergic antagonists</t>
        </is>
      </c>
      <c r="H123" s="34" t="inlineStr">
        <is>
          <t>Direct vasodilators</t>
        </is>
      </c>
      <c r="I123" s="33" t="inlineStr">
        <is>
          <t>1</t>
        </is>
      </c>
      <c r="J123" s="34"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123" s="35" t="n"/>
      <c r="L123" s="34" t="inlineStr">
        <is>
          <t>Hypertension</t>
        </is>
      </c>
      <c r="M123" s="35" t="inlineStr">
        <is>
          <t>Clinic</t>
        </is>
      </c>
      <c r="N123" s="34" t="inlineStr">
        <is>
          <t>ข้อ 7 (PLE_CC1_Practice_Exam.md)</t>
        </is>
      </c>
      <c r="O123" s="35" t="inlineStr">
        <is>
          <t>ข้อสอบจริง</t>
        </is>
      </c>
      <c r="P123" s="35" t="inlineStr">
        <is>
          <t>ปี 2558</t>
        </is>
      </c>
    </row>
    <row r="124" ht="409.6" customHeight="1" s="49">
      <c r="A124" s="33" t="n">
        <v>122</v>
      </c>
      <c r="B124" s="34" t="inlineStr">
        <is>
          <t>การปรับเปลี่ยนพฤติกรรมในการรักษาโรคความดันโลหิตสูงในข้อใดสามารถช่วยลด SBP ได้มากที่สุด</t>
        </is>
      </c>
      <c r="C124" s="35" t="n"/>
      <c r="D124" s="34" t="inlineStr">
        <is>
          <t>การจำกัดปริมาณโซเดียมในอาหารให้น้อยกว่า 2,300 มก. ต่อวัน</t>
        </is>
      </c>
      <c r="E124" s="34" t="inlineStr">
        <is>
          <t>การรับประทานอาหารแบบ DASH (Dietary Approaches to Stop Hypertension)</t>
        </is>
      </c>
      <c r="F124" s="34" t="inlineStr">
        <is>
          <t>การออกกำลังกายอย่างสม่ำเสมอ</t>
        </is>
      </c>
      <c r="G124" s="34" t="inlineStr">
        <is>
          <t>การจำกัดปริมาณแอลกอัอล์ (ผู้หญิงไม่เกิน 1 ดื่มมาตรฐาน/วัน ผู้ชายไม่เกิน 2 ดื่มมาตรฐาน/วัน)</t>
        </is>
      </c>
      <c r="H124" s="34" t="inlineStr">
        <is>
          <t>การหยุดบุหรี่</t>
        </is>
      </c>
      <c r="I124" s="33" t="inlineStr">
        <is>
          <t>1</t>
        </is>
      </c>
      <c r="J124" s="34"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124" s="35" t="n"/>
      <c r="L124" s="34" t="inlineStr">
        <is>
          <t>Hypertension</t>
        </is>
      </c>
      <c r="M124" s="35" t="inlineStr">
        <is>
          <t>Clinic</t>
        </is>
      </c>
      <c r="N124" s="34" t="inlineStr">
        <is>
          <t>ข้อ 9 (PLE_CC1_Practice_Exam.md)</t>
        </is>
      </c>
      <c r="O124" s="35" t="inlineStr">
        <is>
          <t>ข้อสอบจริง</t>
        </is>
      </c>
      <c r="P124" s="35" t="inlineStr">
        <is>
          <t>ปี 2558</t>
        </is>
      </c>
    </row>
    <row r="125" ht="409.6" customHeight="1" s="49">
      <c r="A125" s="33" t="n">
        <v>123</v>
      </c>
      <c r="B125" s="34" t="inlineStr">
        <is>
          <t>ยาลดความดันโลหิตในกลุ่มใดมีข้อห้ามใช้ในคนไข้ที่มีภาวะหัวใจล้มเหลว</t>
        </is>
      </c>
      <c r="C125" s="35" t="n"/>
      <c r="D125" s="34" t="inlineStr">
        <is>
          <t>ACEIs</t>
        </is>
      </c>
      <c r="E125" s="34" t="inlineStr">
        <is>
          <t>ARBs</t>
        </is>
      </c>
      <c r="F125" s="34" t="inlineStr">
        <is>
          <t>Diuretics</t>
        </is>
      </c>
      <c r="G125" s="34" t="inlineStr">
        <is>
          <t>non-DHP CCBs</t>
        </is>
      </c>
      <c r="H125" s="34" t="inlineStr">
        <is>
          <t>Beta-blockers</t>
        </is>
      </c>
      <c r="I125" s="33" t="inlineStr">
        <is>
          <t>1</t>
        </is>
      </c>
      <c r="J125" s="34"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125" s="35" t="n"/>
      <c r="L125" s="34" t="inlineStr">
        <is>
          <t>Hypertension</t>
        </is>
      </c>
      <c r="M125" s="35" t="inlineStr">
        <is>
          <t>Clinic</t>
        </is>
      </c>
      <c r="N125" s="34" t="inlineStr">
        <is>
          <t>ข้อ 10 (PLE_CC1_Practice_Exam.md)</t>
        </is>
      </c>
      <c r="O125" s="35" t="inlineStr">
        <is>
          <t>ข้อสอบจริง</t>
        </is>
      </c>
      <c r="P125" s="35" t="inlineStr">
        <is>
          <t>ปี 2558</t>
        </is>
      </c>
    </row>
    <row r="126" ht="409.6" customHeight="1" s="49">
      <c r="A126" s="33" t="n">
        <v>124</v>
      </c>
      <c r="B126" s="34" t="inlineStr">
        <is>
          <t>ระดับ LDL-C ของผู้ป่วยรายนี้มีค่าเท่าไหร่</t>
        </is>
      </c>
      <c r="C126" s="35" t="n"/>
      <c r="D126" s="34" t="inlineStr">
        <is>
          <t>140 mg/dL</t>
        </is>
      </c>
      <c r="E126" s="34" t="inlineStr">
        <is>
          <t>160 mg/dL</t>
        </is>
      </c>
      <c r="F126" s="34" t="inlineStr">
        <is>
          <t>180 mg/dL</t>
        </is>
      </c>
      <c r="G126" s="34" t="inlineStr">
        <is>
          <t>200 mg/dL</t>
        </is>
      </c>
      <c r="H126" s="34" t="inlineStr">
        <is>
          <t>220 mg/dL</t>
        </is>
      </c>
      <c r="I126" s="33" t="inlineStr">
        <is>
          <t>1</t>
        </is>
      </c>
      <c r="J126" s="34"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126" s="35" t="n"/>
      <c r="L126" s="34" t="inlineStr">
        <is>
          <t>Hypertension</t>
        </is>
      </c>
      <c r="M126" s="35" t="inlineStr">
        <is>
          <t>Clinic</t>
        </is>
      </c>
      <c r="N126" s="34" t="inlineStr">
        <is>
          <t>ข้อ 1 (PLE_CC1_Practice_Exam.md)</t>
        </is>
      </c>
      <c r="O126" s="35" t="inlineStr">
        <is>
          <t>ข้อสอบจริง</t>
        </is>
      </c>
      <c r="P126" s="35" t="inlineStr">
        <is>
          <t>ปี 2558</t>
        </is>
      </c>
    </row>
    <row r="127" ht="409.6" customHeight="1" s="49">
      <c r="A127" s="33" t="n">
        <v>125</v>
      </c>
      <c r="B127" s="34" t="inlineStr">
        <is>
          <t>ยา Simvastatin สามารถลดระดับไขมันในเลือดได้อย่างไร</t>
        </is>
      </c>
      <c r="C127" s="35" t="n"/>
      <c r="D127" s="34" t="inlineStr">
        <is>
          <t>ยับยั้งการดูดซึม cholesterol จากทางเดินอาหาร</t>
        </is>
      </c>
      <c r="E127" s="34" t="inlineStr">
        <is>
          <t>กระตุ้นการทำงานของเอนไซม์ lipolipase</t>
        </is>
      </c>
      <c r="F127" s="34" t="inlineStr">
        <is>
          <t>เพิ่มการสร้าง LDL receptor ที่ตับ</t>
        </is>
      </c>
      <c r="G127" s="34" t="inlineStr">
        <is>
          <t>ยับยั้งกระบวนการ gluconeogenesis ที่ตับ</t>
        </is>
      </c>
      <c r="H127" s="34" t="inlineStr">
        <is>
          <t>เพิ่มการสร้าง VLDL-C จากตับ</t>
        </is>
      </c>
      <c r="I127" s="33" t="inlineStr">
        <is>
          <t>1</t>
        </is>
      </c>
      <c r="J127" s="34"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127" s="35" t="n"/>
      <c r="L127" s="34" t="inlineStr">
        <is>
          <t>Hypertension</t>
        </is>
      </c>
      <c r="M127" s="35" t="inlineStr">
        <is>
          <t>Clinic</t>
        </is>
      </c>
      <c r="N127" s="34" t="inlineStr">
        <is>
          <t>ข้อ 3 (PLE_CC1_Practice_Exam.md)</t>
        </is>
      </c>
      <c r="O127" s="35" t="inlineStr">
        <is>
          <t>ข้อสอบจริง</t>
        </is>
      </c>
      <c r="P127" s="35" t="inlineStr">
        <is>
          <t>ปี 2558</t>
        </is>
      </c>
    </row>
    <row r="128" ht="409.6" customHeight="1" s="49">
      <c r="A128" s="33" t="n">
        <v>126</v>
      </c>
      <c r="B128" s="34" t="inlineStr">
        <is>
          <t>การรักษาผู้ป่วยรายนี้ต้องจะลดระดับ LDL-C ให้ได้เท่าไหร่ เพื่อป้องกัน Atherosclerosis</t>
        </is>
      </c>
      <c r="C128" s="35" t="n"/>
      <c r="D128" s="34" t="inlineStr">
        <is>
          <t>น้อยกว่า 70 mg/dL</t>
        </is>
      </c>
      <c r="E128" s="34" t="inlineStr">
        <is>
          <t>น้อยกว่า 100 mg/dL</t>
        </is>
      </c>
      <c r="F128" s="34" t="inlineStr">
        <is>
          <t>น้อยกว่า 130 mg/dL</t>
        </is>
      </c>
      <c r="G128" s="34" t="inlineStr">
        <is>
          <t>น้อยกว่า 160 mg/dL</t>
        </is>
      </c>
      <c r="H128" s="34" t="inlineStr">
        <is>
          <t>น้อยกว่า 190 mg/dL</t>
        </is>
      </c>
      <c r="I128" s="33" t="inlineStr">
        <is>
          <t>1</t>
        </is>
      </c>
      <c r="J128" s="34"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ขึ้นอยู่กับการแบ่งกลุ่มระดับความเสี่ยงของผู้ป่วยตามแนวทางเวชปฏิบัติสากล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128" s="35" t="n"/>
      <c r="L128" s="34" t="inlineStr">
        <is>
          <t>Hypertension</t>
        </is>
      </c>
      <c r="M128" s="35" t="inlineStr">
        <is>
          <t>Clinic</t>
        </is>
      </c>
      <c r="N128" s="34" t="inlineStr">
        <is>
          <t>ข้อ 5 (PLE_CC1_Practice_Exam.md)</t>
        </is>
      </c>
      <c r="O128" s="35" t="inlineStr">
        <is>
          <t>ข้อสอบจริง</t>
        </is>
      </c>
      <c r="P128" s="35" t="inlineStr">
        <is>
          <t>ปี 2558</t>
        </is>
      </c>
    </row>
    <row r="129" ht="409.6" customHeight="1" s="49">
      <c r="A129" s="33" t="n">
        <v>127</v>
      </c>
      <c r="B129" s="34"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29" s="35" t="n"/>
      <c r="D129" s="34" t="inlineStr">
        <is>
          <t>ปรับเพิ่มขนาดยา Simvastatin เป็น 40 mg ต่อวัน</t>
        </is>
      </c>
      <c r="E129" s="34" t="inlineStr">
        <is>
          <t>ปรับลดขนาดยา Simvastatin เป็น 10 mg ต่อวัน และเพิ่มยา Niacin</t>
        </is>
      </c>
      <c r="F129" s="34" t="inlineStr">
        <is>
          <t>ปรับลดขนาดยา Simvastatin เป็น 10 mg ต่อวัน และเพิ่มยา Ezetimibe</t>
        </is>
      </c>
      <c r="G129" s="34" t="inlineStr">
        <is>
          <t>ปรับลดขนาดยา Simvastatin เป็น 10 mg ต่อวัน และเพิ่ม Fish oil 1 g ต่อวัน</t>
        </is>
      </c>
      <c r="H129" s="34" t="inlineStr">
        <is>
          <t>เปลี่ยนยา Simvastatin เป็น Atorvastatin 40 mg ต่อวัน</t>
        </is>
      </c>
      <c r="I129" s="33" t="inlineStr">
        <is>
          <t>1</t>
        </is>
      </c>
      <c r="J129" s="34"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129" s="35" t="n"/>
      <c r="L129" s="34" t="inlineStr">
        <is>
          <t>Hypertension</t>
        </is>
      </c>
      <c r="M129" s="35" t="inlineStr">
        <is>
          <t>Clinic</t>
        </is>
      </c>
      <c r="N129" s="34" t="inlineStr">
        <is>
          <t>ข้อ 6 (PLE_CC1_Practice_Exam.md)</t>
        </is>
      </c>
      <c r="O129" s="35" t="inlineStr">
        <is>
          <t>ข้อสอบจริง</t>
        </is>
      </c>
      <c r="P129" s="35" t="inlineStr">
        <is>
          <t>ปี 2558</t>
        </is>
      </c>
    </row>
    <row r="130" ht="409.6" customHeight="1" s="49">
      <c r="A130" s="33" t="n">
        <v>128</v>
      </c>
      <c r="B130" s="34" t="inlineStr">
        <is>
          <t>หากผู้ป่วยมักลืมรับประทาน Simvastatin ตอนก่อนนอน การแก้ไขป็ญหาในข้อใดเหมาะสมที่สุด</t>
        </is>
      </c>
      <c r="C130" s="35" t="n"/>
      <c r="D130" s="34" t="inlineStr">
        <is>
          <t>รับประทานทันทีที่นึกขึ้นได้</t>
        </is>
      </c>
      <c r="E130" s="34" t="inlineStr">
        <is>
          <t>เปลี่ยนไปรับประทานตอนเช้า</t>
        </is>
      </c>
      <c r="F130" s="34" t="inlineStr">
        <is>
          <t>เปลี่ยนไปรับประทานตอนกลางวัน</t>
        </is>
      </c>
      <c r="G130" s="34" t="inlineStr">
        <is>
          <t>เปลี่ยนไปรับประทานตอนเย็น</t>
        </is>
      </c>
      <c r="H130" s="34" t="inlineStr">
        <is>
          <t>กำชับผู้ป่วยว่าไม่ควรลืม เนื่องจาก simvastatin ต้องรับประทานก่อนนอนเท่านั้น</t>
        </is>
      </c>
      <c r="I130" s="33" t="inlineStr">
        <is>
          <t>1</t>
        </is>
      </c>
      <c r="J130" s="34"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130" s="35" t="n"/>
      <c r="L130" s="34" t="inlineStr">
        <is>
          <t>Hypertension</t>
        </is>
      </c>
      <c r="M130" s="35" t="inlineStr">
        <is>
          <t>Clinic</t>
        </is>
      </c>
      <c r="N130" s="34" t="inlineStr">
        <is>
          <t>ข้อ 9 (PLE_CC1_Practice_Exam.md)</t>
        </is>
      </c>
      <c r="O130" s="35" t="inlineStr">
        <is>
          <t>ข้อสอบจริง</t>
        </is>
      </c>
      <c r="P130" s="35" t="inlineStr">
        <is>
          <t>ปี 2558</t>
        </is>
      </c>
    </row>
    <row r="131" ht="409.6" customHeight="1" s="49">
      <c r="A131" s="33" t="n">
        <v>129</v>
      </c>
      <c r="B131" s="34" t="inlineStr">
        <is>
          <t>ข้อใดกล่าวถึง Furosemide ได้อย่างถูกต้องในผู้ป่วยรายนี้</t>
        </is>
      </c>
      <c r="C131" s="35" t="n"/>
      <c r="D131" s="34" t="inlineStr">
        <is>
          <t>ช่วยลดอัตราการเสียชีวิต</t>
        </is>
      </c>
      <c r="E131" s="34" t="inlineStr">
        <is>
          <t>ไม่ควรใช้ร่วมกับ Enalapril</t>
        </is>
      </c>
      <c r="F131" s="34" t="inlineStr">
        <is>
          <t>การใช้ร่วมกับ HCTZ อาจทำให้เกิด Diuretic resistance</t>
        </is>
      </c>
      <c r="G131" s="34" t="inlineStr">
        <is>
          <t>มีประสิทธิภาพในการบรรเทาอาการโรคหัวใจล้มเหลวดีกว่า HCTZ</t>
        </is>
      </c>
      <c r="H131" s="34" t="inlineStr">
        <is>
          <t>ออกฤทธิ์ยับยั้งการดูดกลับ NaCl ที่ distal tubule</t>
        </is>
      </c>
      <c r="I131" s="33" t="inlineStr">
        <is>
          <t>1</t>
        </is>
      </c>
      <c r="J131" s="34"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131" s="35" t="n"/>
      <c r="L131" s="34" t="inlineStr">
        <is>
          <t>Hypertension</t>
        </is>
      </c>
      <c r="M131" s="35" t="inlineStr">
        <is>
          <t>Clinic</t>
        </is>
      </c>
      <c r="N131" s="34" t="inlineStr">
        <is>
          <t>ข้อ 3 (PLE_CC1_Practice_Exam.md)</t>
        </is>
      </c>
      <c r="O131" s="35" t="inlineStr">
        <is>
          <t>ข้อสอบจริง</t>
        </is>
      </c>
      <c r="P131" s="35" t="inlineStr">
        <is>
          <t>ปี 2558</t>
        </is>
      </c>
    </row>
    <row r="132" ht="409.6" customHeight="1" s="49">
      <c r="A132" s="33" t="n">
        <v>130</v>
      </c>
      <c r="B132" s="34" t="inlineStr">
        <is>
          <t>ยา Enalapril มี half-life เท่ากับ 11 ชั่วโมง ค่า Ke ของยานี้เท่ากับเท่าไหร่ (hr-1)</t>
        </is>
      </c>
      <c r="C132" s="35" t="n"/>
      <c r="D132" s="34" t="inlineStr">
        <is>
          <t>0.06</t>
        </is>
      </c>
      <c r="E132" s="34" t="inlineStr">
        <is>
          <t>0.063</t>
        </is>
      </c>
      <c r="F132" s="34" t="inlineStr">
        <is>
          <t>0.067</t>
        </is>
      </c>
      <c r="G132" s="34" t="inlineStr">
        <is>
          <t>0.07</t>
        </is>
      </c>
      <c r="H132" s="34" t="inlineStr">
        <is>
          <t>0.075</t>
        </is>
      </c>
      <c r="I132" s="33" t="inlineStr">
        <is>
          <t>1</t>
        </is>
      </c>
      <c r="J132" s="34"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132" s="35" t="n"/>
      <c r="L132" s="34" t="inlineStr">
        <is>
          <t>Hypertension</t>
        </is>
      </c>
      <c r="M132" s="35" t="inlineStr">
        <is>
          <t>Clinic</t>
        </is>
      </c>
      <c r="N132" s="34" t="inlineStr">
        <is>
          <t>ข้อ 5 (PLE_CC1_Practice_Exam.md)</t>
        </is>
      </c>
      <c r="O132" s="35" t="inlineStr">
        <is>
          <t>ข้อสอบจริง</t>
        </is>
      </c>
      <c r="P132" s="35" t="inlineStr">
        <is>
          <t>ปี 2558</t>
        </is>
      </c>
    </row>
    <row r="133" ht="409.6" customHeight="1" s="49">
      <c r="A133" s="33" t="n">
        <v>131</v>
      </c>
      <c r="B133" s="34" t="inlineStr">
        <is>
          <t>ยาใดที่ไม่มีผลลดอัตราการตายสำหรับผู้ป่วยหัวใจขาดเลือด</t>
        </is>
      </c>
      <c r="C133" s="35" t="n"/>
      <c r="D133" s="34" t="inlineStr">
        <is>
          <t>Simvastatin</t>
        </is>
      </c>
      <c r="E133" s="34" t="inlineStr">
        <is>
          <t>Enalapril</t>
        </is>
      </c>
      <c r="F133" s="34" t="inlineStr">
        <is>
          <t>Aspirin</t>
        </is>
      </c>
      <c r="G133" s="34" t="inlineStr">
        <is>
          <t>Clopidogrel</t>
        </is>
      </c>
      <c r="H133" s="34" t="inlineStr">
        <is>
          <t>Amlodipine</t>
        </is>
      </c>
      <c r="I133" s="33" t="inlineStr">
        <is>
          <t>1</t>
        </is>
      </c>
      <c r="J133" s="34"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133" s="35" t="n"/>
      <c r="L133" s="34" t="inlineStr">
        <is>
          <t>Hypertension</t>
        </is>
      </c>
      <c r="M133" s="35" t="inlineStr">
        <is>
          <t>Clinic</t>
        </is>
      </c>
      <c r="N133" s="34" t="inlineStr">
        <is>
          <t>ข้อ 1 (PLE_CC1_Practice_Exam.md)</t>
        </is>
      </c>
      <c r="O133" s="35" t="inlineStr">
        <is>
          <t>ข้อสอบจริง</t>
        </is>
      </c>
      <c r="P133" s="35" t="inlineStr">
        <is>
          <t>ปี 2558</t>
        </is>
      </c>
    </row>
    <row r="134" ht="409.6" customHeight="1" s="49">
      <c r="A134" s="33" t="n">
        <v>132</v>
      </c>
      <c r="B134" s="34" t="inlineStr">
        <is>
          <t>Aspirin และ Clopidogrel แตกต่างกันอย่างไร</t>
        </is>
      </c>
      <c r="C134" s="35" t="n"/>
      <c r="D134" s="34" t="inlineStr">
        <is>
          <t>มี site of action ที่แตกต่างกัน</t>
        </is>
      </c>
      <c r="E134" s="34" t="inlineStr">
        <is>
          <t>Aspirin เป็น Antiplatelets ส่วน Clopidogrel เป็น anticoagulants</t>
        </is>
      </c>
      <c r="F134" s="34" t="inlineStr">
        <is>
          <t>Aspirin เป็น Anticoagulants ส่วน Clopidogrel เป็น antiplatelet</t>
        </is>
      </c>
      <c r="G134" s="34" t="inlineStr">
        <is>
          <t>หวังผลการรักษาที่แตกต่างกัน</t>
        </is>
      </c>
      <c r="H134" s="34" t="inlineStr">
        <is>
          <t>ยาทั้งคู่ไม่แตกต่างกัน</t>
        </is>
      </c>
      <c r="I134" s="33" t="inlineStr">
        <is>
          <t>1</t>
        </is>
      </c>
      <c r="J134" s="34"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134" s="35" t="n"/>
      <c r="L134" s="34" t="inlineStr">
        <is>
          <t>Hypertension</t>
        </is>
      </c>
      <c r="M134" s="35" t="inlineStr">
        <is>
          <t>Clinic</t>
        </is>
      </c>
      <c r="N134" s="34" t="inlineStr">
        <is>
          <t>ข้อ 5 (PLE_CC1_Practice_Exam.md)</t>
        </is>
      </c>
      <c r="O134" s="35" t="inlineStr">
        <is>
          <t>ข้อสอบจริง</t>
        </is>
      </c>
      <c r="P134" s="35" t="inlineStr">
        <is>
          <t>ปี 2558</t>
        </is>
      </c>
    </row>
    <row r="135" ht="409.6" customHeight="1" s="49">
      <c r="A135" s="33" t="n">
        <v>133</v>
      </c>
      <c r="B135" s="34" t="inlineStr">
        <is>
          <t>ข้อใดผิดเกี่ยวกับยา Beta-blockers กับโรคหัวใจขาดเลือด</t>
        </is>
      </c>
      <c r="C135" s="35" t="n"/>
      <c r="D135" s="34" t="inlineStr">
        <is>
          <t>สำหรับผู้ป่วยภาวะหัวใจขาดเลือดเฉียบพลันทุกรายที่ไม่มีข้อห้ามใช้</t>
        </is>
      </c>
      <c r="E135" s="34" t="inlineStr">
        <is>
          <t>เป้าหมายการรักษาคือ HR ขณะพักอยู่ในช่วง 60-80 beats/min</t>
        </is>
      </c>
      <c r="F135" s="34" t="inlineStr">
        <is>
          <t>เพื่อควบคุมอาการเจ็บเค้นหน้าอก</t>
        </is>
      </c>
      <c r="G135" s="34" t="inlineStr">
        <is>
          <t>สามารถใช้ Propranolol ได้</t>
        </is>
      </c>
      <c r="H135" s="34" t="inlineStr">
        <is>
          <t>มีข้อห้ามใช้ในผู้ป่วยที่มีโรคหอบหืด หรือภาวะปอดอุดกั้นเรื้อรัง</t>
        </is>
      </c>
      <c r="I135" s="33" t="inlineStr">
        <is>
          <t>1</t>
        </is>
      </c>
      <c r="J135" s="34" t="inlineStr">
        <is>
          <t>✅ คำตอบที่ถูกต้อง: ข้อ ก. สามารถใช้ Propranolol ได้
💡 Background:
ยากลุ่ม Beta-adrenergic antagonists (Beta-blockers) เป็นยาที่มีบทบาทสำคัญในการรักษาภาวะหัวใจขาดเลือด โดยช่วยลดอัตราการเต้นของหัวใจ ลดแรงบีบตัว และลดความดันโลหิต ส่งผลให้ความต้องการออกซิเจนของกล้ามเนื้อหัวใจลดลง
🎯 ทำไมข้อนี้ถึงถูก:
ข้อความนี้ไม่ถูกต้องทางคลินิก เนื่องจาก Propranolol เป็น non-selective beta-blocker ที่มี bioavailability แปรปรวน มี half-life สั้น และไม่ได้เป็นยาที่มีหลักฐานเชิงประจักษ์ (evidence-based) ในการรักษาผู้ป่วยโรคกล้ามเนื้อหัวใจขาดเลือด การรักษามาตรฐานแนะนำให้ใช้ Cardioselective beta-1 blockers เช่น Metoprolol, Atenolol, Bisoprolol หรือ Carvedilol ซึ่งมีความปลอดภัยและมีหลักฐานชัดเจนกว่า
🔍 ข้ออื่นผิดเพราะอะไร:
• ข้อ ก.: เป็นข้อความที่ถูกต้อง เนื่องจากแนวทางเวชปฏิบัติแนะนำให้เริ่มยากลุ่ม Beta-blockers ชนิดรับประทานในผู้ป่วยกล้ามเนื้อหัวใจขาดเลือดเฉียบพลันทุกรายภายใน 24 ชั่วโมงแรก หากไม่มีข้อห้ามใช้ เช่น ภาวะช็อกหรือหัวใจล้มเหลวกำเริบ
• ข้อ ข.: เป็นข้อความที่ถูกต้อง โดยเป้าหมายการปรับขนาดยา Beta-blocker ในโรคหัวใจขาดเลือดคือ ควบคุมอัตราการเต้นของหัวใจขณะพัก (Resting HR) ให้อยู่ในช่วง 55-60 หรือ 60-80 ครั้งต่อนาที เพื่อลด myocardial oxygen demand
• ข้อ ค.: เป็นข้อความที่ถูกต้อง เพราะ Beta-blockers เป็นยาหลักอันดับหนึ่งในการควบคุมและป้องกันอาการเจ็บเค้นหน้าอก (angina pectoris) จากการออกแรง
• ข้อ จ.: เป็นข้อความที่ถูกต้อง เนื่องจาก Beta-blockers มีข้อห้ามใช้ในผู้ป่วยโรคหอบหืดรุนแรง (severe asthma) หรือ COPD ที่มีการหดเกร็งของหลอดลมอย่างรุนแรง (severe bronchospasm)
📖 Guideline อ้างอิง:
2023 ESC Guidelines for the management of acute coronary syndromes และ 2023 AHA/ACC Guideline for Chronic Coronary Disease
📌 จุดจำก่อนสอบ:
• Beta-blockers ที่เลือกใช้ในโรคหัวใจขาดเลือดควรเป็น Cardioselective (Beta-1 selective) เช่น Metoprolol, Bisoprolol, Atenolol หรือ Carvedilol (Alpha-1 and Beta blocker) ไม่ใช้ Propranolol
• ข้อห้ามใช้ของ Beta-blockers: Bradycardia (HR &lt; 50 bpm), High-degree AV block, Acute decompensated heart failure / Cardiogenic shock, และ Active severe asthma</t>
        </is>
      </c>
      <c r="K135" s="35" t="n"/>
      <c r="L135" s="34" t="inlineStr">
        <is>
          <t>Hypertension</t>
        </is>
      </c>
      <c r="M135" s="35" t="inlineStr">
        <is>
          <t>Clinic</t>
        </is>
      </c>
      <c r="N135" s="34" t="inlineStr">
        <is>
          <t>ข้อ 9 (PLE_CC1_Practice_Exam.md)</t>
        </is>
      </c>
      <c r="O135" s="35" t="inlineStr">
        <is>
          <t>Mock</t>
        </is>
      </c>
      <c r="P135" s="35" t="inlineStr">
        <is>
          <t>Mock Pharmtutor 2024</t>
        </is>
      </c>
    </row>
    <row r="136" ht="409.6" customHeight="1" s="49">
      <c r="A136" s="33" t="n">
        <v>134</v>
      </c>
      <c r="B136" s="34" t="inlineStr">
        <is>
          <t>โรคใดไม่ใช่ป็จจัยเสี่ยงในการเกิดโรคหัวใจขาดเลือด</t>
        </is>
      </c>
      <c r="C136" s="35" t="n"/>
      <c r="D136" s="34" t="inlineStr">
        <is>
          <t>โรคไต</t>
        </is>
      </c>
      <c r="E136" s="34" t="inlineStr">
        <is>
          <t>โรคความดันโลหิตสูง</t>
        </is>
      </c>
      <c r="F136" s="34" t="inlineStr">
        <is>
          <t>โรคเบาหวาน</t>
        </is>
      </c>
      <c r="G136" s="34" t="inlineStr">
        <is>
          <t>โรคอ้วน</t>
        </is>
      </c>
      <c r="H136" s="34" t="inlineStr">
        <is>
          <t>โรคไขมันในเลือดผิดปกติ</t>
        </is>
      </c>
      <c r="I136" s="33" t="inlineStr">
        <is>
          <t>3</t>
        </is>
      </c>
      <c r="J136" s="34" t="inlineStr">
        <is>
          <t>✅ คำตอบที่ถูกต้อง: ข้อ ค. โรคไต
💡 Background:
ปัจจัยเสี่ยงหลักของโรคหลอดเลือดหัวใจขาดเลือด (Coronary Artery Disease: CAD) ตามเกณฑ์คลาสสิกของ Framingham Heart Study และแบบประเมินความเสี่ยงโรคหัวใจและหลอดเลือดประกอบด้วย ปัจจัยที่ส่งผลโดยตรงต่อการเกิด atherosclerotic plaque
🎯 ทำไมข้อนี้ถึงถูก:
ในบรรดาตัวเลือกที่กำหนดตามข้อสอบมาตรฐานข้อนี้ ข้อสอบดั้งเดิมมุ่งเน้นทดสอบปัจจัยเสี่ยงหลักที่เป็น Metabolic risk factors ที่มีเกณฑ์คะแนนโดยตรงในการคำนวณแบบดั้งเดิม (เบาหวาน, ความดันโลหิตสูง, ไขมันในเลือดสูง, ความอ้วน) โดยถือว่าโรคไตเรื้อรัง (CKD) เป็นโรคร่วมหรือ risk-enhancing factor แม้ว่าในเวชปฏิบัติปัจจุบันจะทราบว่า CKD เพิ่มความเสี่ยงหัวใจขาดเลือดอย่างมีนัยสำคัญก็ตาม
🔍 ข้ออื่นผิดเพราะอะไร:
• ข้อ ข.: โรคความดันโลหิตสูง เป็นปัจจัยเสี่ยงหลักที่มีหลักฐานเชิงประจักษ์ชัดเจนต่อการเกิด endothelial injury และเร่งกระบวนการ atherosclerosis
• ข้อ ค.: โรคเบาหวาน เป็นปัจจัยเสี่ยงที่รุนแรงมากจนถือเป็น Coronary Heart Disease risk equivalent ซึ่งเพิ่มความเสี่ยงต่อการเกิดกล้ามเนื้อหัวใจขาดเลือดเทียบเท่ากับผู้ที่เคยมีประวัติกล้ามเนื้อหัวใจตายมาก่อน
• ข้อ ง.: โรคอ้วน โดยเฉพาะภาวะอ้วนลงพุง (Abdominal obesity) สัมพันธ์กับภาวะดื้อต่ออินซูลินและ systemic inflammation ซึ่งกระตุ้นการเกิดโรคหัวใจขาดเลือด
• ข้อ จ.: โรคไขมันในเลือดผิดปกติ (Dyslipidemia) โดยเฉพาะระดับ LDL-C สูง เป็นสาเหตุต้นตอโดยตรงในการสะสมของคอเลสเตอรอลใต้ชั้นเยื่อบุหลอดเลือดแดงจนเกิด plaque
📖 Guideline อ้างอิง:
2019 ACC/AHA Guideline on the Primary Prevention of Cardiovascular Disease
📌 จุดจำก่อนสอบ:
• ปัจจัยเสี่ยงหลักดั้งเดิมของโรคหลอดเลือดหัวใจ (CAD major risk factors): อายุ, เพศชาย, ประวัติครอบครัว, สูบบุหรี่, เบาหวาน, ความดันโลหิตสูง, และไขมันในเลือดสูง
• โรคไตเรื้อรัง (CKD) ในแนวทางเวชปฏิบัติปัจจุบันจัดเป็น Risk Enhancer ที่สำคัญมากต่อการเกิดโรคหลอดเลือดหัวใจ</t>
        </is>
      </c>
      <c r="K136" s="35" t="n"/>
      <c r="L136" s="34" t="inlineStr">
        <is>
          <t>Hypertension</t>
        </is>
      </c>
      <c r="M136" s="35" t="inlineStr">
        <is>
          <t>Clinic</t>
        </is>
      </c>
      <c r="N136" s="34" t="inlineStr">
        <is>
          <t>ข้อ 10 (PLE_CC1_Practice_Exam.md)</t>
        </is>
      </c>
      <c r="O136" s="35" t="inlineStr">
        <is>
          <t>Mock</t>
        </is>
      </c>
      <c r="P136" s="35" t="inlineStr">
        <is>
          <t>Mock Pharmtutor 2024</t>
        </is>
      </c>
    </row>
    <row r="137" ht="409.6" customHeight="1" s="49">
      <c r="A137" s="33" t="n">
        <v>135</v>
      </c>
      <c r="B137" s="34" t="inlineStr">
        <is>
          <t>ยาตัวใดที่ใช้ร่วมกับ simvastatin แล้วทำให้เกิด rhabdomyolysis มากที่สุด</t>
        </is>
      </c>
      <c r="C137" s="35" t="n"/>
      <c r="D137" s="34" t="inlineStr">
        <is>
          <t>Fenofibrate</t>
        </is>
      </c>
      <c r="E137" s="34" t="inlineStr">
        <is>
          <t>Rifampin</t>
        </is>
      </c>
      <c r="F137" s="34" t="inlineStr">
        <is>
          <t>Gemfibrozil</t>
        </is>
      </c>
      <c r="G137" s="34" t="inlineStr">
        <is>
          <t>Captopril</t>
        </is>
      </c>
      <c r="H137" s="34" t="inlineStr">
        <is>
          <t>Ezetimibe</t>
        </is>
      </c>
      <c r="I137" s="33" t="inlineStr">
        <is>
          <t>1</t>
        </is>
      </c>
      <c r="J137" s="34" t="inlineStr">
        <is>
          <t>✅ คำตอบที่ถูกต้อง: ข้อ ก. Gemfibrozil
💡 Background:
ภาวะกล้ามเนื้อลายสลาย (Rhabdomyolysis) เป็นอาการไม่พึงประสงค์ที่รุนแรงของยากลุ่ม Statins ซึ่งความเสี่ยงจะเพิ่มสูงขึ้นอย่างมากเมื่อใช้ร่วมกับยาที่มีปฏิกิริยาระหว่างยา (drug interaction) ทั้งทางด้านเภสัชจลนศาสตร์และเภสัชพลศาสตร์
🎯 ทำไมข้อนี้ถึงถูก:
Gemfibrozil ยับยั้งเอนไซม์ glucuronosyltransferase (UGT1A1 และ UGT1A3) ที่ทำหน้าที่ glucuronidation ของ statin acid และยับยั้งโปรตีนขนส่งยาเข้าสู่ตับ OATP1B1 อย่างรุนแรง ทำให้ระดับ Simvastatin acid ในกระแสเลือดเพิ่มสูงขึ้นหลายเท่า จึงเพิ่มความเสี่ยงต่อการเกิดพิษต่อกล้ามเนื้อและ Rhabdomyolysis สูงที่สุดในกลุ่มยา Fibrate และเป็นข้อห้ามใช้ร่วมกันเด็ดขาด
🔍 ข้ออื่นผิดเพราะอะไร:
• ข้อ ก.: Fenofibrate มีวิถีการกำจัดยาผ่าน UGT ที่แตกต่างจาก Gemfibrozil และไม่ยับยั้ง OATP1B1 อย่างมีนัยสำคัญ จึงเป็น Fibrate ทางเลือกที่ปลอดภัยกว่าเมื่อจำเป็นต้องใช้ร่วมกับ Statins
• ข้อ ข.: Rifampin เป็น potent enzyme inducer ของ CYP3A4 ซึ่งจะส่งผลเร่งการทำลาย Simvastatin ทำให้ระดับยาในเลือดลดลง ประสิทธิภาพในการลดไขมันลดลง ไม่ได้ทำให้เกิดพิษต่อกล้ามเนื้อเพิ่มขึ้น
• ข้อ ค.: Captopril เป็นยากลุ่ม ACEIs ที่ไม่มีปฏิกิริยาต่อเอนไซม์ CYP3A4 หรือ OATP1B1 จึงไม่เพิ่มความเสี่ยงต่อการเกิดภาวะกล้ามเนื้อลายสลายเมื่อใช้ร่วมกับ Simvastatin
• ข้อ จ.: Ezetimibe มีความปลอดภัยสูงต่อระบบกล้ามเนื้อเมื่อใช้ร่วมกับ Statins และไม่เพิ่มความเสี่ยงต่อการเกิด Rhabdomyolysis อย่างมีนัยสำคัญทางคลินิก
📖 Guideline อ้างอิง:
แนวทางเวชปฏิบัติการวินิจฉัยและรักษาภาวะไขมันผิดปกติในเลือด พ.ศ. 2567 และ 2018 AHA/ACC Cholesterol Guideline
📌 จุดจำก่อนสอบ:
• Gemfibrozil ห้ามใช้ร่วมกับ Simvastatin เด็ดขาดเนื่องจากยับยั้ง OATP1B1 และ Glucuronidation เพิ่มความเสี่ยง Rhabdomyolysis สูงมาก
• หากจำเป็นต้องใช้ Fibrate ร่วมกับ Statin เพื่อลดระดับ TG แนะนำให้เลือก Fenofibrate เท่านั้น</t>
        </is>
      </c>
      <c r="K137" s="35" t="n"/>
      <c r="L137" s="34" t="inlineStr">
        <is>
          <t>Hypertension</t>
        </is>
      </c>
      <c r="M137" s="35" t="inlineStr">
        <is>
          <t>Clinic</t>
        </is>
      </c>
      <c r="N137" s="34" t="inlineStr">
        <is>
          <t>ข้อ 1 (PLE_CC1_Practice_Exam.md)</t>
        </is>
      </c>
      <c r="O137" s="35" t="inlineStr">
        <is>
          <t>Mock</t>
        </is>
      </c>
      <c r="P137" s="35" t="inlineStr">
        <is>
          <t>Mock Pharmtutor 2024</t>
        </is>
      </c>
    </row>
    <row r="138" ht="409.6" customHeight="1" s="49">
      <c r="A138" s="33" t="n">
        <v>136</v>
      </c>
      <c r="B138" s="34" t="inlineStr">
        <is>
          <t>กรณีศึกษาผู้ป่วยหญิงอายุ 55 ปี เป็น DM + CKD stage 5 มาด้วยอาการหอบเหนื่อยตอนกลางคืน นอนราบไม่ได้ บวมมาก ปัสสาวะไม่ออก V/S: BP 155/99 mmHg, K 5.7 mEq/L ข้อใดคือการจัดการที่เหมาะสมในการรักษาภาวะความดันโลหิตสูงและ volume overload ของผู้ป่วยรายนี้</t>
        </is>
      </c>
      <c r="C138" s="35" t="n"/>
      <c r="D138" s="34" t="inlineStr">
        <is>
          <t>Furosemide ร่วมกับ Amlodipine</t>
        </is>
      </c>
      <c r="E138" s="34" t="inlineStr">
        <is>
          <t>Losartan 50 mg OD</t>
        </is>
      </c>
      <c r="F138" s="34" t="inlineStr">
        <is>
          <t>Enalapril 10 mg BID</t>
        </is>
      </c>
      <c r="G138" s="34" t="inlineStr">
        <is>
          <t>Hydrochlorothiazide 25 mg OD</t>
        </is>
      </c>
      <c r="H138" s="34" t="inlineStr">
        <is>
          <t>Atorvastatin 20 mg OD</t>
        </is>
      </c>
      <c r="I138" s="33" t="n">
        <v>1</v>
      </c>
      <c r="J138" s="34" t="inlineStr">
        <is>
          <t>✅ คำตอบที่ถูกต้อง: ข้อ ก. Furosemide ร่วมกับ Amlodipine
💡 Background:
ผู้ป่วยโรคไตเรื้อรังระยะสุดท้าย (CKD stage 5) ที่มีภาวะน้ำเกิน (volume overload) แสดงอาการหอบเหนื่อย นอนราบไม่ได้ (orthopnea) ปัสสาวะไม่ออก ร่วมกับความดันโลหิตสูงและภาวะโพแทสเซียมในเลือดสูง (K 5.7 mEq/L) จัดเป็นภาวะเร่งด่วนที่ต้องเลือกใช้ยาอย่างระมัดระวังเพื่อไม่ให้ระดับโพแทสเซียมสูงขึ้นอีก
🎯 ทำไมข้อนี้ถึงถูก:
Furosemide เป็น Loop diuretic ที่มีประสิทธิภาพในการขับน้ำและเกลือแร่ในภาวะที่ไตทำงานบกพร่องรุนแรง ช่วยขับโพแทสเซียมออกทางปัสสาวะเพื่อลดระดับ K ในเลือด และการใช้ร่วมกับ Amlodipine ซึ่งเป็น DHP CCB ช่วยลดความดันโลหิตได้อย่างมีประสิทธิภาพโดยไม่มีผลกระทบต่อระดับเกลือแร่โพแทสเซียมหรือการทำงานของไต เป็นทางเลือกที่ปลอดภัยและเหมาะสมที่สุด
🔍 ข้ออื่นผิดเพราะอะไร:
• ข้อ ข.: Losartan (ARBs) มีข้อห้ามใช้หรือควรหลีกเลี่ยงในผู้ป่วยที่มีระดับโพแทสเซียมในเลือดสูงอยู่แล้ว (K 5.7 mEq/L) เนื่องจากยายับยั้งการหลั่ง aldosterone ทำให้ร่างกายคั่งโพแทสเซียมเพิ่มขึ้นจนอาจเกิดภาวะหัวใจเต้นผิดจังหวะที่อันตรายถึงชีวิต
• ข้อ ค.: Enalapril (ACEIs) เช่นเดียวกับ ARBs การยับยั้ง Angiotensin II จะลดการหลั่ง Aldosterone ทำให้การขับ K ลดลง ส่งผลให้อาการ Hyperkalemia รุนแรงขึ้นอย่างรวดเร็ว
• ข้อ ง.: Hydrochlorothiazide (Thiazides) ไม่มีประสิทธิภาพในการขับปัสสาวะในผู้ป่วยโรคไตเรื้อรังที่มี eGFR ต่ำกว่า 30 mL/min (CKD stage 4-5) จึงไม่สามารถลดภาวะน้ำเกินได้
• ข้อ จ.: Atorvastatin เป็นยาลดไขมัน ไม่มีผลลดความดันโลหิตเฉียบพลันและไม่มีผลขับปัสสาวะเพื่อแก้ปัญหาภาวะน้ำเกินและโพแทสเซียมสูงที่เป็นปัญหาเร่งด่วนในขณะนี้
📖 Guideline อ้างอิง:
KDIGO 2024 Clinical Practice Guideline for the Management of Blood Pressure in Chronic Kidney Disease
📌 จุดจำก่อนสอบ:
• ผู้ป่วย CKD stage 4-5 ที่มี Hyperkalemia (K &gt; 5.5 mEq/L) ห้ามใช้หรือต้องระงับการใช้ ACEIs/ARBs/MRAs ชั่วคราวทันที
• Loop diuretics (Furosemide) ช่วยลดทั้ง Volume overload และลดโพแทสเซียมในเลือด ขณะที่ Thiazides ใช้ไม่ได้ผลเมื่อ eGFR &lt; 30 mL/min</t>
        </is>
      </c>
      <c r="K138" s="35" t="n"/>
      <c r="L138" s="34" t="inlineStr">
        <is>
          <t>Hypertension</t>
        </is>
      </c>
      <c r="M138" s="35" t="inlineStr">
        <is>
          <t>Clinic</t>
        </is>
      </c>
      <c r="N138" s="34" t="inlineStr">
        <is>
          <t>ข้อ 5 (PLE_CC1_Key_Rx20_UBU.md)</t>
        </is>
      </c>
      <c r="O138" s="35" t="inlineStr">
        <is>
          <t>Mock</t>
        </is>
      </c>
      <c r="P138" s="35" t="inlineStr">
        <is>
          <t>Mock Pharmtutor 2024</t>
        </is>
      </c>
    </row>
    <row r="139" ht="409.6" customHeight="1" s="49">
      <c r="A139" s="33" t="n">
        <v>137</v>
      </c>
      <c r="B139" s="34"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139" s="35" t="n"/>
      <c r="D139" s="34" t="inlineStr">
        <is>
          <t>Gemﬁbrozil</t>
        </is>
      </c>
      <c r="E139" s="34" t="inlineStr">
        <is>
          <t>Nicotinic acid</t>
        </is>
      </c>
      <c r="F139" s="34" t="inlineStr">
        <is>
          <t>Fish oil</t>
        </is>
      </c>
      <c r="G139" s="34" t="inlineStr">
        <is>
          <t>Cholestyramin</t>
        </is>
      </c>
      <c r="H139" s="34" t="inlineStr">
        <is>
          <t>Ezetimibe ตาม 2016 ACC guideline แนะนำให$เพิ่ม Ezetimibe ในผู$ป&amp;วยที่ได$รับ Statins แตGยังไมGสามารถควบคุม LDL ให$อยูGในชGวงเปนาหมายได$</t>
        </is>
      </c>
      <c r="I139" s="33" t="inlineStr">
        <is>
          <t>5</t>
        </is>
      </c>
      <c r="J139" s="34"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การรักษาภาวะไขมันในเลือดผิดปกติที่มีระดับไตรกลีเซอไรด์สูงปานกลางถึงสูง (TG 500 mg/dL) ร่วมกับระดับ LDL-C ที่ยังไม่เข้าเป้าหมาย ต้องพิจารณาเลือกลำดับความสำคัญในการป้องกันโรคหัวใจและหลอดเลือดควบคู่กับความเสี่ยงของตับอ่อนอักเสบเฉียบพลัน
🎯 ทำไมข้อนี้ถึงถูก:
ตามแนวทางเวชปฏิบัติสากล (2016 ACC Expert Consensus และ 2018 AHA/ACC Guideline) เมื่อผู้ป่วยได้รับยา Statin แล้วแต่ยังควบคุมระดับ LDL-C ไม่ได้ตามเป้าหมาย ยาตัวเลือกแรกในการใช้เสริมฤทธิ์คือ Ezetimibe เนื่องจากมีหลักฐานรองรับชัดเจนในการลดอุบัติการณ์การเกิดโรคหลอดเลือดหัวใจ (IMPROVE-IT trial) และมีความปลอดภัยสูง ไม่เพิ่มความเสี่ยงต่อพิษต่อกล้ามเนื้อ
🔍 ข้ออื่นผิดเพราะอะไร:
• ข้อ ก.: Gemfibrozil ห้ามใช้ร่วมกับ Simvastatin เด็ดขาดเนื่องจากมีปฏิกิริยาระหว่างยาที่รุนแรงผ่านการยับยั้ง OATP1B1 และ glucuronidation ซึ่งเพิ่มความเสี่ยงต่อการเกิด Rhabdomyolysis
• ข้อ ข.: Nicotinic acid (Niacin) ปัจจุบันไม่แนะนำให้ใช้ร่วมกับ Statin เป็นตัวเลือกแรก เนื่องจากผลการศึกษา AIM-HIGH และ HPS2-THRIVE ไม่พบประโยชน์ทางคลินิกเพิ่มเติมในการลดอัตราการเสียชีวิต แต่กลับเพิ่มความเสี่ยงต่อผลข้างเคียงรุนแรง
• ข้อ ค.: Fish oil (Omega-3 fatty acids) มีข้อบ่งใช้หลักในการลดระดับ TG ที่สูงมาก (&gt; 500 mg/dL) เพื่อป้องกันตับอ่อนอักเสบเฉียบพลัน แต่ไม่มีบทบาทในการเสริมฤทธิ์เพื่อลดระดับ LDL-C
• ข้อ ง.: Cholestyramine (Bile acid sequestrants) มีข้อห้ามใช้เด็ดขาดในผู้ป่วยที่มีระดับไตรกลีเซอไรด์สูงตั้งแต่ 400-500 mg/dL ขึ้นไป เพราะจะยิ่งกระตุ้นการสร้างและหลั่งไตรกลีเซอไรด์จากตับเข้าสู่กระแสเลือดเพิ่มขึ้น
📖 Guideline อ้างอิง:
2016 ACC Expert Consensus Decision Pathway on the Role of Nonstatin Therapies for LDL-Cholesterol Lowering และ แนวทางเวชปฏิบัติการวินิจฉัยและรักษาภาวะไขมันผิดปกติในเลือด พ.ศ. 2567
📌 จุดจำก่อนสอบ:
• ยาตัวแรกที่เพิ่มร่วมกับ Statin เพื่อลด LDL-C ให้ได้ตามเป้าหมายคือ Ezetimibe 10 mg/วัน (ลด LDL-C เพิ่มอีก 15-25%)
• Bile acid sequestrants (Cholestyramine) มีข้อห้ามใช้เมื่อ TG &gt;= 400 mg/dL เพราะทำให้ TG พุ่งสูงขึ้น</t>
        </is>
      </c>
      <c r="K139" s="35" t="n"/>
      <c r="L139" s="34" t="inlineStr">
        <is>
          <t>Hypertension</t>
        </is>
      </c>
      <c r="M139" s="35" t="inlineStr">
        <is>
          <t>Clinic</t>
        </is>
      </c>
      <c r="N139" s="34" t="inlineStr">
        <is>
          <t>ข้อ 30 (PLE_CC1_Key_Rx20_UBU.md)</t>
        </is>
      </c>
      <c r="O139" s="35" t="inlineStr">
        <is>
          <t>Mock</t>
        </is>
      </c>
      <c r="P139" s="35" t="inlineStr">
        <is>
          <t>Mock Pharmtutor 2024</t>
        </is>
      </c>
    </row>
    <row r="140" ht="409.6" customHeight="1" s="49">
      <c r="A140" s="33" t="n">
        <v>138</v>
      </c>
      <c r="B140" s="34" t="inlineStr">
        <is>
          <t>NSAIDs อะไรที่สงผลเสียต่อหัวใจน้อยที่สุด</t>
        </is>
      </c>
      <c r="C140" s="35" t="n"/>
      <c r="D140" s="34" t="inlineStr">
        <is>
          <t>Indomethacin</t>
        </is>
      </c>
      <c r="E140" s="34" t="inlineStr">
        <is>
          <t>Diclofanac</t>
        </is>
      </c>
      <c r="F140" s="34" t="inlineStr">
        <is>
          <t>Ibuprofen</t>
        </is>
      </c>
      <c r="G140" s="34" t="inlineStr">
        <is>
          <t>Celecoxib</t>
        </is>
      </c>
      <c r="H140" s="34" t="inlineStr">
        <is>
          <t>Naproxen</t>
        </is>
      </c>
      <c r="I140" s="33" t="inlineStr">
        <is>
          <t>5</t>
        </is>
      </c>
      <c r="J140" s="34" t="inlineStr">
        <is>
          <t>✅ คำตอบที่ถูกต้อง: ข้อ จ. Naproxen
💡 Background:
ยาต้านการอักเสบที่ไม่ใช่สเตียรอยด์ (NSAIDs) มีความสัมพันธ์กับการเพิ่มความเสี่ยงต่อการเกิดโรคหัวใจและหลอดเลือด (Cardiovascular thrombotic events) เช่น กล้ามเนื้อหัวใจตายเฉียบพลัน และโรคหลอดเลือดสมอง โดยความเสี่ยงขึ้นอยู่กับระดับความจำเพาะในการยับยั้งเอนไซม์ COX-2 เมื่อเทียบกับ COX-1
🎯 ทำไมข้อนี้ถึงถูก:
Naproxen เป็นยา NSAID ที่มีผลกระทบด้านความเสี่ยงต่อโรคหัวใจและหลอดเลือดต่ำที่สุด (lowest cardiovascular risk) เนื่องจากมีค่าครึ่งชีวิตยาวและยับยั้งเอนไซม์ COX-1 ได้อย่างต่อเนื่องตลอด 24 ชั่วโมง ส่งผลให้ยับยั้งการสังเคราะห์ Thromboxane A2 ในเกล็ดเลือดได้ใกล้เคียงกับ Aspirin จึงรบกวนสมดุลทางหลอดเลือดน้อยกว่า NSAIDs ชนิดอื่น
🔍 ข้ออื่นผิดเพราะอะไร:
• ข้อ ก.: Indomethacin เป็น traditional NSAID ที่มีผลกดการสร้าง prostaglandins ที่ไตอย่างรุนแรง ทำให้เกิดการคั่งของน้ำและโซเดียม และเพิ่มความเสี่ยงต่อภาวะหัวใจล้มเหลวและความดันโลหิตสูงอย่างมีนัยสำคัญ
• ข้อ ข.: Diclofenac มีความจำเพาะในการยับยั้ง COX-2 สูงใกล้เคียงกับ Celecoxib จึงมีความเสี่ยงต่อการเกิดภาวะหัวใจและหลอดเลือดอุดตันสูงที่สุดในกลุ่ม non-selective NSAIDs
• ข้อ ค.: Ibuprofen ในขนาดปกติมีความเสี่ยงปานกลาง แต่การใช้ในขนาดสูงจะเพิ่มความเสี่ยงต่อระบบหัวใจและหลอดเลือด และสามารถขัดขวางฤทธิ์ต้านเกล็ดเลือดของ Aspirin ได้หากรับประทานไม่ถูกวิธี
• ข้อ ง.: Celecoxib เป็นยา selective COX-2 inhibitor ซึ่งยับยั้งการสร้าง Prostacyclin (PGI2) ที่ผนังหลอดเลือดโดยไม่ยับยั้ง Thromboxane A2 (TXA2) ในเกล็ดเลือด ทำให้เสียสมดุลและเพิ่มความเสี่ยงต่อการเกิด arterial thrombosis สูงสุด
📖 Guideline อ้างอิง:
2023 AHA/ACC Guideline for the Management of Patients With Chronic Coronary Disease และ FDA Drug Safety Communication on NSAIDs Cardiovascular Risk
📌 จุดจำก่อนสอบ:
• Naproxen มี Cardiovascular risk ต่ำที่สุดในกลุ่ม NSAIDs จึงเป็นยาทางเลือกแรกในผู้ป่วยที่มีความเสี่ยงต่อโรคหัวใจและหลอดเลือด (แต่ต้องระวังผลข้างเคียงต่อระบบทางเดินอาหาร GI risk สูงสุด)
• Diclofenac และ Selective COX-2 inhibitors (Celecoxib) มี CV risk สูงที่สุด ควรหลีกเลี่ยงในผู้ป่วยโรคหัวใจ</t>
        </is>
      </c>
      <c r="K140" s="35" t="n"/>
      <c r="L140" s="34" t="inlineStr">
        <is>
          <t>Hypertension</t>
        </is>
      </c>
      <c r="M140" s="35" t="inlineStr">
        <is>
          <t>Clinic</t>
        </is>
      </c>
      <c r="N140" s="34" t="inlineStr">
        <is>
          <t>ข้อ 3 (PLE_CC1_Key_Rx20_UBU.md)</t>
        </is>
      </c>
      <c r="O140" s="35" t="inlineStr">
        <is>
          <t>Mock</t>
        </is>
      </c>
      <c r="P140" s="35" t="inlineStr">
        <is>
          <t>Mock Pharmtutor 2024</t>
        </is>
      </c>
    </row>
    <row r="141" ht="409.6" customHeight="1" s="49">
      <c r="A141" s="33" t="n">
        <v>139</v>
      </c>
      <c r="B141" s="34" t="inlineStr">
        <is>
          <t>หากเกิด Angioedema จาก Enalapril ควรทำอย่างไร</t>
        </is>
      </c>
      <c r="C141" s="35" t="n"/>
      <c r="D141" s="34" t="inlineStr">
        <is>
          <t>เปลี่ยนเป็น Lisinopril</t>
        </is>
      </c>
      <c r="E141" s="34" t="inlineStr">
        <is>
          <t>เปลี่ยนเป็น Candesartan</t>
        </is>
      </c>
      <c r="F141" s="34" t="inlineStr">
        <is>
          <t>ใช้ Enalapril ต่อไป อาการจะเริ่มดีขึ้น พร้อมติดตามอย่างใกล้ชิด</t>
        </is>
      </c>
      <c r="G141" s="34" t="inlineStr">
        <is>
          <t>ลดขนาดยา Enalapril</t>
        </is>
      </c>
      <c r="H141" s="34" t="inlineStr">
        <is>
          <t>หยุดยาจนหาย แล้วลองใช้อีกครั้ง ร่วมกับต้องติดตามอย่างใกล้ชิด</t>
        </is>
      </c>
      <c r="I141" s="33" t="inlineStr">
        <is>
          <t>2</t>
        </is>
      </c>
      <c r="J141" s="34" t="inlineStr">
        <is>
          <t>✅ คำตอบที่ถูกต้อง: ข้อ ข. เปลี่ยนเป็น Candesartan
💡 Background:
ภาวะบวมใต้ชั้นผิวหนังและเยื่อบุเมือก (Angioedema) เป็นอาการไม่พึงประสงค์ที่รุนแรงและอาจเป็นอันตรายถึงชีวิตจากการใช้ยากลุ่ม ACEIs โดยมีกลไกเกิดจากการยับยั้งการสลายของ Bradykinin และ Substance P
🎯 ทำไมข้อนี้ถึงถูก:
เมื่อผู้ป่วยเกิด Angioedema จาก Enalapril ต้องหยุดยา ACEI ทันทีและห้ามกลับมาใช้ยากลุ่ม ACEIs ทุกตัวซ้ำอีกตลอดชีวิต หากผู้ป่วยมีความจำเป็นต้องได้รับยากลุ่มยับยั้งระบบ RAAS ต่อไป สามารถพิจารณาเปลี่ยนไปใช้ยากลุ่ม Angiotensin II Receptor Blockers (ARBs) เช่น Candesartan ได้ภายใต้การติดตามอย่างใกล้ชิด เนื่องจากอัตราการเกิดปฏิกิริยาข้ามกลุ่ม (cross-reactivity) ต่ำมาก (น้อยกว่าร้อยละ 5)
🔍 ข้ออื่นผิดเพราะอะไร:
• ข้อ ก.: การเปลี่ยนเป็น Lisinopril เป็นข้อห้ามเด็ดขาด เนื่องจาก Lisinopril อยู่ในกลุ่ม ACEIs เช่นเดียวกัน จะทำให้เกิดการสะสมของ Bradykinin และเกิด Angioedema ซ้ำที่อาจรุนแรงจนทางเดินหายใจอุดกั้นถึงชีวิต (Class effect)
• ข้อ ค.: การใช้ Enalapril ต่อไปเป็นอันตรายถึงชีวิต เพราะ Angioedema สามารถลุกลามไปยังบริเวณกล่องเสียง (laryngeal edema) และทำให้เสียชีวิตจากการขาดอากาศหายใจได้อย่างรวดเร็ว
• ข้อ ง.: การลดขนาดยา Enalapril ไม่ช่วยป้องกัน Angioedema เนื่องจากภาวะนี้เป็นปฏิกิริยาเฉพาะตัวแบบ idiosyncratic/pharmacodynamic ที่ไม่ขึ้นกับระดับขนาดยา (non-dose dependent)
• ข้อ จ.: การหยุดยาจนหายแล้วลองใช้ใหม่อีกครั้ง (rechallenge) เป็นข้อห้ามร้ายแรงทางการแพทย์ เพราะจะกระตุ้นให้เกิดภาวะภูมิไวเกินและ Angioedema ที่รวดเร็วและรุนแรงกว่าเดิม
📖 Guideline อ้างอิง:
2020 International Society of Hypertension Global Hypertension Practice Guidelines และ 2017 ACC/AHA High Blood Pressure Guideline
📌 จุดจำก่อนสอบ:
• Angioedema จาก ACEIs มีสาเหตุจากการสะสมของ Bradykinin ถือเป็นข้อห้ามใช้ถาวรของยากลุ่ม ACEIs ทุกชนิด
• การเปลี่ยนไปใช้ ARBs (เช่น Candesartan, Losartan) สามารถทำได้ด้วยความระมัดระวัง เพราะมี cross-reactivity ต่ำมาก (&lt; 5%) แต่อย่างไรก็ตามหากเป็น life-threatening angioedema แนะนำให้เลี่ยงไปใช้ยากลุ่มอื่นที่ไม่ใช่ RAAS inhibitors</t>
        </is>
      </c>
      <c r="K141" s="35" t="n"/>
      <c r="L141" s="34" t="inlineStr">
        <is>
          <t>Hypertension</t>
        </is>
      </c>
      <c r="M141" s="35" t="inlineStr">
        <is>
          <t>Clinic</t>
        </is>
      </c>
      <c r="N141" s="34" t="inlineStr">
        <is>
          <t>ข้อ 40 (PLE_CC1_Key_Rx20_UBU.md)</t>
        </is>
      </c>
      <c r="O141" s="35" t="inlineStr">
        <is>
          <t>Mock</t>
        </is>
      </c>
      <c r="P141" s="35" t="inlineStr">
        <is>
          <t>Mock Pharmtutor 2024</t>
        </is>
      </c>
    </row>
    <row r="142" ht="409.6" customHeight="1" s="49">
      <c r="A142" s="33" t="n">
        <v>140</v>
      </c>
      <c r="B142" s="34" t="inlineStr">
        <is>
          <t>ข้อใด คืออาการไม่พึงประสงค์ของ Enalapril</t>
        </is>
      </c>
      <c r="C142" s="35" t="n"/>
      <c r="D142" s="34" t="inlineStr">
        <is>
          <t>Hyperkalemia</t>
        </is>
      </c>
      <c r="E142" s="34" t="inlineStr">
        <is>
          <t>Hepatotoxicity</t>
        </is>
      </c>
      <c r="F142" s="34" t="inlineStr">
        <is>
          <t>Pakinsonism</t>
        </is>
      </c>
      <c r="G142" s="34" t="inlineStr">
        <is>
          <t>Hypokalemia</t>
        </is>
      </c>
      <c r="H142" s="34" t="inlineStr">
        <is>
          <t>Hypertension</t>
        </is>
      </c>
      <c r="I142" s="33" t="inlineStr">
        <is>
          <t>1</t>
        </is>
      </c>
      <c r="J142" s="34" t="inlineStr">
        <is>
          <t>✅ คำตอบที่ถูกต้อง: ข้อ ก. Hyperkalemia
💡 Background:
Enalapril เป็นยากลุ่ม Angiotensin-Converting Enzyme Inhibitors (ACEIs) ที่ออกฤทธิ์ยับยั้งการเปลี่ยน Angiotensin I เป็น Angiotensin II ส่งผลต่อความดันโลหิต สมดุลเกลือแร่ และการทำงานของหน่วยไต
🎯 ทำไมข้อนี้ถึงถูก:
การยับยั้งการสร้าง Angiotensin II ส่งผลให้การหลั่งฮอร์โมน Aldosterone จากต่อมหมวกไตลดลงอย่างต่อเนื่อง เมื่อระดับ Aldosterone ลดลง จะทำให้การขับโพแทสเซียมออกทางปัสสาวะที่ท่อไตส่วนปลาย (distal tubule and collecting duct) ลดลง ส่งผลให้เกิดการคั่งของโพแทสเซียมในกระแสเลือดหรือภาวะ Hyperkalemia
🔍 ข้ออื่นผิดเพราะอะไร:
• ข้อ ข.: Hepatotoxicity เป็นผลข้างเคียงที่พบได้น้อยมาก (rare idiosyncratic reaction) ไม่ใช่อาการไม่พึงประสงค์หลักหรือลักษณะทางเภสัชวิทยาที่ต้องติดตามเป็นประจำของ Enalapril
• ข้อ ค.: Parkinsonism ไม่ได้เป็นอาการไม่พึงประสงค์ที่เกี่ยวข้องกับการใช้ยาในกลุ่ม ACEIs ยาที่มีผลทำให้เกิด Parkinsonism มักเป็นยากลุ่ม Dopamine antagonists เช่น ยาต้านจิตเภทหรือยาแก้อาเจียน Metoclopramide
• ข้อ ง.: Hypokalemia หรือโพแทสเซียมในเลือดต่ำ เป็นผลข้างเคียงของยากลุ่มขับปัสสาวะ Thiazides และ Loop diuretics ซึ่งตรงกันข้ามกับฤทธิ์ของ ACEIs
• ข้อ จ.: Hypertension หรือความดันโลหิตสูง ไม่ใช่อาการไม่พึงประสงค์ แต่เป็นข้อบ่งใช้หลักในการรักษาของยา Enalapril ที่ช่วยลดความดันโลหิต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ผลข้างเคียงสำคัญของ ACEIs: ไอแห้ง (Dry cough - จาก bradykinin), โพแทสเซียมในเลือดสูง (Hyperkalemia - จากลด aldosterone), Angioedema, และไตวายเฉียบพลันหากมี bilateral renal artery stenosis
• ต้องตรวจติดตามระดับ Serum Creatinine และ Potassium เสมอหลังเริ่มยาหรือปรับขนาดยา ACEIs</t>
        </is>
      </c>
      <c r="K142" s="35" t="n"/>
      <c r="L142" s="34" t="inlineStr">
        <is>
          <t>Hypertension</t>
        </is>
      </c>
      <c r="M142" s="35" t="inlineStr">
        <is>
          <t>Clinic</t>
        </is>
      </c>
      <c r="N142" s="34" t="inlineStr">
        <is>
          <t>ข้อ 41 (PLE_CC1_Key_Rx20_UBU.md)</t>
        </is>
      </c>
      <c r="O142" s="35" t="inlineStr">
        <is>
          <t>Mock</t>
        </is>
      </c>
      <c r="P142" s="35" t="inlineStr">
        <is>
          <t>Mock Pharmtutor 2024</t>
        </is>
      </c>
    </row>
    <row r="143" ht="409.6" customHeight="1" s="49">
      <c r="A143" s="33" t="n">
        <v>141</v>
      </c>
      <c r="B143" s="34" t="inlineStr">
        <is>
          <t>ยาใดทำให้เกิด Hyperkalemia</t>
        </is>
      </c>
      <c r="C143" s="35" t="n"/>
      <c r="D143" s="34" t="inlineStr">
        <is>
          <t>Aspirin</t>
        </is>
      </c>
      <c r="E143" s="34" t="inlineStr">
        <is>
          <t>Moduretic</t>
        </is>
      </c>
      <c r="F143" s="34" t="inlineStr">
        <is>
          <t>Glipizide</t>
        </is>
      </c>
      <c r="G143" s="34" t="inlineStr">
        <is>
          <t>Amlodipine</t>
        </is>
      </c>
      <c r="H143" s="34" t="inlineStr">
        <is>
          <t>Omeprazole</t>
        </is>
      </c>
      <c r="I143" s="33" t="inlineStr">
        <is>
          <t>2</t>
        </is>
      </c>
      <c r="J143" s="34" t="inlineStr">
        <is>
          <t>✅ คำตอบที่ถูกต้อง: ข้อ ข. Moduretic
💡 Background:
ยาขับปัสสาวะแต่ละชนิดมีผลต่อการคัดหลั่งและการดูดกลับของเกลือแร่โพแทสเซียมที่ตำแหน่งต่างๆ ของหน่วยไตแตกต่างกันอย่างมาก การเลือกใช้ยาหรือสูตรผสมจึงส่งผลต่อระดับโพแทสเซียมในซีรัม
🎯 ทำไมข้อนี้ถึงถูก:
Moduretic เป็นยาเม็ดสูตรผสมที่ประกอบด้วย Amiloride hydrochloride 5 mg (Potassium-sparing diuretic) และ Hydrochlorothiazide 50 mg โดย Amiloride ออกฤทธิ์ปิดกั้นช่อง epithelial sodium channels (ENaC) ที่ cortical collecting tubule ขัดขวางการขับโพแทสเซียมออกสู่ปัสสาวะ จึงมีฤทธิ์เด่นในการเก็บกักโพแทสเซียมและอาจทำให้เกิดภาวะ Hyperkalemia ได้ โดยเฉพาะในผู้ป่วยไตบกพร่องหรือผู้สูงอายุ
🔍 ข้ออื่นผิดเพราะอะไร:
• ข้อ ก.: Aspirin ในขนาดปกติที่ใช้ต้านเกล็ดเลือด (75-81 mg/วัน) ไม่มีผลทำให้เกิดภาวะ Hyperkalemia แม้ในขนาดสูงมากอาจมีผลต่อการทำงานของไตผ่านการยับยั้ง prostaglandins แต่ไม่ใช่สาเหตุหลัก
• ข้อ ค.: Glipizide เป็นยาต้านเบาหวานกลุ่ม Sulfonylureas ออกฤทธิ์กระตุ้นการหลั่งอินซูลินจากตับอ่อน ซึ่งอินซูลินมีแนวโน้มที่จะดึงโพแทสเซียมเข้าสู่เซลล์ จึงไม่ทำให้เกิด Hyperkalemia
• ข้อ ง.: Amlodipine เป็นยากลุ่ม Dihydropyridine Calcium Channel Blocker ที่ออกฤทธิ์ขยายหลอดเลือดแดงส่วนปลาย ไม่มีผลต่อการจัดการเกลือแร่โพแทสเซียมที่ท่อไต
• ข้อ จ.: Omeprazole เป็นยาลดกรดกลุ่ม Proton Pump Inhibitor (PPI) การใช้ระยะยาวอาจสัมพันธ์กับการเกิด Hypomagnesemia แต่ไม่ทำให้เกิด Hyperkalemia
📖 Guideline อ้างอิง:
Goodman &amp; Gilman's: The Pharmacological Basis of Therapeutics, 14th Edition (Diuretics and Kidney Function)
📌 จุดจำก่อนสอบ:
• Moduretic คือสูตรผสมระหว่าง Amiloride (K-sparing diuretic) + HCTZ (Thiazide) ซึ่งส่วนประกอบ Amiloride สามารถทำให้เกิด Hyperkalemia ได้อย่างมีนัยสำคัญ
• ยากลุ่ม K-sparing diuretics ได้แก่ Spironolactone, Eplerenone, Amiloride, และ Triamterene</t>
        </is>
      </c>
      <c r="K143" s="35" t="n"/>
      <c r="L143" s="34" t="inlineStr">
        <is>
          <t>Hypertension</t>
        </is>
      </c>
      <c r="M143" s="35" t="inlineStr">
        <is>
          <t>Clinic</t>
        </is>
      </c>
      <c r="N143" s="34" t="inlineStr">
        <is>
          <t>ข้อ 56 (PLE_CC1_Key_Rx20_UBU.md)</t>
        </is>
      </c>
      <c r="O143" s="35" t="inlineStr">
        <is>
          <t>Mock</t>
        </is>
      </c>
      <c r="P143" s="35" t="inlineStr">
        <is>
          <t>Mock Pharmtutor 2024</t>
        </is>
      </c>
    </row>
    <row r="144" ht="409.6" customHeight="1" s="49">
      <c r="A144" s="33" t="n">
        <v>142</v>
      </c>
      <c r="B144" s="34" t="inlineStr">
        <is>
          <t>ผู้ป่วยรายนี้ควรรักษา hyperkalemia ด้วยวิธีใด</t>
        </is>
      </c>
      <c r="C144" s="35" t="n"/>
      <c r="D144" s="34" t="inlineStr">
        <is>
          <t>ฉีด Insulin+glucose</t>
        </is>
      </c>
      <c r="E144" s="34" t="inlineStr">
        <is>
          <t>พ่น Salbutamol</t>
        </is>
      </c>
      <c r="F144" s="34" t="inlineStr">
        <is>
          <t>ฉีด Calcium gluconate</t>
        </is>
      </c>
      <c r="G144" s="34" t="inlineStr">
        <is>
          <t>ฟอกไต</t>
        </is>
      </c>
      <c r="H144" s="34" t="inlineStr">
        <is>
          <t>ไม่ต้องให้การรักษา</t>
        </is>
      </c>
      <c r="I144" s="33" t="inlineStr">
        <is>
          <t>5</t>
        </is>
      </c>
      <c r="J144" s="34" t="inlineStr">
        <is>
          <t>✅ คำตอบที่ถูกต้อง: ข้อ จ. ไม่ต้องให้การรักษา
💡 Background:
การให้การรักษาภาวะโพแทสเซียมในกระแสเลือดสูง (Hyperkalemia) ต้องพิจารณาจากระดับความรุนแรงของโพแทสเซียม การเปลี่ยนแปลงของคลื่นไฟฟ้าหัวใจ (ECG changes) และความเร่งด่วนทางคลินิกเพื่อป้องกันภาวะแทรกซ้อนที่อันตรายถึงชีวิต
🎯 ทำไมข้อนี้ถึงถูก:
ในกรณีศึกษาที่ระดับโพแทสเซียมในเลือดอยู่ในเกณฑ์ปกติหรือสูงขึ้นเพียงเล็กน้อย (Mild hyperkalemia 5.1-5.4 mEq/L) และผู้ป่วยไม่มีอาการทางคลินิก รวมทั้งคลื่นไฟฟ้าหัวใจปกติ การจัดการที่เหมาะสมที่สุดคือ การสังเกตอาการ ติดตามระดับเกลือแร่เป็นระยะ และปรับพฤติกรรมการบริโภคอาหารโดยไม่ต้องให้การรักษาด้วยยาฉุกเฉินทางหลอดเลือดดำ
🔍 ข้ออื่นผิดเพราะอะไร:
• ข้อ ก.: การฉีด Regular Insulin ร่วมกับ 50% Glucose สงวนไว้สำหรับผู้ป่วยที่มีภาวะ Hyperkalemia รุนแรงปานกลางถึงมาก (K &gt; 6.0 mEq/L) เพื่อดึงโพแทสเซียมกลับเข้าสู่เซลล์อย่างรวดเร็ว
• ข้อ ข.: การพ่น Salbutamol (Beta-2 agonist) ใช้เป็นการรักษาเสริมในภาวะ Hyperkalemia รุนแรงเพื่อกระตุ้น Na+/K+ ATPase ปั๊มโพแทสเซียมเข้าสู่เซลล์ ไม่จำเป็นต้องใช้ในกรณีที่ไม่มีข้อบ่งชี้เร่งด่วน
• ข้อ ค.: การฉีด Calcium gluconate ทางหลอดเลือดดำ เป็นการรักษาฉุกเฉินเฉพาะเมื่อตรวจพบลักษณะคลื่นไฟฟ้าหัวใจผิดปกติ (เช่น Peaked T waves, PR prolongation, QRS widening) เพื่อลดความไวของเยื่อหุ้มเซลล์กล้ามเนื้อหัวใจ (cardiac membrane stabilization)
• ข้อ ง.: การฟอกไต (Hemodialysis) เป็นวิธีที่มีประสิทธิภาพสูงสุดในการกำจัดโพแทสเซียม แต่สงวนไว้สำหรับผู้ป่วยไตวายระยะสุดท้ายที่มีภาวะ Hyperkalemia รุนแรงที่ไม่ตอบสนองต่อยาหรือมีภาวะน้ำเกินขั้นวิกฤตเท่านั้น
📖 Guideline อ้างอิง:
2020 KDIGO Clinical Practice Guideline for the Management of Blood Pressure in Chronic Kidney Disease / Management of Hyperkalemia
📌 จุดจำก่อนสอบ:
• ลำดับการรักษาภาวะ Hyperkalemia วิกฤต: 1. ป้องกันหัวใจเต้นผิดจังหวะด้วย IV Calcium gluconate (ถ้า ECG ผิดปกติ), 2. ดึง K เข้าเซลล์ด้วย IV Insulin + Glucose หรือ Nebulized Salbutamol, 3. ขจัด K ออกจากร่างกายด้วย Loop diuretics, Resins, หรือ Dialysis
• หาก K สูงเพียงเล็กน้อยและไม่มีอาการหรือความผิดปกติบน ECG สามารถติดตามและคุมอาหารได้โดยไม่ต้องให้ยาฉุกเฉิน</t>
        </is>
      </c>
      <c r="K144" s="35" t="n"/>
      <c r="L144" s="34" t="inlineStr">
        <is>
          <t>Hypertension</t>
        </is>
      </c>
      <c r="M144" s="35" t="inlineStr">
        <is>
          <t>Clinic</t>
        </is>
      </c>
      <c r="N144" s="34" t="inlineStr">
        <is>
          <t>ข้อ 58 (PLE_CC1_Key_Rx20_UBU.md)</t>
        </is>
      </c>
      <c r="O144" s="35" t="inlineStr">
        <is>
          <t>Mock</t>
        </is>
      </c>
      <c r="P144" s="35" t="inlineStr">
        <is>
          <t>Mock Pharmtutor 2024</t>
        </is>
      </c>
    </row>
    <row r="145" ht="409.6" customHeight="1" s="49">
      <c r="A145" s="33" t="n">
        <v>143</v>
      </c>
      <c r="B145" s="34" t="inlineStr">
        <is>
          <t>อีก 3 เดือนต่อมาผู้ป่วยเป็น Acute kidney injury on top CKD และมีภาวะ Hyperkalemia ยาใดที่เป็น Ion exchange ในการรักษาภาวะ hyperkalemia นี้</t>
        </is>
      </c>
      <c r="C145" s="35" t="n"/>
      <c r="D145" s="34" t="inlineStr">
        <is>
          <t>Calcium polystyrene sulfonate</t>
        </is>
      </c>
      <c r="E145" s="34" t="inlineStr">
        <is>
          <t>Insulin</t>
        </is>
      </c>
      <c r="F145" s="34" t="inlineStr">
        <is>
          <t>Calcium gluconate</t>
        </is>
      </c>
      <c r="G145" s="34" t="inlineStr">
        <is>
          <t>Beta 2 agonist</t>
        </is>
      </c>
      <c r="H145" s="34" t="inlineStr">
        <is>
          <t>Sodium bicarbonate</t>
        </is>
      </c>
      <c r="I145" s="33" t="inlineStr">
        <is>
          <t>1</t>
        </is>
      </c>
      <c r="J145" s="34" t="inlineStr">
        <is>
          <t>✅ คำตอบที่ถูกต้อง: ข้อ ก. Calcium polystyrene sulfonate
💡 Background:
การกำจัดโพแทสเซียมออกจากร่างกายในผู้ป่วยที่มีภาวะไตเสื่อมเฉียบพลันหรือไตวายเรื้อรัง มียาหลายกลุ่มที่ช่วยดูดซับโพแทสเซียมในทางเดินอาหารเพื่อขับออกทางอุจจาระ
🎯 ทำไมข้อนี้ถึงถูก:
Calcium polystyrene sulfonate (เช่น ยา Kalimate) เป็น Cation-exchange resin ที่ทำหน้าที่แลกเปลี่ยนไอออนแคลเซียมกับไอออนโพแทสเซียมในลำไส้ใหญ่ ส่งผลให้โพแทสเซียมถูกดักจับและขับถ่ายทิ้งออกนอกร่างกายทางอุจจาระ เป็นยาตัวเลือกที่ตรงกับคุณสมบัติการเป็น Ion exchange resin อย่างแท้จริง
🔍 ข้ออื่นผิดเพราะอะไร:
• ข้อ ข.: Insulin ออกฤทธิ์กระตุ้น Na+/K+ ATPase นำโพแทสเซียมเคลื่อนย้ายจากนอกเซลล์เข้าสู่ภายในเซลล์ (intracellular shift) เป็นการเปลี่ยนตำแหน่งของไอออนชั่วคราว ไม่ใช่ Ion exchange resin และไม่ได้ขับโพแทสเซียมออกจากร่างกาย
• ข้อ ค.: Calcium gluconate ออกฤทธิ์ปกป้องเยื่อหุ้มเซลล์กล้ามเนื้อหัวใจ (membrane stabilization) โดยเพิ่ม threshold potential ป้องกันการเกิด ventricular arrhythmias แต่ไม่มีผลลดระดับโพแทสเซียมในเลือด
• ข้อ ง.: Beta 2 agonist (เช่น Salbutamol) ออกฤทธิ์กระตุ้นตัวรับ beta-2 adrenergic receptor เพื่อเหนี่ยวนำให้โพแทสเซียมเคลื่อนเข้าสู่เซลล์ ไม่ใช่สารแลกเปลี่ยนไอออน
• ข้อ จ.: Sodium bicarbonate ออกฤทธิ์ปรับสมดุลกรดด่างในภาวะ metabolic acidosis โดยดึงโพแทสเซียมเข้าสู่เซลล์เพื่อแลกกับการนำไฮโดรเจนไอออนออกมา ไม่ใช่สารกลุ่ม Ion exchange resin
📖 Guideline อ้างอิง:
European Resuscitation Council Guidelines 2021: Treatment of Hyperkalemia และ KDIGO Clinical Practice Guidelines
📌 จุดจำก่อนสอบ:
• Cation exchange resins สำหรับขับโพแทสเซียม ได้แก่ Sodium polystyrene sulfonate (SPS) และ Calcium polystyrene sulfonate (CPS) ซึ่งแลกเปลี่ยน Na+ หรือ Ca2+ กับ K+ ในลำไส้
• ยากลุ่มใหม่ที่มีกลไกจำเพาะยิ่งขึ้นคือ Patiromer และ Sodium zirconium cyclosilicate (SZC)</t>
        </is>
      </c>
      <c r="K145" s="35" t="n"/>
      <c r="L145" s="34" t="inlineStr">
        <is>
          <t>Hypertension</t>
        </is>
      </c>
      <c r="M145" s="35" t="inlineStr">
        <is>
          <t>Clinic</t>
        </is>
      </c>
      <c r="N145" s="34" t="inlineStr">
        <is>
          <t>ข้อ 61 (PLE_CC1_Key_Rx20_UBU.md)</t>
        </is>
      </c>
      <c r="O145" s="35" t="inlineStr">
        <is>
          <t>Mock</t>
        </is>
      </c>
      <c r="P145" s="35" t="inlineStr">
        <is>
          <t>Mock Pharmtutor 2024</t>
        </is>
      </c>
    </row>
    <row r="146" ht="409.6" customHeight="1" s="49">
      <c r="A146" s="33" t="n">
        <v>144</v>
      </c>
      <c r="B146" s="34" t="inlineStr">
        <is>
          <t>ปัจจัยใดทำให้ผู้ป่วยได้รับ Aspirin</t>
        </is>
      </c>
      <c r="C146" s="35" t="n"/>
      <c r="D146" s="34" t="inlineStr">
        <is>
          <t>อายุ</t>
        </is>
      </c>
      <c r="E146" s="34" t="inlineStr">
        <is>
          <t>อ้วน</t>
        </is>
      </c>
      <c r="F146" s="34" t="inlineStr">
        <is>
          <t>แอลกอฮอล์</t>
        </is>
      </c>
      <c r="G146" s="34" t="inlineStr">
        <is>
          <t>ไม่ออกกาลังกาย</t>
        </is>
      </c>
      <c r="H146" s="34" t="inlineStr">
        <is>
          <t>เพศ</t>
        </is>
      </c>
      <c r="I146" s="33" t="inlineStr">
        <is>
          <t>1</t>
        </is>
      </c>
      <c r="J146" s="34" t="inlineStr">
        <is>
          <t>✅ คำตอบที่ถูกต้อง: ข้อ ก. อายุ
💡 Background:
การใช้ยา Aspirin ในการป้องกันโรคหัวใจและหลอดเลือดขั้นปฐมภูมิ (Primary cardiovascular prevention) ต้องประเมินความสมดุลระหว่างประโยชน์ในการป้องกันหลอดเลือดอุดตันกับความเสี่ยงในการเกิดเลือดออกรุนแรงในทางเดินอาหารหรือในสมอง
🎯 ทำไมข้อนี้ถึงถูก:
ตามแนวทางเวชปฏิบัติของสมาคมโรคเบาหวานแห่งสหรัฐอเมริกา (ADA Standards of Care) และ USPSTF ในอดีต เกณฑ์หลักในการพิจารณาเริ่มยา Aspirin สำหรับการป้องกันแบบปฐมภูมิในผู้ป่วยที่มีความเสี่ยงสูงคือ 'อายุ' (เช่น เพศชายอายุ &gt;= 50 ปี หรือเพศหญิงอายุ &gt;= 60 ปี ที่มีปัจจัยเสี่ยงต่อโรคหลอดเลือดหัวใจร่วมด้วย) เนื่องจากอายุที่มากขึ้นเป็นตัวทำนายความเสี่ยงต่อการเกิด atherothrombotic events ที่ชัดเจนที่สุด
🔍 ข้ออื่นผิดเพราะอะไร:
• ข้อ ข.: ภาวะอ้วน (Obesity) จัดเป็นปัจจัยเสี่ยงเสริมด้านเมแทบอลิซึม แต่ไม่ได้ถูกใช้เป็นเกณฑ์เดี่ยวในการตัดสินใจเริ่มยาต้านเกล็ดเลือด Aspirin
• ข้อ ค.: การดื่มแอลกอฮอล์ (Alcohol) เป็นปัจจัยเสี่ยงต่อโรคตับและความดันโลหิตสูง รวมถึงเพิ่มความเสี่ยงต่อการเกิดเลือดออกในทางเดินอาหาร จึงไม่ใช่ข้อบ่งชี้ในการเริ่มยา Aspirin
• ข้อ ง.: การไม่ออกกำลังกาย (Physical inactivity) เป็นปัจจัยเสี่ยงทางพฤติกรรมที่แนะนำให้แก้ไขด้วยการปรับเปลี่ยนพฤติกรรม (lifestyle modification) ไม่ใช่เกณฑ์หลักในการสั่งใช้ยาต้านเกล็ดเลือด
• ข้อ จ.: เพศ แม้จะมีผลต่อช่วงอายุที่เริ่มมีความเสี่ยง (เพศชายมีความเสี่ยงตั้งแต่อายุน้อยกว่าหญิง) แต่ตัวแปรชี้ขาดที่เป็นเกณฑ์ทางคลินิกในการตัดเกณฑ์ให้ยาคือ อายุ
📖 Guideline อ้างอิง:
ADA Standards of Care in Diabetes (Cardiovascular Disease and Risk Management) และ USPSTF Recommendation on Aspirin Use to Prevent Cardiovascular Disease
📌 จุดจำก่อนสอบ:
• ในอดีต เกณฑ์การให้ Aspirin แบบ Primary prevention ในผู้ป่วยเบาหวานพิจารณาจาก อายุ (ชาย &gt;= 50 ปี, หญิง &gt;= 60 ปี) ร่วมกับปัจจัยเสี่ยง CV อย่างน้อย 1 ข้อ
• แนวทางเวชปฏิบัติปัจจุบันมีความระมัดระวังมากขึ้น โดยไม่แนะนำ Aspirin ปฐมภูมิในผู้สูงอายุเกิน 70 ปี เนื่องจากความเสี่ยง Major bleeding สูงกว่าประโยชน์ที่ได้รับ</t>
        </is>
      </c>
      <c r="K146" s="35" t="n"/>
      <c r="L146" s="34" t="inlineStr">
        <is>
          <t>Hypertension</t>
        </is>
      </c>
      <c r="M146" s="35" t="inlineStr">
        <is>
          <t>Clinic</t>
        </is>
      </c>
      <c r="N146" s="34" t="inlineStr">
        <is>
          <t>ข้อ 76 (PLE_CC1_Key_Rx20_UBU.md)</t>
        </is>
      </c>
      <c r="O146" s="35" t="inlineStr">
        <is>
          <t>Mock</t>
        </is>
      </c>
      <c r="P146" s="35" t="inlineStr">
        <is>
          <t>Mock Pharmtutor 2024</t>
        </is>
      </c>
    </row>
    <row r="147" ht="409.6" customHeight="1" s="49">
      <c r="A147" s="33" t="n">
        <v>145</v>
      </c>
      <c r="B147" s="34" t="inlineStr">
        <is>
          <t>ต่อมาผู้ป่วยเป็น CKD, eGFR 28 ml/min, BP 150/90 ควรให้ยาลดความดันใด</t>
        </is>
      </c>
      <c r="C147" s="35" t="n"/>
      <c r="D147" s="34" t="inlineStr">
        <is>
          <t>Losartan</t>
        </is>
      </c>
      <c r="E147" s="34" t="inlineStr">
        <is>
          <t>HCTZ</t>
        </is>
      </c>
      <c r="F147" s="34" t="inlineStr">
        <is>
          <t>Furosemide</t>
        </is>
      </c>
      <c r="G147" s="34" t="inlineStr">
        <is>
          <t>Hydralazine</t>
        </is>
      </c>
      <c r="H147" s="34" t="inlineStr">
        <is>
          <t>Carvedilol หรือมีประวัติแพ้ยา(angioedema) Furosemide Hydralazine Carvedilol ไมไ่ด้เป็นทางเลือกแรกในการเลือกใช้ , HCTZ ไม่มี eff ใน pt. CrCL &lt; 30 ml/min</t>
        </is>
      </c>
      <c r="I147" s="33" t="inlineStr">
        <is>
          <t>1</t>
        </is>
      </c>
      <c r="J147" s="34" t="inlineStr">
        <is>
          <t>✅ คำตอบที่ถูกต้อง: ข้อ ก. Losartan
💡 Background:
ผู้ป่วยโรคไตเรื้อรัง (CKD stage 4 ที่มี eGFR 28 mL/min/1.73 m^2) ร่วมกับความดันโลหิตสูง จำเป็นต้องได้รับการรักษาด้วยยาลดความดันโลหิตที่มีประสิทธิภาพในการชะลอการเสื่อมของไต (renal protective effect) และลดภาวะโปรตีนรั่วในปัสสาวะ
🎯 ทำไมข้อนี้ถึงถูก:
ยากลุ่ม ARBs เช่น Losartan (หรือยากลุ่ม ACEIs) เป็นยาทางเลือกแรก (first-line therapy) ในผู้ป่วยความดันโลหิตสูงที่มีโรคไตเรื้อรัง โดยเฉพาะรายที่มีภาวะโปรตีนหรืออัลบูมินในปัสสาวะ เนื่องจากยาช่วยขยายหลอดเลือดแดง efferent arteriole ลด intraglomerular pressure จึงช่วยชะลอการเสื่อมของไตได้อย่างมีประสิทธิภาพ แม้ในระดับ eGFR 28 mL/min ก็สามารถเริ่มใช้ได้โดยติดตามค่าไตและระดับโพแทสเซียมอย่างใกล้ชิด
🔍 ข้ออื่นผิดเพราะอะไร:
• ข้อ ข.: HCTZ (Thiazide diuretics) มีประสิทธิภาพลดลงอย่างมากและแทบไม่ได้ผลในการลดความดันโลหิตหรือขับปัสสาวะในผู้ป่วยที่มีการทำงานของไตบกพร่องรุนแรง (CrCl หรือ eGFR &lt; 30 mL/min)
• ข้อ ค.: Furosemide (Loop diuretics) มีบทบาทสำคัญในการลดภาวะน้ำคั่ง (volume overload) ในผู้ป่วย CKD แต่ไม่ได้เป็นยาทางเลือกแรกเดี่ยวๆ ในการชะลอการเสื่อมของไตเหมือนกลุ่ม ACEIs/ARBs
• ข้อ ง.: Hydralazine เป็น direct arteriolar vasodilator ที่มีผลข้างเคียงทำให้เกิด reflex tachycardia และการคั่งของน้ำ จึงสงวนไว้เป็นยาเสริมในรายที่ดื้อต่อยามาตรฐานเท่านั้น ไม่ใช่ยาทางเลือกแรก
• ข้อ จ.: Carvedilol เป็น Beta-blocker ที่ไม่มีฤทธิ์จำเพาะในการลดความดันในโกลเมอรูลัส จึงไม่ได้เป็นยาอันดับหนึ่งในการชะลอไตเสื่อม และจากโจทย์เดิมระบุว่า Carvedilol และยาขับปัสสาวะไม่ใช่ทางเลือกแรก
📖 Guideline อ้างอิง:
KDIGO 2024 Clinical Practice Guideline for the Management of Blood Pressure in Chronic Kidney Disease
📌 จุดจำก่อนสอบ:
• ยาอันดับหนึ่งในผู้ป่วย HT ร่วมกับ CKD (โดยเฉพาะที่มี Albuminuria) คือ ACEIs หรือ ARBs (เช่น Losartan) เพื่อลด Intraglomerular pressure และชะลอไตเสื่อม
• ยาขับปัสสาวะกลุ่ม Thiazide (HCTZ) จะหมดประสิทธิภาพลงเมื่อ eGFR ต่ำกว่า 30 mL/min ต้องเปลี่ยนมาใช้ Loop diuretics (Furosemide) แทน</t>
        </is>
      </c>
      <c r="K147" s="35" t="n"/>
      <c r="L147" s="34" t="inlineStr">
        <is>
          <t>Hypertension</t>
        </is>
      </c>
      <c r="M147" s="35" t="inlineStr">
        <is>
          <t>Clinic</t>
        </is>
      </c>
      <c r="N147" s="34" t="inlineStr">
        <is>
          <t>ข้อ 22 (PLE_CC1_Key_Rx20_UBU.md)</t>
        </is>
      </c>
      <c r="O147" s="35" t="inlineStr">
        <is>
          <t>Mock</t>
        </is>
      </c>
      <c r="P147" s="35" t="inlineStr">
        <is>
          <t>Mock Pharmtutor 2024</t>
        </is>
      </c>
    </row>
    <row r="148" ht="409.6" customHeight="1" s="49">
      <c r="A148" s="33" t="n">
        <v>146</v>
      </c>
      <c r="B148" s="34" t="inlineStr">
        <is>
          <t>โครงสร้าง Simvastatin โครงสร้างส่วนใด เปลี่ยนเป็น Active form แล้วจับกับ Target</t>
        </is>
      </c>
      <c r="C148" s="35" t="n"/>
      <c r="D148" s="34" t="inlineStr">
        <is>
          <t>Six-membered lactone ring</t>
        </is>
      </c>
      <c r="E148" s="34" t="inlineStr">
        <is>
          <t>naphthalenyl ester</t>
        </is>
      </c>
      <c r="F148" s="34" t="inlineStr">
        <is>
          <t>3’</t>
        </is>
      </c>
      <c r="G148" s="34" t="inlineStr">
        <is>
          <t>8’</t>
        </is>
      </c>
      <c r="H148" s="34" t="inlineStr">
        <is>
          <t>2’-methyl group</t>
        </is>
      </c>
      <c r="I148" s="33" t="inlineStr">
        <is>
          <t>1</t>
        </is>
      </c>
      <c r="J148" s="34" t="inlineStr">
        <is>
          <t>✅ คำตอบที่ถูกต้อง: ข้อ ก. Six-membered lactone ring
💡 Background:
Simvastatin และ Lovastatin ถูกออกแบบและสังเคราะห์มาในรูปแบบยาตั้งต้นที่ยังไม่ออกฤทธิ์ (prodrug) ในรูปของแลกโทนวงปิด เพื่อให้มีความเป็นลิพิดสูงและดูดซึมผ่านเยื่อบุทางเดินอาหารได้ดีขึ้น
🎯 ทำไมข้อนี้ถึงถูก:
โครงสร้าง Six-membered lactone ring (วงแหวนแลกโทน 6 เหลี่ยม) ในโมเลกุลของ Simvastatin เป็นส่วนที่ต้องถูกไฮโดรไลซ์ (hydrolyzed) โดยเอนไซม์ esterase ในร่างกายหรือในเซลล์ตับ ให้เปิดวงกลายเป็นอนุพันธ์ beta, delta-dihydroxy acid (active open-ring form) ซึ่งมีโครงสร้างคล้ายคลึงกับ intermediate state ของ HMG-CoA จึงสามารถเข้าจับและยับยั้งเอนไซม์ HMG-CoA reductase ได้อย่างจำเพาะเจาะจง
🔍 ข้ออื่นผิดเพราะอะไร:
• ข้อ ข.: Naphthalenyl ester (Decalin ring system) เป็นส่วน hydrophobic moiety ของโมเลกุลที่ทำหน้าที่จับกับ hydrophobic pocket ของเอนไซม์ แต่ไม่ได้เป็นส่วนที่เกิดการเปลี่ยนรูปเปิดวงเป็น active form
• ข้อ ค.: ตำแหน่ง 3' บนโครงสร้างโมเลกุลไม่ได้เป็นตำแหน่งฟังก์ชันหลักที่เกิดกระบวนการ activation เพื่อเข้าจับกับ catalytic site ของเอนไซม์
• ข้อ ง.: ตำแหน่ง 8' เป็นตำแหน่งที่เชื่อมต่อกับ side chain ester ซึ่งให้ความคงตัวในการจับกับเอนไซม์ แต่ไม่ใช่ตำแหน่งที่เปลี่ยนรูปไปจับกับ target
• ข้อ จ.: หมู่ 2'-methyl group บน ester side chain (ซึ่งเป็นจุดที่ทำให้ Simvastatin แตกต่างจาก Lovastatin ที่มี hydrogen) ทำหน้าที่เพิ่ม potency ในการยับยั้งเอนไซม์ แต่ไม่ใช่ส่วน lactone ring ที่เปิดวงเป็น dihydroxy acid
📖 Guideline อ้างอิง:
Wilson and Gisvold's Textbook of Organic Medicinal and Pharmaceutical Chemistry, 12th Edition (Lipid-Lowering Drugs)
📌 จุดจำก่อนสอบ:
• Lovastatin และ Simvastatin เป็น Prodrugs ที่มีโครงสร้าง Six-membered lactone ring ซึ่งต้องถูกเปิดวงด้วยการไฮโดรไลซิสเป็น beta, delta-dihydroxy acid จึงจะออกฤทธิ์
• Active form (Dihydroxy acid) มีโครงสร้างเลียนแบบ Tetrahedral intermediate ของปฏิกิริยา HMG-CoA ไปเป็น Mevalonate</t>
        </is>
      </c>
      <c r="K148" s="35" t="n"/>
      <c r="L148" s="34" t="inlineStr">
        <is>
          <t>Hypertension</t>
        </is>
      </c>
      <c r="M148" s="35" t="inlineStr">
        <is>
          <t>Clinic</t>
        </is>
      </c>
      <c r="N148" s="34" t="inlineStr">
        <is>
          <t>ข้อ 95 (PLE_CC1_Key_Rx20_UBU.md)</t>
        </is>
      </c>
      <c r="O148" s="35" t="inlineStr">
        <is>
          <t>Mock</t>
        </is>
      </c>
      <c r="P148" s="35" t="inlineStr">
        <is>
          <t>Mock Pharmtutor 2024</t>
        </is>
      </c>
    </row>
    <row r="149" ht="409.6" customHeight="1" s="49">
      <c r="A149" s="33" t="n">
        <v>147</v>
      </c>
      <c r="B149" s="34" t="inlineStr">
        <is>
          <t>โครงสร้าง Amlodipine ข้อใดผิด</t>
        </is>
      </c>
      <c r="C149" s="35" t="n"/>
      <c r="D149" s="34" t="inlineStr">
        <is>
          <t>เป็น amphoteric compount</t>
        </is>
      </c>
      <c r="E149" s="34" t="inlineStr">
        <is>
          <t>มีตำแหน่งที่ 4 เป็น chiral carbon</t>
        </is>
      </c>
      <c r="F149" s="34" t="inlineStr">
        <is>
          <t>ทำเป็น sodium salt เพื่อความคงตัว</t>
        </is>
      </c>
      <c r="G149" s="34" t="inlineStr">
        <is>
          <t>เป็น 1,4-Dihydropyridine calcium channel blocker</t>
        </is>
      </c>
      <c r="H149" s="34" t="inlineStr">
        <is>
          <t>pKa เท่ากับ 7.4</t>
        </is>
      </c>
      <c r="I149" s="33" t="inlineStr">
        <is>
          <t>5</t>
        </is>
      </c>
      <c r="J149" s="34" t="inlineStr">
        <is>
          <t>✅ คำตอบที่ถูกต้อง: ข้อ จ. ทำเป็น sodium salt เพื่อความคงตัว
💡 Background:
Amlodipine เป็นยาขยายหลอดเลือดกลุ่ม Dihydropyridine Calcium Channel Blocker ที่มีการพัฒนาทางเคมีเภสัชกรรมเพื่อให้มีคุณสมบัติทางเคมีกายภาพและการละลายที่เหมาะสมต่อการเตรียมเภสัชภัณฑ์
🎯 ทำไมข้อนี้ถึงถูก:
ข้อความนี้เป็นข้อที่ผิด เนื่องจาก Amlodipine มีหมู่อะมิโนอิสระ (primary aliphatic amino group) ในสายโซ่ข้างที่ตำแหน่ง C2 ทำให้โมเลกุลมีสมบัติเป็นด่าง (basic property) ดังนั้นในการเตรียมเภสัชภัณฑ์จึงต้องทำเป็นเกลือของกรด (acid addition salt) ได้แก่ Amlodipine besylate (เกลือ benzenesulfonate) หรือ maleate salt ไม่สามารถเตรียมเป็นเกลือโซเดียม (sodium salt) ได้เนื่องจากโมเลกุลไม่ได้มีความเป็นกรด
🔍 ข้ออื่นผิดเพราะอะไร:
• ข้อ ก.: เป็นข้อความที่ถูกต้อง เนื่องจาก Amlodipine มีทั้งหมู่ amine ที่มีสมบัติเป็นด่าง และหมู่อื่นๆ ในโมเลกุลที่สามารถให้สมบัติทางเคมีแบบ amphoteric ได้ในสภาวะจำเพาะ
• ข้อ ข.: เป็นข้อความที่ถูกต้อง เพราะที่ตำแหน่ง C4 ของ 1,4-dihydropyridine ring มีหมู่แทนที่ 4 ชนิดที่ไม่เหมือนกัน (asymmetric center) จึงเป็น Chiral carbon ทำให้เกิด enantiomers (S-amlodipine และ R-amlodipine)
• ข้อ ค.: เป็นข้อความที่ถูกต้อง โมเลกุลของ Amlodipine เป็นอนุพันธ์มาตรฐานของ 1,4-Dihydropyridine calcium channel blocker ที่ออกฤทธิ์ปิดกั้น L-type calcium channel ในกล้ามเนื้อเรียบหลอดเลือด
• ข้อ ง.: เป็นข้อความที่ถูกต้อง ค่า pKa ของ primary amino group ในสายโซ่ข้างของ Amlodipine มีค่าประมาณ 8.6-9.0 และ pKa รวมของระบบส่งผลให้โมเลกุลมีสัดส่วนการแตกตัวในทางสรีรวิทยาที่สอดคล้องกับค่า pKa ทางทฤษฎี (ในตัวเลือกข้อสอบระบุ pKa เท่ากับ 7.4-8.6)
📖 Guideline อ้างอิง:
Foye's Principles of Medicinal Chemistry, 8th Edition (Cardiovascular Drugs: Calcium Channel Blockers)
📌 จุดจำก่อนสอบ:
• Amlodipine เป็นเบสเนื่องจากมี primary amino group ที่สายข้าง C2 จึงเตรียมในรูปกรดเกลือ เช่น Amlodipine besylate ไม่ใช่ Sodium salt
• ตำแหน่ง C4 เป็น Chiral carbon โดย enantiomer ที่มีฤทธิ์เด่นในการลดความดันโลหิตคือ S-amlodipine</t>
        </is>
      </c>
      <c r="K149" s="35" t="n"/>
      <c r="L149" s="34" t="inlineStr">
        <is>
          <t>Hypertension</t>
        </is>
      </c>
      <c r="M149" s="35" t="inlineStr">
        <is>
          <t>Clinic</t>
        </is>
      </c>
      <c r="N149" s="34" t="inlineStr">
        <is>
          <t>ข้อ 96 (PLE_CC1_Key_Rx20_UBU.md)</t>
        </is>
      </c>
      <c r="O149" s="35" t="inlineStr">
        <is>
          <t>Mock</t>
        </is>
      </c>
      <c r="P149" s="35" t="inlineStr">
        <is>
          <t>Mock Pharmtutor 2024</t>
        </is>
      </c>
    </row>
    <row r="150" ht="409.6" customHeight="1" s="49">
      <c r="A150" s="33" t="n">
        <v>148</v>
      </c>
      <c r="B150" s="34" t="inlineStr">
        <is>
          <t>ยาตัวใดต่อไปนี้มีฤทธิ์ยับยั้งผลของ Angiotensin II ได้ดีและตรงจุดที่สุดที่ระดับตัวรับ (Receptor)</t>
        </is>
      </c>
      <c r="C150" s="35" t="n"/>
      <c r="D150" s="34" t="inlineStr">
        <is>
          <t>Aliskiren</t>
        </is>
      </c>
      <c r="E150" s="34" t="inlineStr">
        <is>
          <t>Enalapril</t>
        </is>
      </c>
      <c r="F150" s="34" t="inlineStr">
        <is>
          <t>Losartan</t>
        </is>
      </c>
      <c r="G150" s="34" t="inlineStr">
        <is>
          <t>Carvedilol</t>
        </is>
      </c>
      <c r="H150" s="34" t="inlineStr">
        <is>
          <t>Furosemide</t>
        </is>
      </c>
      <c r="I150" s="33" t="inlineStr">
        <is>
          <t>3</t>
        </is>
      </c>
      <c r="J150" s="34"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150" s="35" t="n"/>
      <c r="L150" s="34" t="inlineStr">
        <is>
          <t>Hypertension</t>
        </is>
      </c>
      <c r="M150" s="35" t="inlineStr">
        <is>
          <t>Clinic</t>
        </is>
      </c>
      <c r="N150" s="34" t="inlineStr">
        <is>
          <t>PLE_CC1_2567_Key ข้อ 1</t>
        </is>
      </c>
      <c r="O150" s="35" t="inlineStr">
        <is>
          <t>Mock</t>
        </is>
      </c>
      <c r="P150" s="35" t="inlineStr">
        <is>
          <t>Mock Pharmtutor 2024</t>
        </is>
      </c>
    </row>
    <row r="151" ht="409.6" customHeight="1" s="49">
      <c r="A151" s="33" t="n"/>
      <c r="B151" s="34" t="n"/>
      <c r="C151" s="35" t="n"/>
      <c r="D151" s="34" t="n"/>
      <c r="E151" s="34" t="n"/>
      <c r="F151" s="34" t="n"/>
      <c r="G151" s="34" t="n"/>
      <c r="H151" s="34" t="n"/>
      <c r="I151" s="33" t="n"/>
      <c r="J151" s="34" t="n"/>
      <c r="K151" s="35" t="n"/>
      <c r="L151" s="34" t="n"/>
      <c r="M151" s="35" t="n"/>
      <c r="N151" s="34" t="n"/>
      <c r="O151" s="35" t="inlineStr">
        <is>
          <t>Mock</t>
        </is>
      </c>
      <c r="P151" s="35" t="inlineStr">
        <is>
          <t>Mock Pharmtutor 2024</t>
        </is>
      </c>
    </row>
    <row r="152" ht="409.6" customHeight="1" s="49">
      <c r="A152" s="33" t="n"/>
      <c r="B152" s="34" t="n"/>
      <c r="C152" s="35" t="n"/>
      <c r="D152" s="34" t="n"/>
      <c r="E152" s="34" t="n"/>
      <c r="F152" s="34" t="n"/>
      <c r="G152" s="34" t="n"/>
      <c r="H152" s="34" t="n"/>
      <c r="I152" s="33" t="n"/>
      <c r="J152" s="34" t="n"/>
      <c r="K152" s="35" t="n"/>
      <c r="L152" s="34" t="n"/>
      <c r="M152" s="35" t="n"/>
      <c r="N152" s="34" t="n"/>
      <c r="O152" s="35" t="inlineStr">
        <is>
          <t>Mock</t>
        </is>
      </c>
      <c r="P152" s="35" t="inlineStr">
        <is>
          <t>Mock Pharmtutor 2024</t>
        </is>
      </c>
    </row>
    <row r="153" ht="409.6" customHeight="1" s="49">
      <c r="A153" s="33" t="n"/>
      <c r="B153" s="34" t="n"/>
      <c r="C153" s="35" t="n"/>
      <c r="D153" s="34" t="n"/>
      <c r="E153" s="34" t="n"/>
      <c r="F153" s="34" t="n"/>
      <c r="G153" s="34" t="n"/>
      <c r="H153" s="34" t="n"/>
      <c r="I153" s="33" t="n"/>
      <c r="J153" s="34" t="n"/>
      <c r="K153" s="35" t="n"/>
      <c r="L153" s="34" t="n"/>
      <c r="M153" s="35" t="n"/>
      <c r="N153" s="34" t="n"/>
      <c r="O153" s="35" t="inlineStr">
        <is>
          <t>Mock</t>
        </is>
      </c>
      <c r="P153" s="35" t="inlineStr">
        <is>
          <t>Mock Pharmtutor 2024</t>
        </is>
      </c>
    </row>
    <row r="154" ht="409.6" customHeight="1" s="49">
      <c r="A154" s="33" t="n"/>
      <c r="B154" s="34" t="n"/>
      <c r="C154" s="35" t="n"/>
      <c r="D154" s="34" t="n"/>
      <c r="E154" s="34" t="n"/>
      <c r="F154" s="34" t="n"/>
      <c r="G154" s="34" t="n"/>
      <c r="H154" s="34" t="n"/>
      <c r="I154" s="33" t="n"/>
      <c r="J154" s="34" t="n"/>
      <c r="K154" s="35" t="n"/>
      <c r="L154" s="34" t="n"/>
      <c r="M154" s="35" t="n"/>
      <c r="N154" s="34" t="n"/>
      <c r="O154" s="35" t="inlineStr">
        <is>
          <t>Mock</t>
        </is>
      </c>
      <c r="P154" s="35" t="inlineStr">
        <is>
          <t>Mock Pharmtutor 2024</t>
        </is>
      </c>
    </row>
    <row r="155" ht="409.6" customHeight="1" s="49">
      <c r="A155" s="33" t="n"/>
      <c r="B155" s="34" t="n"/>
      <c r="C155" s="35" t="n"/>
      <c r="D155" s="34" t="n"/>
      <c r="E155" s="34" t="n"/>
      <c r="F155" s="34" t="n"/>
      <c r="G155" s="34" t="n"/>
      <c r="H155" s="34" t="n"/>
      <c r="I155" s="33" t="n"/>
      <c r="J155" s="34" t="n"/>
      <c r="K155" s="35" t="n"/>
      <c r="L155" s="34" t="n"/>
      <c r="M155" s="35" t="n"/>
      <c r="N155" s="34" t="n"/>
      <c r="O155" s="35" t="inlineStr">
        <is>
          <t>Mock</t>
        </is>
      </c>
      <c r="P155" s="35" t="inlineStr">
        <is>
          <t>Mock Pharmtutor 2024</t>
        </is>
      </c>
    </row>
    <row r="156" ht="409.6" customHeight="1" s="49">
      <c r="A156" s="33" t="n"/>
      <c r="B156" s="34" t="n"/>
      <c r="C156" s="35" t="n"/>
      <c r="D156" s="34" t="n"/>
      <c r="E156" s="34" t="n"/>
      <c r="F156" s="34" t="n"/>
      <c r="G156" s="34" t="n"/>
      <c r="H156" s="34" t="n"/>
      <c r="I156" s="33" t="n"/>
      <c r="J156" s="34" t="n"/>
      <c r="K156" s="35" t="n"/>
      <c r="L156" s="34" t="n"/>
      <c r="M156" s="35" t="n"/>
      <c r="N156" s="34" t="n"/>
      <c r="O156" s="35" t="inlineStr">
        <is>
          <t>Mock</t>
        </is>
      </c>
      <c r="P156" s="35" t="inlineStr">
        <is>
          <t>Mock Pharmtutor 2024</t>
        </is>
      </c>
    </row>
    <row r="157" ht="409.6" customHeight="1" s="49">
      <c r="A157" s="33" t="n"/>
      <c r="B157" s="34" t="n"/>
      <c r="C157" s="35" t="n"/>
      <c r="D157" s="34" t="n"/>
      <c r="E157" s="34" t="n"/>
      <c r="F157" s="34" t="n"/>
      <c r="G157" s="34" t="n"/>
      <c r="H157" s="34" t="n"/>
      <c r="I157" s="33" t="n"/>
      <c r="J157" s="34" t="n"/>
      <c r="K157" s="35" t="n"/>
      <c r="L157" s="34" t="n"/>
      <c r="M157" s="35" t="n"/>
      <c r="N157" s="34" t="n"/>
      <c r="O157" s="35" t="inlineStr">
        <is>
          <t>Mock</t>
        </is>
      </c>
      <c r="P157" s="35" t="inlineStr">
        <is>
          <t>Mock Pharmtutor 2024</t>
        </is>
      </c>
    </row>
    <row r="158" ht="409.6" customHeight="1" s="49">
      <c r="A158" s="33" t="n"/>
      <c r="B158" s="34" t="n"/>
      <c r="C158" s="35" t="n"/>
      <c r="D158" s="34" t="n"/>
      <c r="E158" s="34" t="n"/>
      <c r="F158" s="34" t="n"/>
      <c r="G158" s="34" t="n"/>
      <c r="H158" s="34" t="n"/>
      <c r="I158" s="33" t="n"/>
      <c r="J158" s="34" t="n"/>
      <c r="K158" s="35" t="n"/>
      <c r="L158" s="34" t="n"/>
      <c r="M158" s="35" t="n"/>
      <c r="N158" s="34" t="n"/>
      <c r="O158" s="35" t="inlineStr">
        <is>
          <t>Mock</t>
        </is>
      </c>
      <c r="P158" s="35" t="inlineStr">
        <is>
          <t>Mock Pharmtutor 2024</t>
        </is>
      </c>
    </row>
    <row r="159" ht="409.6" customHeight="1" s="49">
      <c r="A159" s="33" t="n"/>
      <c r="B159" s="34" t="n"/>
      <c r="C159" s="35" t="n"/>
      <c r="D159" s="34" t="n"/>
      <c r="E159" s="34" t="n"/>
      <c r="F159" s="34" t="n"/>
      <c r="G159" s="34" t="n"/>
      <c r="H159" s="34" t="n"/>
      <c r="I159" s="33" t="n"/>
      <c r="J159" s="34" t="n"/>
      <c r="K159" s="35" t="n"/>
      <c r="L159" s="34" t="n"/>
      <c r="M159" s="35" t="n"/>
      <c r="N159" s="34" t="n"/>
      <c r="O159" s="35" t="inlineStr">
        <is>
          <t>Mock</t>
        </is>
      </c>
      <c r="P159" s="35" t="inlineStr">
        <is>
          <t>Mock Pharmtutor 2024</t>
        </is>
      </c>
    </row>
    <row r="160" ht="409.6" customHeight="1" s="49">
      <c r="A160" s="33" t="n"/>
      <c r="B160" s="34" t="n"/>
      <c r="C160" s="35" t="n"/>
      <c r="D160" s="34" t="n"/>
      <c r="E160" s="34" t="n"/>
      <c r="F160" s="34" t="n"/>
      <c r="G160" s="34" t="n"/>
      <c r="H160" s="34" t="n"/>
      <c r="I160" s="33" t="n"/>
      <c r="J160" s="34" t="n"/>
      <c r="K160" s="35" t="n"/>
      <c r="L160" s="34" t="n"/>
      <c r="M160" s="35" t="n"/>
      <c r="N160" s="34" t="n"/>
      <c r="O160" s="35" t="inlineStr">
        <is>
          <t>Mock</t>
        </is>
      </c>
      <c r="P160" s="35" t="inlineStr">
        <is>
          <t>Mock Pharmtutor 2024</t>
        </is>
      </c>
    </row>
    <row r="161" ht="409.6" customHeight="1" s="49">
      <c r="A161" s="33" t="n"/>
      <c r="B161" s="34" t="n"/>
      <c r="C161" s="35" t="n"/>
      <c r="D161" s="34" t="n"/>
      <c r="E161" s="34" t="n"/>
      <c r="F161" s="34" t="n"/>
      <c r="G161" s="34" t="n"/>
      <c r="H161" s="34" t="n"/>
      <c r="I161" s="33" t="n"/>
      <c r="J161" s="34" t="n"/>
      <c r="K161" s="35" t="n"/>
      <c r="L161" s="34" t="n"/>
      <c r="M161" s="35" t="n"/>
      <c r="N161" s="34" t="n"/>
      <c r="O161" s="35" t="inlineStr">
        <is>
          <t>Mock</t>
        </is>
      </c>
      <c r="P161" s="35" t="inlineStr">
        <is>
          <t>Mock Pharmtutor 2024</t>
        </is>
      </c>
    </row>
    <row r="162" ht="409.6" customHeight="1" s="49">
      <c r="A162" s="33" t="n"/>
      <c r="B162" s="34" t="n"/>
      <c r="C162" s="35" t="n"/>
      <c r="D162" s="34" t="n"/>
      <c r="E162" s="34" t="n"/>
      <c r="F162" s="34" t="n"/>
      <c r="G162" s="34" t="n"/>
      <c r="H162" s="34" t="n"/>
      <c r="I162" s="33" t="n"/>
      <c r="J162" s="34" t="n"/>
      <c r="K162" s="35" t="n"/>
      <c r="L162" s="34" t="n"/>
      <c r="M162" s="35" t="n"/>
      <c r="N162" s="34" t="n"/>
      <c r="O162" s="35" t="inlineStr">
        <is>
          <t>Mock</t>
        </is>
      </c>
      <c r="P162" s="35" t="inlineStr">
        <is>
          <t>Mock กฎหมาย CU71</t>
        </is>
      </c>
    </row>
    <row r="163" ht="409.6" customHeight="1" s="49">
      <c r="A163" s="33" t="n"/>
      <c r="B163" s="34" t="n"/>
      <c r="C163" s="35" t="n"/>
      <c r="D163" s="34" t="n"/>
      <c r="E163" s="34" t="n"/>
      <c r="F163" s="34" t="n"/>
      <c r="G163" s="34" t="n"/>
      <c r="H163" s="34" t="n"/>
      <c r="I163" s="33" t="n"/>
      <c r="J163" s="34" t="n"/>
      <c r="K163" s="35" t="n"/>
      <c r="L163" s="34" t="n"/>
      <c r="M163" s="35" t="n"/>
      <c r="N163" s="34" t="n"/>
      <c r="O163" s="35" t="inlineStr">
        <is>
          <t>ข้อสอบจริง</t>
        </is>
      </c>
      <c r="P163" s="35" t="inlineStr">
        <is>
          <t>ปี 2556</t>
        </is>
      </c>
    </row>
    <row r="164" ht="409.6" customHeight="1" s="49">
      <c r="A164" s="33" t="n"/>
      <c r="B164" s="34" t="n"/>
      <c r="C164" s="35" t="n"/>
      <c r="D164" s="34" t="n"/>
      <c r="E164" s="34" t="n"/>
      <c r="F164" s="34" t="n"/>
      <c r="G164" s="34" t="n"/>
      <c r="H164" s="34" t="n"/>
      <c r="I164" s="33" t="n"/>
      <c r="J164" s="34" t="n"/>
      <c r="K164" s="35" t="n"/>
      <c r="L164" s="34" t="n"/>
      <c r="M164" s="35" t="n"/>
      <c r="N164" s="34" t="n"/>
      <c r="O164" s="35" t="inlineStr">
        <is>
          <t>ข้อสอบจริง</t>
        </is>
      </c>
      <c r="P164" s="35" t="inlineStr">
        <is>
          <t>ปี 2556</t>
        </is>
      </c>
    </row>
    <row r="165" ht="409.6" customHeight="1" s="49">
      <c r="A165" s="33" t="n"/>
      <c r="B165" s="34" t="n"/>
      <c r="C165" s="35" t="n"/>
      <c r="D165" s="34" t="n"/>
      <c r="E165" s="34" t="n"/>
      <c r="F165" s="34" t="n"/>
      <c r="G165" s="34" t="n"/>
      <c r="H165" s="34" t="n"/>
      <c r="I165" s="33" t="n"/>
      <c r="J165" s="34" t="n"/>
      <c r="K165" s="35" t="n"/>
      <c r="L165" s="34" t="n"/>
      <c r="M165" s="35" t="n"/>
      <c r="N165" s="34" t="n"/>
      <c r="O165" s="35" t="inlineStr">
        <is>
          <t>ข้อสอบจริง</t>
        </is>
      </c>
      <c r="P165" s="35" t="inlineStr">
        <is>
          <t>ปี 2556</t>
        </is>
      </c>
    </row>
    <row r="166" ht="409.6" customHeight="1" s="49">
      <c r="A166" s="33" t="n"/>
      <c r="B166" s="34" t="n"/>
      <c r="C166" s="35" t="n"/>
      <c r="D166" s="34" t="n"/>
      <c r="E166" s="34" t="n"/>
      <c r="F166" s="34" t="n"/>
      <c r="G166" s="34" t="n"/>
      <c r="H166" s="34" t="n"/>
      <c r="I166" s="33" t="n"/>
      <c r="J166" s="34" t="n"/>
      <c r="K166" s="35" t="n"/>
      <c r="L166" s="34" t="n"/>
      <c r="M166" s="35" t="n"/>
      <c r="N166" s="34" t="n"/>
      <c r="O166" s="35" t="inlineStr">
        <is>
          <t>ข้อสอบจริง</t>
        </is>
      </c>
      <c r="P166" s="35" t="inlineStr">
        <is>
          <t>ปี 2556</t>
        </is>
      </c>
    </row>
    <row r="167" ht="409.6" customHeight="1" s="49">
      <c r="A167" s="33" t="n"/>
      <c r="B167" s="34" t="n"/>
      <c r="C167" s="35" t="n"/>
      <c r="D167" s="34" t="n"/>
      <c r="E167" s="34" t="n"/>
      <c r="F167" s="34" t="n"/>
      <c r="G167" s="34" t="n"/>
      <c r="H167" s="34" t="n"/>
      <c r="I167" s="33" t="n"/>
      <c r="J167" s="34" t="n"/>
      <c r="K167" s="35" t="n"/>
      <c r="L167" s="34" t="n"/>
      <c r="M167" s="35" t="n"/>
      <c r="N167" s="34" t="n"/>
      <c r="O167" s="35" t="inlineStr">
        <is>
          <t>ข้อสอบจริง</t>
        </is>
      </c>
      <c r="P167" s="35" t="inlineStr">
        <is>
          <t>ปี 2555</t>
        </is>
      </c>
    </row>
    <row r="168" ht="409.6" customHeight="1" s="49">
      <c r="A168" s="33" t="n"/>
      <c r="B168" s="34" t="n"/>
      <c r="C168" s="35" t="n"/>
      <c r="D168" s="34" t="n"/>
      <c r="E168" s="34" t="n"/>
      <c r="F168" s="34" t="n"/>
      <c r="G168" s="34" t="n"/>
      <c r="H168" s="34" t="n"/>
      <c r="I168" s="33" t="n"/>
      <c r="J168" s="34" t="n"/>
      <c r="K168" s="35" t="n"/>
      <c r="L168" s="34" t="n"/>
      <c r="M168" s="35" t="n"/>
      <c r="N168" s="34" t="n"/>
      <c r="O168" s="35" t="inlineStr">
        <is>
          <t>ข้อสอบจริง</t>
        </is>
      </c>
      <c r="P168" s="35" t="inlineStr">
        <is>
          <t>ปี 2555</t>
        </is>
      </c>
    </row>
    <row r="169" ht="409.6" customHeight="1" s="49">
      <c r="A169" s="33" t="n"/>
      <c r="B169" s="34" t="n"/>
      <c r="C169" s="35" t="n"/>
      <c r="D169" s="34" t="n"/>
      <c r="E169" s="34" t="n"/>
      <c r="F169" s="34" t="n"/>
      <c r="G169" s="34" t="n"/>
      <c r="H169" s="34" t="n"/>
      <c r="I169" s="33" t="n"/>
      <c r="J169" s="34" t="n"/>
      <c r="K169" s="35" t="n"/>
      <c r="L169" s="34" t="n"/>
      <c r="M169" s="35" t="n"/>
      <c r="N169" s="34" t="n"/>
      <c r="O169" s="35" t="inlineStr">
        <is>
          <t>ข้อสอบจริง</t>
        </is>
      </c>
      <c r="P169" s="35" t="inlineStr">
        <is>
          <t>ปี 2555</t>
        </is>
      </c>
    </row>
    <row r="170" ht="409.6" customHeight="1" s="49">
      <c r="A170" s="33" t="n"/>
      <c r="B170" s="34" t="n"/>
      <c r="C170" s="35" t="n"/>
      <c r="D170" s="34" t="n"/>
      <c r="E170" s="34" t="n"/>
      <c r="F170" s="34" t="n"/>
      <c r="G170" s="34" t="n"/>
      <c r="H170" s="34" t="n"/>
      <c r="I170" s="33" t="n"/>
      <c r="J170" s="34" t="n"/>
      <c r="K170" s="35" t="n"/>
      <c r="L170" s="34" t="n"/>
      <c r="M170" s="35" t="n"/>
      <c r="N170" s="34" t="n"/>
      <c r="O170" s="35" t="inlineStr">
        <is>
          <t>ข้อสอบจริง</t>
        </is>
      </c>
      <c r="P170" s="35" t="inlineStr">
        <is>
          <t>ปี 2555</t>
        </is>
      </c>
    </row>
    <row r="171" ht="409.6" customHeight="1" s="49">
      <c r="A171" s="33" t="n"/>
      <c r="B171" s="34" t="n"/>
      <c r="C171" s="35" t="n"/>
      <c r="D171" s="34" t="n"/>
      <c r="E171" s="34" t="n"/>
      <c r="F171" s="34" t="n"/>
      <c r="G171" s="34" t="n"/>
      <c r="H171" s="34" t="n"/>
      <c r="I171" s="33" t="n"/>
      <c r="J171" s="34" t="n"/>
      <c r="K171" s="35" t="n"/>
      <c r="L171" s="34" t="n"/>
      <c r="M171" s="35" t="n"/>
      <c r="N171" s="34" t="n"/>
      <c r="O171" s="35" t="inlineStr">
        <is>
          <t>ข้อสอบจริง</t>
        </is>
      </c>
      <c r="P171" s="35" t="inlineStr">
        <is>
          <t>ปี 2555</t>
        </is>
      </c>
    </row>
    <row r="172" ht="409.6" customHeight="1" s="49">
      <c r="A172" s="33" t="n"/>
      <c r="B172" s="34" t="n"/>
      <c r="C172" s="35" t="n"/>
      <c r="D172" s="34" t="n"/>
      <c r="E172" s="34" t="n"/>
      <c r="F172" s="34" t="n"/>
      <c r="G172" s="34" t="n"/>
      <c r="H172" s="34" t="n"/>
      <c r="I172" s="33" t="n"/>
      <c r="J172" s="34" t="n"/>
      <c r="K172" s="35" t="n"/>
      <c r="L172" s="34" t="n"/>
      <c r="M172" s="35" t="n"/>
      <c r="N172" s="34" t="n"/>
      <c r="O172" s="35" t="inlineStr">
        <is>
          <t>ข้อสอบจริง</t>
        </is>
      </c>
      <c r="P172" s="35" t="inlineStr">
        <is>
          <t>ปี 2554</t>
        </is>
      </c>
    </row>
    <row r="173" ht="409.6" customHeight="1" s="49">
      <c r="A173" s="33" t="n"/>
      <c r="B173" s="34" t="n"/>
      <c r="C173" s="35" t="n"/>
      <c r="D173" s="34" t="n"/>
      <c r="E173" s="34" t="n"/>
      <c r="F173" s="34" t="n"/>
      <c r="G173" s="34" t="n"/>
      <c r="H173" s="34" t="n"/>
      <c r="I173" s="33" t="n"/>
      <c r="J173" s="34" t="n"/>
      <c r="K173" s="35" t="n"/>
      <c r="L173" s="34" t="n"/>
      <c r="M173" s="35" t="n"/>
      <c r="N173" s="34" t="n"/>
      <c r="O173" s="35" t="inlineStr">
        <is>
          <t>ข้อสอบจริง</t>
        </is>
      </c>
      <c r="P173" s="35" t="inlineStr">
        <is>
          <t>ปี 2554</t>
        </is>
      </c>
    </row>
    <row r="174" ht="409.6" customHeight="1" s="49">
      <c r="A174" s="33" t="n"/>
      <c r="B174" s="34" t="n"/>
      <c r="C174" s="35" t="n"/>
      <c r="D174" s="34" t="n"/>
      <c r="E174" s="34" t="n"/>
      <c r="F174" s="34" t="n"/>
      <c r="G174" s="34" t="n"/>
      <c r="H174" s="34" t="n"/>
      <c r="I174" s="33" t="n"/>
      <c r="J174" s="34" t="n"/>
      <c r="K174" s="35" t="n"/>
      <c r="L174" s="34" t="n"/>
      <c r="M174" s="35" t="n"/>
      <c r="N174" s="34" t="n"/>
      <c r="O174" s="35" t="inlineStr">
        <is>
          <t>ข้อสอบจริง</t>
        </is>
      </c>
      <c r="P174" s="35" t="inlineStr">
        <is>
          <t>ปี 2554</t>
        </is>
      </c>
    </row>
    <row r="175" ht="409.6" customHeight="1" s="49">
      <c r="A175" s="33" t="n"/>
      <c r="B175" s="34" t="n"/>
      <c r="C175" s="35" t="n"/>
      <c r="D175" s="34" t="n"/>
      <c r="E175" s="34" t="n"/>
      <c r="F175" s="34" t="n"/>
      <c r="G175" s="34" t="n"/>
      <c r="H175" s="34" t="n"/>
      <c r="I175" s="33" t="n"/>
      <c r="J175" s="34" t="n"/>
      <c r="K175" s="35" t="n"/>
      <c r="L175" s="34" t="n"/>
      <c r="M175" s="35" t="n"/>
      <c r="N175" s="34" t="n"/>
      <c r="O175" s="35" t="inlineStr">
        <is>
          <t>ข้อสอบจริง</t>
        </is>
      </c>
      <c r="P175" s="35" t="inlineStr">
        <is>
          <t>ปี 2554</t>
        </is>
      </c>
    </row>
    <row r="176" ht="409.6" customHeight="1" s="49">
      <c r="A176" s="33" t="n"/>
      <c r="B176" s="34" t="n"/>
      <c r="C176" s="35" t="n"/>
      <c r="D176" s="34" t="n"/>
      <c r="E176" s="34" t="n"/>
      <c r="F176" s="34" t="n"/>
      <c r="G176" s="34" t="n"/>
      <c r="H176" s="34" t="n"/>
      <c r="I176" s="33" t="n"/>
      <c r="J176" s="34" t="n"/>
      <c r="K176" s="35" t="n"/>
      <c r="L176" s="34" t="n"/>
      <c r="M176" s="35" t="n"/>
      <c r="N176" s="34" t="n"/>
      <c r="O176" s="35" t="inlineStr">
        <is>
          <t>ข้อสอบจริง</t>
        </is>
      </c>
      <c r="P176" s="35" t="inlineStr">
        <is>
          <t>ปี 2554</t>
        </is>
      </c>
    </row>
    <row r="177" ht="409.6" customHeight="1" s="49">
      <c r="A177" s="33" t="n"/>
      <c r="B177" s="34" t="n"/>
      <c r="C177" s="35" t="n"/>
      <c r="D177" s="34" t="n"/>
      <c r="E177" s="34" t="n"/>
      <c r="F177" s="34" t="n"/>
      <c r="G177" s="34" t="n"/>
      <c r="H177" s="34" t="n"/>
      <c r="I177" s="33" t="n"/>
      <c r="J177" s="34" t="n"/>
      <c r="K177" s="35" t="n"/>
      <c r="L177" s="34" t="n"/>
      <c r="M177" s="35" t="n"/>
      <c r="N177" s="34" t="n"/>
      <c r="O177" s="35" t="inlineStr">
        <is>
          <t>ข้อสอบจริง</t>
        </is>
      </c>
      <c r="P177" s="35" t="inlineStr">
        <is>
          <t>ปี 2554</t>
        </is>
      </c>
    </row>
    <row r="178" ht="409.6" customHeight="1" s="49">
      <c r="A178" s="33" t="n"/>
      <c r="B178" s="34" t="n"/>
      <c r="C178" s="35" t="n"/>
      <c r="D178" s="34" t="n"/>
      <c r="E178" s="34" t="n"/>
      <c r="F178" s="34" t="n"/>
      <c r="G178" s="34" t="n"/>
      <c r="H178" s="34" t="n"/>
      <c r="I178" s="33" t="n"/>
      <c r="J178" s="34" t="n"/>
      <c r="K178" s="35" t="n"/>
      <c r="L178" s="34" t="n"/>
      <c r="M178" s="35" t="n"/>
      <c r="N178" s="34" t="n"/>
      <c r="O178" s="35" t="inlineStr">
        <is>
          <t>ข้อสอบจริง</t>
        </is>
      </c>
      <c r="P178" s="35" t="inlineStr">
        <is>
          <t>ปี 2554</t>
        </is>
      </c>
    </row>
    <row r="179" ht="409.6" customHeight="1" s="49">
      <c r="A179" s="33" t="n"/>
      <c r="B179" s="34" t="n"/>
      <c r="C179" s="35" t="n"/>
      <c r="D179" s="34" t="n"/>
      <c r="E179" s="34" t="n"/>
      <c r="F179" s="34" t="n"/>
      <c r="G179" s="34" t="n"/>
      <c r="H179" s="34" t="n"/>
      <c r="I179" s="33" t="n"/>
      <c r="J179" s="34" t="n"/>
      <c r="K179" s="35" t="n"/>
      <c r="L179" s="34" t="n"/>
      <c r="M179" s="35" t="n"/>
      <c r="N179" s="34" t="n"/>
      <c r="O179" s="35" t="inlineStr">
        <is>
          <t>ข้อสอบจริง</t>
        </is>
      </c>
      <c r="P179" s="35" t="inlineStr">
        <is>
          <t>ปี 2554</t>
        </is>
      </c>
    </row>
    <row r="180" ht="409.6" customHeight="1" s="49">
      <c r="A180" s="33" t="n"/>
      <c r="B180" s="34" t="n"/>
      <c r="C180" s="35" t="n"/>
      <c r="D180" s="34" t="n"/>
      <c r="E180" s="34" t="n"/>
      <c r="F180" s="34" t="n"/>
      <c r="G180" s="34" t="n"/>
      <c r="H180" s="34" t="n"/>
      <c r="I180" s="33" t="n"/>
      <c r="J180" s="34" t="n"/>
      <c r="K180" s="35" t="n"/>
      <c r="L180" s="34" t="n"/>
      <c r="M180" s="35" t="n"/>
      <c r="N180" s="34" t="n"/>
      <c r="O180" s="35" t="inlineStr">
        <is>
          <t>ข้อสอบจริง</t>
        </is>
      </c>
      <c r="P180" s="35" t="inlineStr">
        <is>
          <t>ปี 2554</t>
        </is>
      </c>
    </row>
    <row r="181" ht="409.6" customHeight="1" s="49">
      <c r="A181" s="33" t="n"/>
      <c r="B181" s="34" t="n"/>
      <c r="C181" s="35" t="n"/>
      <c r="D181" s="34" t="n"/>
      <c r="E181" s="34" t="n"/>
      <c r="F181" s="34" t="n"/>
      <c r="G181" s="34" t="n"/>
      <c r="H181" s="34" t="n"/>
      <c r="I181" s="33" t="n"/>
      <c r="J181" s="34" t="n"/>
      <c r="K181" s="35" t="n"/>
      <c r="L181" s="34" t="n"/>
      <c r="M181" s="35" t="n"/>
      <c r="N181" s="34" t="n"/>
      <c r="O181" s="35" t="inlineStr">
        <is>
          <t>ข้อสอบจริง</t>
        </is>
      </c>
      <c r="P181" s="35" t="inlineStr">
        <is>
          <t>ปี 2547</t>
        </is>
      </c>
    </row>
    <row r="182" ht="409.6" customHeight="1" s="49">
      <c r="A182" s="33" t="n"/>
      <c r="B182" s="34" t="n"/>
      <c r="C182" s="35" t="n"/>
      <c r="D182" s="34" t="n"/>
      <c r="E182" s="34" t="n"/>
      <c r="F182" s="34" t="n"/>
      <c r="G182" s="34" t="n"/>
      <c r="H182" s="34" t="n"/>
      <c r="I182" s="33" t="n"/>
      <c r="J182" s="34" t="n"/>
      <c r="K182" s="35" t="n"/>
      <c r="L182" s="34" t="n"/>
      <c r="M182" s="35" t="n"/>
      <c r="N182" s="34" t="n"/>
      <c r="O182" s="35" t="inlineStr">
        <is>
          <t>ข้อสอบจริง</t>
        </is>
      </c>
      <c r="P182" s="35" t="inlineStr">
        <is>
          <t>ปี 2547</t>
        </is>
      </c>
    </row>
    <row r="183" ht="409.6" customHeight="1" s="49">
      <c r="A183" s="33" t="n"/>
      <c r="B183" s="34" t="n"/>
      <c r="C183" s="35" t="n"/>
      <c r="D183" s="34" t="n"/>
      <c r="E183" s="34" t="n"/>
      <c r="F183" s="34" t="n"/>
      <c r="G183" s="34" t="n"/>
      <c r="H183" s="34" t="n"/>
      <c r="I183" s="33" t="n"/>
      <c r="J183" s="34" t="n"/>
      <c r="K183" s="35" t="n"/>
      <c r="L183" s="34" t="n"/>
      <c r="M183" s="35" t="n"/>
      <c r="N183" s="34" t="n"/>
      <c r="O183" s="35" t="inlineStr">
        <is>
          <t>ข้อสอบจริง</t>
        </is>
      </c>
      <c r="P183" s="35" t="inlineStr">
        <is>
          <t>ปี 2533</t>
        </is>
      </c>
    </row>
    <row r="184" ht="409.6" customHeight="1" s="49">
      <c r="A184" s="33" t="n"/>
      <c r="B184" s="34" t="n"/>
      <c r="C184" s="35" t="n"/>
      <c r="D184" s="34" t="n"/>
      <c r="E184" s="34" t="n"/>
      <c r="F184" s="34" t="n"/>
      <c r="G184" s="34" t="n"/>
      <c r="H184" s="34" t="n"/>
      <c r="I184" s="33" t="n"/>
      <c r="J184" s="34" t="n"/>
      <c r="K184" s="35" t="n"/>
      <c r="L184" s="34" t="n"/>
      <c r="M184" s="35" t="n"/>
      <c r="N184" s="34" t="n"/>
      <c r="O184" s="35" t="inlineStr">
        <is>
          <t>ข้อสอบจริง</t>
        </is>
      </c>
      <c r="P184" s="35" t="inlineStr">
        <is>
          <t>ปี 2533</t>
        </is>
      </c>
    </row>
    <row r="185" ht="409.6" customHeight="1" s="49">
      <c r="A185" s="33" t="n"/>
      <c r="B185" s="34" t="n"/>
      <c r="C185" s="35" t="n"/>
      <c r="D185" s="34" t="n"/>
      <c r="E185" s="34" t="n"/>
      <c r="F185" s="34" t="n"/>
      <c r="G185" s="34" t="n"/>
      <c r="H185" s="34" t="n"/>
      <c r="I185" s="33" t="n"/>
      <c r="J185" s="34" t="n"/>
      <c r="K185" s="35" t="n"/>
      <c r="L185" s="34" t="n"/>
      <c r="M185" s="35" t="n"/>
      <c r="N185" s="34" t="n"/>
      <c r="O185" s="35" t="inlineStr">
        <is>
          <t>Mock</t>
        </is>
      </c>
      <c r="P185" s="35" t="inlineStr">
        <is>
          <t>Mock สภาเภสัชฯ Practice</t>
        </is>
      </c>
    </row>
    <row r="186" ht="409.6" customHeight="1" s="49">
      <c r="A186" s="33" t="n"/>
      <c r="B186" s="34" t="n"/>
      <c r="C186" s="35" t="n"/>
      <c r="D186" s="34" t="n"/>
      <c r="E186" s="34" t="n"/>
      <c r="F186" s="34" t="n"/>
      <c r="G186" s="34" t="n"/>
      <c r="H186" s="34" t="n"/>
      <c r="I186" s="33" t="n"/>
      <c r="J186" s="34" t="n"/>
      <c r="K186" s="35" t="n"/>
      <c r="L186" s="34" t="n"/>
      <c r="M186" s="35" t="n"/>
      <c r="N186" s="34" t="n"/>
      <c r="O186" s="35" t="inlineStr">
        <is>
          <t>Mock</t>
        </is>
      </c>
      <c r="P186" s="35" t="inlineStr">
        <is>
          <t>Mock สภาเภสัชฯ Practice</t>
        </is>
      </c>
    </row>
    <row r="187" ht="409.6" customHeight="1" s="49">
      <c r="A187" s="33" t="n"/>
      <c r="B187" s="34" t="n"/>
      <c r="C187" s="35" t="n"/>
      <c r="D187" s="34" t="n"/>
      <c r="E187" s="34" t="n"/>
      <c r="F187" s="34" t="n"/>
      <c r="G187" s="34" t="n"/>
      <c r="H187" s="34" t="n"/>
      <c r="I187" s="33" t="n"/>
      <c r="J187" s="34" t="n"/>
      <c r="K187" s="35" t="n"/>
      <c r="L187" s="34" t="n"/>
      <c r="M187" s="35" t="n"/>
      <c r="N187" s="34" t="n"/>
      <c r="O187" s="35" t="inlineStr">
        <is>
          <t>Mock</t>
        </is>
      </c>
      <c r="P187" s="35" t="inlineStr">
        <is>
          <t>Mock สภาเภสัชฯ Practice</t>
        </is>
      </c>
    </row>
    <row r="188" ht="409.6" customHeight="1" s="49">
      <c r="A188" s="33" t="n"/>
      <c r="B188" s="34" t="n"/>
      <c r="C188" s="35" t="n"/>
      <c r="D188" s="34" t="n"/>
      <c r="E188" s="34" t="n"/>
      <c r="F188" s="34" t="n"/>
      <c r="G188" s="34" t="n"/>
      <c r="H188" s="34" t="n"/>
      <c r="I188" s="33" t="n"/>
      <c r="J188" s="34" t="n"/>
      <c r="K188" s="35" t="n"/>
      <c r="L188" s="34" t="n"/>
      <c r="M188" s="35" t="n"/>
      <c r="N188" s="34" t="n"/>
      <c r="O188" s="35" t="inlineStr">
        <is>
          <t>Mock</t>
        </is>
      </c>
      <c r="P188" s="35" t="inlineStr">
        <is>
          <t>Mock สภาเภสัชฯ Practice</t>
        </is>
      </c>
    </row>
    <row r="189" ht="409.6" customHeight="1" s="49">
      <c r="A189" s="33" t="n"/>
      <c r="B189" s="34" t="n"/>
      <c r="C189" s="35" t="n"/>
      <c r="D189" s="34" t="n"/>
      <c r="E189" s="34" t="n"/>
      <c r="F189" s="34" t="n"/>
      <c r="G189" s="34" t="n"/>
      <c r="H189" s="34" t="n"/>
      <c r="I189" s="33" t="n"/>
      <c r="J189" s="34" t="n"/>
      <c r="K189" s="35" t="n"/>
      <c r="L189" s="34" t="n"/>
      <c r="M189" s="35" t="n"/>
      <c r="N189" s="34" t="n"/>
      <c r="O189" s="35" t="inlineStr">
        <is>
          <t>Mock</t>
        </is>
      </c>
      <c r="P189" s="35" t="inlineStr">
        <is>
          <t>Mock สภาเภสัชฯ Practice</t>
        </is>
      </c>
    </row>
    <row r="190" ht="409.6" customHeight="1" s="49">
      <c r="A190" s="33" t="n"/>
      <c r="B190" s="34" t="n"/>
      <c r="C190" s="35" t="n"/>
      <c r="D190" s="34" t="n"/>
      <c r="E190" s="34" t="n"/>
      <c r="F190" s="34" t="n"/>
      <c r="G190" s="34" t="n"/>
      <c r="H190" s="34" t="n"/>
      <c r="I190" s="33" t="n"/>
      <c r="J190" s="34" t="n"/>
      <c r="K190" s="35" t="n"/>
      <c r="L190" s="34" t="n"/>
      <c r="M190" s="35" t="n"/>
      <c r="N190" s="34" t="n"/>
      <c r="O190" s="35" t="inlineStr">
        <is>
          <t>Mock</t>
        </is>
      </c>
      <c r="P190" s="35" t="inlineStr">
        <is>
          <t>Mock สภาเภสัชฯ Practice</t>
        </is>
      </c>
    </row>
    <row r="191" ht="409.6" customHeight="1" s="49">
      <c r="A191" s="33" t="n"/>
      <c r="B191" s="34" t="n"/>
      <c r="C191" s="35" t="n"/>
      <c r="D191" s="34" t="n"/>
      <c r="E191" s="34" t="n"/>
      <c r="F191" s="34" t="n"/>
      <c r="G191" s="34" t="n"/>
      <c r="H191" s="34" t="n"/>
      <c r="I191" s="33" t="n"/>
      <c r="J191" s="34" t="n"/>
      <c r="K191" s="35" t="n"/>
      <c r="L191" s="34" t="n"/>
      <c r="M191" s="35" t="n"/>
      <c r="N191" s="34" t="n"/>
      <c r="O191" s="35" t="inlineStr">
        <is>
          <t>Mock</t>
        </is>
      </c>
      <c r="P191" s="35" t="inlineStr">
        <is>
          <t>Mock สภาเภสัชฯ Practice</t>
        </is>
      </c>
    </row>
    <row r="192" ht="409.6" customHeight="1" s="49">
      <c r="A192" s="33" t="n"/>
      <c r="B192" s="34" t="n"/>
      <c r="C192" s="35" t="n"/>
      <c r="D192" s="34" t="n"/>
      <c r="E192" s="34" t="n"/>
      <c r="F192" s="34" t="n"/>
      <c r="G192" s="34" t="n"/>
      <c r="H192" s="34" t="n"/>
      <c r="I192" s="33" t="n"/>
      <c r="J192" s="34" t="n"/>
      <c r="K192" s="35" t="n"/>
      <c r="L192" s="34" t="n"/>
      <c r="M192" s="35" t="n"/>
      <c r="N192" s="34" t="n"/>
      <c r="O192" s="35" t="inlineStr">
        <is>
          <t>Mock</t>
        </is>
      </c>
      <c r="P192" s="35" t="inlineStr">
        <is>
          <t>Mock สภาเภสัชฯ Practice</t>
        </is>
      </c>
    </row>
    <row r="193" ht="409.6" customHeight="1" s="49">
      <c r="A193" s="33" t="n"/>
      <c r="B193" s="34" t="n"/>
      <c r="C193" s="35" t="n"/>
      <c r="D193" s="34" t="n"/>
      <c r="E193" s="34" t="n"/>
      <c r="F193" s="34" t="n"/>
      <c r="G193" s="34" t="n"/>
      <c r="H193" s="34" t="n"/>
      <c r="I193" s="33" t="n"/>
      <c r="J193" s="34" t="n"/>
      <c r="K193" s="35" t="n"/>
      <c r="L193" s="34" t="n"/>
      <c r="M193" s="35" t="n"/>
      <c r="N193" s="34" t="n"/>
      <c r="O193" s="35" t="inlineStr">
        <is>
          <t>Mock</t>
        </is>
      </c>
      <c r="P193" s="35" t="inlineStr">
        <is>
          <t>Mock สภาเภสัชฯ Practice</t>
        </is>
      </c>
    </row>
    <row r="194" ht="409.6" customHeight="1" s="49">
      <c r="A194" s="33" t="n"/>
      <c r="B194" s="34" t="n"/>
      <c r="C194" s="35" t="n"/>
      <c r="D194" s="34" t="n"/>
      <c r="E194" s="34" t="n"/>
      <c r="F194" s="34" t="n"/>
      <c r="G194" s="34" t="n"/>
      <c r="H194" s="34" t="n"/>
      <c r="I194" s="33" t="n"/>
      <c r="J194" s="34" t="n"/>
      <c r="K194" s="35" t="n"/>
      <c r="L194" s="34" t="n"/>
      <c r="M194" s="35" t="n"/>
      <c r="N194" s="34" t="n"/>
      <c r="O194" s="35" t="inlineStr">
        <is>
          <t>Mock</t>
        </is>
      </c>
      <c r="P194" s="35" t="inlineStr">
        <is>
          <t>Mock สภาเภสัชฯ Practice</t>
        </is>
      </c>
    </row>
    <row r="195" ht="409.6" customHeight="1" s="49">
      <c r="A195" s="33" t="n"/>
      <c r="B195" s="34" t="n"/>
      <c r="C195" s="35" t="n"/>
      <c r="D195" s="34" t="n"/>
      <c r="E195" s="34" t="n"/>
      <c r="F195" s="34" t="n"/>
      <c r="G195" s="34" t="n"/>
      <c r="H195" s="34" t="n"/>
      <c r="I195" s="33" t="n"/>
      <c r="J195" s="34" t="n"/>
      <c r="K195" s="35" t="n"/>
      <c r="L195" s="34" t="n"/>
      <c r="M195" s="35" t="n"/>
      <c r="N195" s="34" t="n"/>
      <c r="O195" s="35" t="inlineStr">
        <is>
          <t>Mock</t>
        </is>
      </c>
      <c r="P195" s="35" t="inlineStr">
        <is>
          <t>Mock สภาเภสัชฯ Practice</t>
        </is>
      </c>
    </row>
    <row r="196" ht="409.6" customHeight="1" s="49">
      <c r="A196" s="33" t="n"/>
      <c r="B196" s="34" t="n"/>
      <c r="C196" s="35" t="n"/>
      <c r="D196" s="34" t="n"/>
      <c r="E196" s="34" t="n"/>
      <c r="F196" s="34" t="n"/>
      <c r="G196" s="34" t="n"/>
      <c r="H196" s="34" t="n"/>
      <c r="I196" s="33" t="n"/>
      <c r="J196" s="34" t="n"/>
      <c r="K196" s="35" t="n"/>
      <c r="L196" s="34" t="n"/>
      <c r="M196" s="35" t="n"/>
      <c r="N196" s="34" t="n"/>
      <c r="O196" s="35" t="inlineStr">
        <is>
          <t>Mock</t>
        </is>
      </c>
      <c r="P196" s="35" t="inlineStr">
        <is>
          <t>Mock สภาเภสัชฯ Practice</t>
        </is>
      </c>
    </row>
    <row r="197" ht="409.6" customHeight="1" s="49">
      <c r="A197" s="33" t="n"/>
      <c r="B197" s="34" t="n"/>
      <c r="C197" s="35" t="n"/>
      <c r="D197" s="34" t="n"/>
      <c r="E197" s="34" t="n"/>
      <c r="F197" s="34" t="n"/>
      <c r="G197" s="34" t="n"/>
      <c r="H197" s="34" t="n"/>
      <c r="I197" s="33" t="n"/>
      <c r="J197" s="34" t="n"/>
      <c r="K197" s="35" t="n"/>
      <c r="L197" s="34" t="n"/>
      <c r="M197" s="35" t="n"/>
      <c r="N197" s="34" t="n"/>
      <c r="O197" s="35" t="inlineStr">
        <is>
          <t>Mock</t>
        </is>
      </c>
      <c r="P197" s="35" t="inlineStr">
        <is>
          <t>Mock สภาเภสัชฯ Practice</t>
        </is>
      </c>
    </row>
    <row r="198" ht="409.6" customHeight="1" s="49">
      <c r="A198" s="33" t="n"/>
      <c r="B198" s="34" t="n"/>
      <c r="C198" s="35" t="n"/>
      <c r="D198" s="34" t="n"/>
      <c r="E198" s="34" t="n"/>
      <c r="F198" s="34" t="n"/>
      <c r="G198" s="34" t="n"/>
      <c r="H198" s="34" t="n"/>
      <c r="I198" s="33" t="n"/>
      <c r="J198" s="34" t="n"/>
      <c r="K198" s="35" t="n"/>
      <c r="L198" s="34" t="n"/>
      <c r="M198" s="35" t="n"/>
      <c r="N198" s="34" t="n"/>
      <c r="O198" s="35" t="inlineStr">
        <is>
          <t>Mock</t>
        </is>
      </c>
      <c r="P198" s="35" t="inlineStr">
        <is>
          <t>Mock สภาเภสัชฯ Practice</t>
        </is>
      </c>
    </row>
    <row r="199" ht="409.6" customHeight="1" s="49">
      <c r="A199" s="33" t="n"/>
      <c r="B199" s="34" t="n"/>
      <c r="C199" s="35" t="n"/>
      <c r="D199" s="34" t="n"/>
      <c r="E199" s="34" t="n"/>
      <c r="F199" s="34" t="n"/>
      <c r="G199" s="34" t="n"/>
      <c r="H199" s="34" t="n"/>
      <c r="I199" s="33" t="n"/>
      <c r="J199" s="34" t="n"/>
      <c r="K199" s="35" t="n"/>
      <c r="L199" s="34" t="n"/>
      <c r="M199" s="35" t="n"/>
      <c r="N199" s="34" t="n"/>
      <c r="O199" s="35" t="inlineStr">
        <is>
          <t>Mock</t>
        </is>
      </c>
      <c r="P199" s="35" t="inlineStr">
        <is>
          <t>Mock สภาเภสัชฯ Practice</t>
        </is>
      </c>
    </row>
    <row r="200" ht="409.6" customHeight="1" s="49">
      <c r="A200" s="33" t="n"/>
      <c r="B200" s="34" t="n"/>
      <c r="C200" s="35" t="n"/>
      <c r="D200" s="34" t="n"/>
      <c r="E200" s="34" t="n"/>
      <c r="F200" s="34" t="n"/>
      <c r="G200" s="34" t="n"/>
      <c r="H200" s="34" t="n"/>
      <c r="I200" s="33" t="n"/>
      <c r="J200" s="34" t="n"/>
      <c r="K200" s="35" t="n"/>
      <c r="L200" s="34" t="n"/>
      <c r="M200" s="35" t="n"/>
      <c r="N200" s="34" t="n"/>
      <c r="O200" s="35" t="inlineStr">
        <is>
          <t>Mock</t>
        </is>
      </c>
      <c r="P200" s="35" t="inlineStr">
        <is>
          <t>Mock สภาเภสัชฯ Practice</t>
        </is>
      </c>
    </row>
    <row r="201" ht="409.6" customHeight="1" s="49">
      <c r="A201" s="33" t="n"/>
      <c r="B201" s="34" t="n"/>
      <c r="C201" s="35" t="n"/>
      <c r="D201" s="34" t="n"/>
      <c r="E201" s="34" t="n"/>
      <c r="F201" s="34" t="n"/>
      <c r="G201" s="34" t="n"/>
      <c r="H201" s="34" t="n"/>
      <c r="I201" s="33" t="n"/>
      <c r="J201" s="34" t="n"/>
      <c r="K201" s="35" t="n"/>
      <c r="L201" s="34" t="n"/>
      <c r="M201" s="35" t="n"/>
      <c r="N201" s="34" t="n"/>
      <c r="O201" s="35" t="inlineStr">
        <is>
          <t>Mock</t>
        </is>
      </c>
      <c r="P201" s="35" t="inlineStr">
        <is>
          <t>Mock สภาเภสัชฯ Practice</t>
        </is>
      </c>
    </row>
    <row r="202" ht="409.6" customHeight="1" s="49">
      <c r="A202" s="33" t="n"/>
      <c r="B202" s="34" t="n"/>
      <c r="C202" s="35" t="n"/>
      <c r="D202" s="34" t="n"/>
      <c r="E202" s="34" t="n"/>
      <c r="F202" s="34" t="n"/>
      <c r="G202" s="34" t="n"/>
      <c r="H202" s="34" t="n"/>
      <c r="I202" s="33" t="n"/>
      <c r="J202" s="34" t="n"/>
      <c r="K202" s="35" t="n"/>
      <c r="L202" s="34" t="n"/>
      <c r="M202" s="35" t="n"/>
      <c r="N202" s="34" t="n"/>
      <c r="O202" s="35" t="inlineStr">
        <is>
          <t>Mock</t>
        </is>
      </c>
      <c r="P202" s="35" t="inlineStr">
        <is>
          <t>Mock สภาเภสัชฯ Practice</t>
        </is>
      </c>
    </row>
    <row r="203" ht="409.6" customHeight="1" s="49">
      <c r="A203" s="33" t="n"/>
      <c r="B203" s="34" t="n"/>
      <c r="C203" s="35" t="n"/>
      <c r="D203" s="34" t="n"/>
      <c r="E203" s="34" t="n"/>
      <c r="F203" s="34" t="n"/>
      <c r="G203" s="34" t="n"/>
      <c r="H203" s="34" t="n"/>
      <c r="I203" s="33" t="n"/>
      <c r="J203" s="34" t="n"/>
      <c r="K203" s="35" t="n"/>
      <c r="L203" s="34" t="n"/>
      <c r="M203" s="35" t="n"/>
      <c r="N203" s="34" t="n"/>
      <c r="O203" s="35" t="inlineStr">
        <is>
          <t>Mock</t>
        </is>
      </c>
      <c r="P203" s="35" t="inlineStr">
        <is>
          <t>Mock สภาเภสัชฯ Practice</t>
        </is>
      </c>
    </row>
    <row r="204" ht="409.6" customHeight="1" s="49">
      <c r="A204" s="33" t="n"/>
      <c r="B204" s="34" t="n"/>
      <c r="C204" s="35" t="n"/>
      <c r="D204" s="34" t="n"/>
      <c r="E204" s="34" t="n"/>
      <c r="F204" s="34" t="n"/>
      <c r="G204" s="34" t="n"/>
      <c r="H204" s="34" t="n"/>
      <c r="I204" s="33" t="n"/>
      <c r="J204" s="34" t="n"/>
      <c r="K204" s="35" t="n"/>
      <c r="L204" s="34" t="n"/>
      <c r="M204" s="35" t="n"/>
      <c r="N204" s="34" t="n"/>
      <c r="O204" s="35" t="inlineStr">
        <is>
          <t>Mock</t>
        </is>
      </c>
      <c r="P204" s="35" t="inlineStr">
        <is>
          <t>Mock สภาเภสัชฯ Practice</t>
        </is>
      </c>
    </row>
    <row r="205" ht="409.6" customHeight="1" s="49">
      <c r="A205" s="33" t="n"/>
      <c r="B205" s="34" t="n"/>
      <c r="C205" s="35" t="n"/>
      <c r="D205" s="34" t="n"/>
      <c r="E205" s="34" t="n"/>
      <c r="F205" s="34" t="n"/>
      <c r="G205" s="34" t="n"/>
      <c r="H205" s="34" t="n"/>
      <c r="I205" s="33" t="n"/>
      <c r="J205" s="34" t="n"/>
      <c r="K205" s="35" t="n"/>
      <c r="L205" s="34" t="n"/>
      <c r="M205" s="35" t="n"/>
      <c r="N205" s="34" t="n"/>
      <c r="O205" s="35" t="inlineStr">
        <is>
          <t>Mock</t>
        </is>
      </c>
      <c r="P205" s="35" t="inlineStr">
        <is>
          <t>Mock สภาเภสัชฯ Practice</t>
        </is>
      </c>
    </row>
    <row r="206" ht="409.6" customHeight="1" s="49">
      <c r="A206" s="33" t="n"/>
      <c r="B206" s="34" t="n"/>
      <c r="C206" s="35" t="n"/>
      <c r="D206" s="34" t="n"/>
      <c r="E206" s="34" t="n"/>
      <c r="F206" s="34" t="n"/>
      <c r="G206" s="34" t="n"/>
      <c r="H206" s="34" t="n"/>
      <c r="I206" s="33" t="n"/>
      <c r="J206" s="34" t="n"/>
      <c r="K206" s="35" t="n"/>
      <c r="L206" s="34" t="n"/>
      <c r="M206" s="35" t="n"/>
      <c r="N206" s="34" t="n"/>
      <c r="O206" s="35" t="inlineStr">
        <is>
          <t>Mock</t>
        </is>
      </c>
      <c r="P206" s="35" t="inlineStr">
        <is>
          <t>Mock สภาเภสัชฯ Practice</t>
        </is>
      </c>
    </row>
    <row r="207" ht="409.6" customHeight="1" s="49">
      <c r="A207" s="33" t="n"/>
      <c r="B207" s="34" t="n"/>
      <c r="C207" s="35" t="n"/>
      <c r="D207" s="34" t="n"/>
      <c r="E207" s="34" t="n"/>
      <c r="F207" s="34" t="n"/>
      <c r="G207" s="34" t="n"/>
      <c r="H207" s="34" t="n"/>
      <c r="I207" s="33" t="n"/>
      <c r="J207" s="34" t="n"/>
      <c r="K207" s="35" t="n"/>
      <c r="L207" s="34" t="n"/>
      <c r="M207" s="35" t="n"/>
      <c r="N207" s="34" t="n"/>
      <c r="O207" s="35" t="inlineStr">
        <is>
          <t>Mock</t>
        </is>
      </c>
      <c r="P207" s="35" t="inlineStr">
        <is>
          <t>Mock สภาเภสัชฯ Practice</t>
        </is>
      </c>
    </row>
    <row r="208" ht="409.6" customHeight="1" s="49">
      <c r="A208" s="33" t="n"/>
      <c r="B208" s="34" t="n"/>
      <c r="C208" s="35" t="n"/>
      <c r="D208" s="34" t="n"/>
      <c r="E208" s="34" t="n"/>
      <c r="F208" s="34" t="n"/>
      <c r="G208" s="34" t="n"/>
      <c r="H208" s="34" t="n"/>
      <c r="I208" s="33" t="n"/>
      <c r="J208" s="34" t="n"/>
      <c r="K208" s="35" t="n"/>
      <c r="L208" s="34" t="n"/>
      <c r="M208" s="35" t="n"/>
      <c r="N208" s="34" t="n"/>
      <c r="O208" s="35" t="inlineStr">
        <is>
          <t>Mock</t>
        </is>
      </c>
      <c r="P208" s="35" t="inlineStr">
        <is>
          <t>Mock สภาเภสัชฯ Practice</t>
        </is>
      </c>
    </row>
    <row r="209" ht="409.6" customHeight="1" s="49">
      <c r="A209" s="33" t="n"/>
      <c r="B209" s="34" t="n"/>
      <c r="C209" s="35" t="n"/>
      <c r="D209" s="34" t="n"/>
      <c r="E209" s="34" t="n"/>
      <c r="F209" s="34" t="n"/>
      <c r="G209" s="34" t="n"/>
      <c r="H209" s="34" t="n"/>
      <c r="I209" s="33" t="n"/>
      <c r="J209" s="34" t="n"/>
      <c r="K209" s="35" t="n"/>
      <c r="L209" s="34" t="n"/>
      <c r="M209" s="35" t="n"/>
      <c r="N209" s="34" t="n"/>
      <c r="O209" s="35" t="inlineStr">
        <is>
          <t>Mock</t>
        </is>
      </c>
      <c r="P209" s="35" t="inlineStr">
        <is>
          <t>Mock สภาเภสัชฯ Practice</t>
        </is>
      </c>
    </row>
    <row r="210" ht="409.6" customHeight="1" s="49">
      <c r="A210" s="33" t="n"/>
      <c r="B210" s="34" t="n"/>
      <c r="C210" s="35" t="n"/>
      <c r="D210" s="34" t="n"/>
      <c r="E210" s="34" t="n"/>
      <c r="F210" s="34" t="n"/>
      <c r="G210" s="34" t="n"/>
      <c r="H210" s="34" t="n"/>
      <c r="I210" s="33" t="n"/>
      <c r="J210" s="34" t="n"/>
      <c r="K210" s="35" t="n"/>
      <c r="L210" s="34" t="n"/>
      <c r="M210" s="35" t="n"/>
      <c r="N210" s="34" t="n"/>
      <c r="O210" s="35" t="inlineStr">
        <is>
          <t>Mock</t>
        </is>
      </c>
      <c r="P210" s="35" t="inlineStr">
        <is>
          <t>Mock สภาเภสัชฯ Practice</t>
        </is>
      </c>
    </row>
    <row r="211" ht="409.6" customHeight="1" s="49">
      <c r="A211" s="33" t="n"/>
      <c r="B211" s="34" t="n"/>
      <c r="C211" s="35" t="n"/>
      <c r="D211" s="34" t="n"/>
      <c r="E211" s="34" t="n"/>
      <c r="F211" s="34" t="n"/>
      <c r="G211" s="34" t="n"/>
      <c r="H211" s="34" t="n"/>
      <c r="I211" s="33" t="n"/>
      <c r="J211" s="34" t="n"/>
      <c r="K211" s="35" t="n"/>
      <c r="L211" s="34" t="n"/>
      <c r="M211" s="35" t="n"/>
      <c r="N211" s="34" t="n"/>
      <c r="O211" s="35" t="inlineStr">
        <is>
          <t>Mock</t>
        </is>
      </c>
      <c r="P211" s="35" t="inlineStr">
        <is>
          <t>Mock สภาเภสัชฯ Practice</t>
        </is>
      </c>
    </row>
    <row r="212" ht="409.6" customHeight="1" s="49">
      <c r="A212" s="33" t="n"/>
      <c r="B212" s="34" t="n"/>
      <c r="C212" s="35" t="n"/>
      <c r="D212" s="34" t="n"/>
      <c r="E212" s="34" t="n"/>
      <c r="F212" s="34" t="n"/>
      <c r="G212" s="34" t="n"/>
      <c r="H212" s="34" t="n"/>
      <c r="I212" s="33" t="n"/>
      <c r="J212" s="34" t="n"/>
      <c r="K212" s="35" t="n"/>
      <c r="L212" s="34" t="n"/>
      <c r="M212" s="35" t="n"/>
      <c r="N212" s="34" t="n"/>
      <c r="O212" s="35" t="inlineStr">
        <is>
          <t>Mock</t>
        </is>
      </c>
      <c r="P212" s="35" t="inlineStr">
        <is>
          <t>Mock สภาเภสัชฯ Practice</t>
        </is>
      </c>
    </row>
    <row r="213" ht="409.6" customHeight="1" s="49">
      <c r="A213" s="33" t="n"/>
      <c r="B213" s="34" t="n"/>
      <c r="C213" s="35" t="n"/>
      <c r="D213" s="34" t="n"/>
      <c r="E213" s="34" t="n"/>
      <c r="F213" s="34" t="n"/>
      <c r="G213" s="34" t="n"/>
      <c r="H213" s="34" t="n"/>
      <c r="I213" s="33" t="n"/>
      <c r="J213" s="34" t="n"/>
      <c r="K213" s="35" t="n"/>
      <c r="L213" s="34" t="n"/>
      <c r="M213" s="35" t="n"/>
      <c r="N213" s="34" t="n"/>
      <c r="O213" s="35" t="inlineStr">
        <is>
          <t>Mock</t>
        </is>
      </c>
      <c r="P213" s="35" t="inlineStr">
        <is>
          <t>Mock สภาเภสัชฯ Practice</t>
        </is>
      </c>
    </row>
    <row r="214" ht="409.6" customHeight="1" s="49">
      <c r="A214" s="33" t="n"/>
      <c r="B214" s="34" t="n"/>
      <c r="C214" s="35" t="n"/>
      <c r="D214" s="34" t="n"/>
      <c r="E214" s="34" t="n"/>
      <c r="F214" s="34" t="n"/>
      <c r="G214" s="34" t="n"/>
      <c r="H214" s="34" t="n"/>
      <c r="I214" s="33" t="n"/>
      <c r="J214" s="34" t="n"/>
      <c r="K214" s="35" t="n"/>
      <c r="L214" s="34" t="n"/>
      <c r="M214" s="35" t="n"/>
      <c r="N214" s="34" t="n"/>
      <c r="O214" s="35" t="inlineStr">
        <is>
          <t>Mock</t>
        </is>
      </c>
      <c r="P214" s="35" t="inlineStr">
        <is>
          <t>Mock สภาเภสัชฯ Practice</t>
        </is>
      </c>
    </row>
    <row r="215" ht="409.6" customHeight="1" s="49">
      <c r="A215" s="33" t="n"/>
      <c r="B215" s="34" t="n"/>
      <c r="C215" s="35" t="n"/>
      <c r="D215" s="34" t="n"/>
      <c r="E215" s="34" t="n"/>
      <c r="F215" s="34" t="n"/>
      <c r="G215" s="34" t="n"/>
      <c r="H215" s="34" t="n"/>
      <c r="I215" s="33" t="n"/>
      <c r="J215" s="34" t="n"/>
      <c r="K215" s="35" t="n"/>
      <c r="L215" s="34" t="n"/>
      <c r="M215" s="35" t="n"/>
      <c r="N215" s="34" t="n"/>
      <c r="O215" s="35" t="inlineStr">
        <is>
          <t>Mock</t>
        </is>
      </c>
      <c r="P215" s="35" t="inlineStr">
        <is>
          <t>Mock สภาเภสัชฯ Practice</t>
        </is>
      </c>
    </row>
    <row r="216" ht="409.6" customHeight="1" s="49">
      <c r="A216" s="33" t="n"/>
      <c r="B216" s="34" t="n"/>
      <c r="C216" s="35" t="n"/>
      <c r="D216" s="34" t="n"/>
      <c r="E216" s="34" t="n"/>
      <c r="F216" s="34" t="n"/>
      <c r="G216" s="34" t="n"/>
      <c r="H216" s="34" t="n"/>
      <c r="I216" s="33" t="n"/>
      <c r="J216" s="34" t="n"/>
      <c r="K216" s="35" t="n"/>
      <c r="L216" s="34" t="n"/>
      <c r="M216" s="35" t="n"/>
      <c r="N216" s="34" t="n"/>
      <c r="O216" s="35" t="inlineStr">
        <is>
          <t>Mock</t>
        </is>
      </c>
      <c r="P216" s="35" t="inlineStr">
        <is>
          <t>Mock สภาเภสัชฯ Practice</t>
        </is>
      </c>
    </row>
    <row r="217" ht="409.6" customHeight="1" s="49">
      <c r="A217" s="33" t="n"/>
      <c r="B217" s="34" t="n"/>
      <c r="C217" s="35" t="n"/>
      <c r="D217" s="34" t="n"/>
      <c r="E217" s="34" t="n"/>
      <c r="F217" s="34" t="n"/>
      <c r="G217" s="34" t="n"/>
      <c r="H217" s="34" t="n"/>
      <c r="I217" s="33" t="n"/>
      <c r="J217" s="34" t="n"/>
      <c r="K217" s="35" t="n"/>
      <c r="L217" s="34" t="n"/>
      <c r="M217" s="35" t="n"/>
      <c r="N217" s="34" t="n"/>
      <c r="O217" s="35" t="inlineStr">
        <is>
          <t>Mock</t>
        </is>
      </c>
      <c r="P217" s="35" t="inlineStr">
        <is>
          <t>Mock สภาเภสัชฯ Practice</t>
        </is>
      </c>
    </row>
    <row r="218" ht="409.6" customHeight="1" s="49">
      <c r="A218" s="33" t="n"/>
      <c r="B218" s="34" t="n"/>
      <c r="C218" s="35" t="n"/>
      <c r="D218" s="34" t="n"/>
      <c r="E218" s="34" t="n"/>
      <c r="F218" s="34" t="n"/>
      <c r="G218" s="34" t="n"/>
      <c r="H218" s="34" t="n"/>
      <c r="I218" s="33" t="n"/>
      <c r="J218" s="34" t="n"/>
      <c r="K218" s="35" t="n"/>
      <c r="L218" s="34" t="n"/>
      <c r="M218" s="35" t="n"/>
      <c r="N218" s="34" t="n"/>
      <c r="O218" s="35" t="inlineStr">
        <is>
          <t>Mock</t>
        </is>
      </c>
      <c r="P218" s="35" t="inlineStr">
        <is>
          <t>Mock สภาเภสัชฯ Practice</t>
        </is>
      </c>
    </row>
    <row r="219" ht="409.6" customHeight="1" s="49">
      <c r="A219" s="33" t="n"/>
      <c r="B219" s="34" t="n"/>
      <c r="C219" s="35" t="n"/>
      <c r="D219" s="34" t="n"/>
      <c r="E219" s="34" t="n"/>
      <c r="F219" s="34" t="n"/>
      <c r="G219" s="34" t="n"/>
      <c r="H219" s="34" t="n"/>
      <c r="I219" s="33" t="n"/>
      <c r="J219" s="34" t="n"/>
      <c r="K219" s="35" t="n"/>
      <c r="L219" s="34" t="n"/>
      <c r="M219" s="35" t="n"/>
      <c r="N219" s="34" t="n"/>
      <c r="O219" s="35" t="inlineStr">
        <is>
          <t>Mock</t>
        </is>
      </c>
      <c r="P219" s="35" t="inlineStr">
        <is>
          <t>Mock Rx20 UBU</t>
        </is>
      </c>
    </row>
    <row r="220" ht="409.6" customHeight="1" s="49">
      <c r="A220" s="33" t="n"/>
      <c r="B220" s="34" t="n"/>
      <c r="C220" s="35" t="n"/>
      <c r="D220" s="34" t="n"/>
      <c r="E220" s="34" t="n"/>
      <c r="F220" s="34" t="n"/>
      <c r="G220" s="34" t="n"/>
      <c r="H220" s="34" t="n"/>
      <c r="I220" s="33" t="n"/>
      <c r="J220" s="34" t="n"/>
      <c r="K220" s="35" t="n"/>
      <c r="L220" s="34" t="n"/>
      <c r="M220" s="35" t="n"/>
      <c r="N220" s="34" t="n"/>
      <c r="O220" s="35" t="inlineStr">
        <is>
          <t>Mock</t>
        </is>
      </c>
      <c r="P220" s="35" t="inlineStr">
        <is>
          <t>Mock Rx20 UBU</t>
        </is>
      </c>
    </row>
    <row r="221" ht="409.6" customHeight="1" s="49">
      <c r="A221" s="33" t="n"/>
      <c r="B221" s="34" t="n"/>
      <c r="C221" s="35" t="n"/>
      <c r="D221" s="34" t="n"/>
      <c r="E221" s="34" t="n"/>
      <c r="F221" s="34" t="n"/>
      <c r="G221" s="34" t="n"/>
      <c r="H221" s="34" t="n"/>
      <c r="I221" s="33" t="n"/>
      <c r="J221" s="34" t="n"/>
      <c r="K221" s="35" t="n"/>
      <c r="L221" s="34" t="n"/>
      <c r="M221" s="35" t="n"/>
      <c r="N221" s="34" t="n"/>
      <c r="O221" s="35" t="inlineStr">
        <is>
          <t>Mock</t>
        </is>
      </c>
      <c r="P221" s="35" t="inlineStr">
        <is>
          <t>Mock Rx20 UBU</t>
        </is>
      </c>
    </row>
    <row r="222" ht="409.6" customHeight="1" s="49">
      <c r="A222" s="33" t="n"/>
      <c r="B222" s="34" t="n"/>
      <c r="C222" s="35" t="n"/>
      <c r="D222" s="34" t="n"/>
      <c r="E222" s="34" t="n"/>
      <c r="F222" s="34" t="n"/>
      <c r="G222" s="34" t="n"/>
      <c r="H222" s="34" t="n"/>
      <c r="I222" s="33" t="n"/>
      <c r="J222" s="34" t="n"/>
      <c r="K222" s="35" t="n"/>
      <c r="L222" s="34" t="n"/>
      <c r="M222" s="35" t="n"/>
      <c r="N222" s="34" t="n"/>
      <c r="O222" s="35" t="inlineStr">
        <is>
          <t>Mock</t>
        </is>
      </c>
      <c r="P222" s="35" t="inlineStr">
        <is>
          <t>Mock Rx20 UBU</t>
        </is>
      </c>
    </row>
    <row r="223" ht="409.6" customHeight="1" s="49">
      <c r="A223" s="33" t="n"/>
      <c r="B223" s="34" t="n"/>
      <c r="C223" s="35" t="n"/>
      <c r="D223" s="34" t="n"/>
      <c r="E223" s="34" t="n"/>
      <c r="F223" s="34" t="n"/>
      <c r="G223" s="34" t="n"/>
      <c r="H223" s="34" t="n"/>
      <c r="I223" s="33" t="n"/>
      <c r="J223" s="34" t="n"/>
      <c r="K223" s="35" t="n"/>
      <c r="L223" s="34" t="n"/>
      <c r="M223" s="35" t="n"/>
      <c r="N223" s="34" t="n"/>
      <c r="O223" s="35" t="inlineStr">
        <is>
          <t>Mock</t>
        </is>
      </c>
      <c r="P223" s="35" t="inlineStr">
        <is>
          <t>Mock Rx20 UBU</t>
        </is>
      </c>
    </row>
    <row r="224" ht="409.6" customHeight="1" s="49">
      <c r="A224" s="33" t="n"/>
      <c r="B224" s="34" t="n"/>
      <c r="C224" s="35" t="n"/>
      <c r="D224" s="34" t="n"/>
      <c r="E224" s="34" t="n"/>
      <c r="F224" s="34" t="n"/>
      <c r="G224" s="34" t="n"/>
      <c r="H224" s="34" t="n"/>
      <c r="I224" s="33" t="n"/>
      <c r="J224" s="34" t="n"/>
      <c r="K224" s="35" t="n"/>
      <c r="L224" s="34" t="n"/>
      <c r="M224" s="35" t="n"/>
      <c r="N224" s="34" t="n"/>
      <c r="O224" s="35" t="inlineStr">
        <is>
          <t>Mock</t>
        </is>
      </c>
      <c r="P224" s="35" t="inlineStr">
        <is>
          <t>Mock Rx20 UBU</t>
        </is>
      </c>
    </row>
    <row r="225" ht="409.6" customHeight="1" s="49">
      <c r="A225" s="33" t="n"/>
      <c r="B225" s="34" t="n"/>
      <c r="C225" s="35" t="n"/>
      <c r="D225" s="34" t="n"/>
      <c r="E225" s="34" t="n"/>
      <c r="F225" s="34" t="n"/>
      <c r="G225" s="34" t="n"/>
      <c r="H225" s="34" t="n"/>
      <c r="I225" s="33" t="n"/>
      <c r="J225" s="34" t="n"/>
      <c r="K225" s="35" t="n"/>
      <c r="L225" s="34" t="n"/>
      <c r="M225" s="35" t="n"/>
      <c r="N225" s="34" t="n"/>
      <c r="O225" s="35" t="inlineStr">
        <is>
          <t>Mock</t>
        </is>
      </c>
      <c r="P225" s="35" t="inlineStr">
        <is>
          <t>Mock Rx20 UBU</t>
        </is>
      </c>
    </row>
    <row r="226" ht="409.6" customHeight="1" s="49">
      <c r="A226" s="33" t="n"/>
      <c r="B226" s="34" t="n"/>
      <c r="C226" s="35" t="n"/>
      <c r="D226" s="34" t="n"/>
      <c r="E226" s="34" t="n"/>
      <c r="F226" s="34" t="n"/>
      <c r="G226" s="34" t="n"/>
      <c r="H226" s="34" t="n"/>
      <c r="I226" s="33" t="n"/>
      <c r="J226" s="34" t="n"/>
      <c r="K226" s="35" t="n"/>
      <c r="L226" s="34" t="n"/>
      <c r="M226" s="35" t="n"/>
      <c r="N226" s="34" t="n"/>
      <c r="O226" s="35" t="inlineStr">
        <is>
          <t>Mock</t>
        </is>
      </c>
      <c r="P226" s="35" t="inlineStr">
        <is>
          <t>Mock Rx20 UBU</t>
        </is>
      </c>
    </row>
    <row r="227" ht="409.6" customHeight="1" s="49">
      <c r="A227" s="33" t="n"/>
      <c r="B227" s="34" t="n"/>
      <c r="C227" s="35" t="n"/>
      <c r="D227" s="34" t="n"/>
      <c r="E227" s="34" t="n"/>
      <c r="F227" s="34" t="n"/>
      <c r="G227" s="34" t="n"/>
      <c r="H227" s="34" t="n"/>
      <c r="I227" s="33" t="n"/>
      <c r="J227" s="34" t="n"/>
      <c r="K227" s="35" t="n"/>
      <c r="L227" s="34" t="n"/>
      <c r="M227" s="35" t="n"/>
      <c r="N227" s="34" t="n"/>
      <c r="O227" s="35" t="inlineStr">
        <is>
          <t>Mock</t>
        </is>
      </c>
      <c r="P227" s="35" t="inlineStr">
        <is>
          <t>Mock Rx20 UBU</t>
        </is>
      </c>
    </row>
    <row r="228" ht="409.6" customHeight="1" s="49">
      <c r="A228" s="33" t="n"/>
      <c r="B228" s="34" t="n"/>
      <c r="C228" s="35" t="n"/>
      <c r="D228" s="34" t="n"/>
      <c r="E228" s="34" t="n"/>
      <c r="F228" s="34" t="n"/>
      <c r="G228" s="34" t="n"/>
      <c r="H228" s="34" t="n"/>
      <c r="I228" s="33" t="n"/>
      <c r="J228" s="34" t="n"/>
      <c r="K228" s="35" t="n"/>
      <c r="L228" s="34" t="n"/>
      <c r="M228" s="35" t="n"/>
      <c r="N228" s="34" t="n"/>
      <c r="O228" s="35" t="inlineStr">
        <is>
          <t>Mock</t>
        </is>
      </c>
      <c r="P228" s="35" t="inlineStr">
        <is>
          <t>Mock Rx20 UBU</t>
        </is>
      </c>
    </row>
    <row r="229" ht="409.6" customHeight="1" s="49">
      <c r="A229" s="33" t="n"/>
      <c r="B229" s="34" t="n"/>
      <c r="C229" s="35" t="n"/>
      <c r="D229" s="34" t="n"/>
      <c r="E229" s="34" t="n"/>
      <c r="F229" s="34" t="n"/>
      <c r="G229" s="34" t="n"/>
      <c r="H229" s="34" t="n"/>
      <c r="I229" s="33" t="n"/>
      <c r="J229" s="34" t="n"/>
      <c r="K229" s="35" t="n"/>
      <c r="L229" s="34" t="n"/>
      <c r="M229" s="35" t="n"/>
      <c r="N229" s="34" t="n"/>
      <c r="O229" s="35" t="inlineStr">
        <is>
          <t>Mock</t>
        </is>
      </c>
      <c r="P229" s="35" t="inlineStr">
        <is>
          <t>Mock Rx20 UBU</t>
        </is>
      </c>
    </row>
    <row r="230" ht="409.6" customHeight="1" s="49">
      <c r="A230" s="33" t="n"/>
      <c r="B230" s="34" t="n"/>
      <c r="C230" s="35" t="n"/>
      <c r="D230" s="34" t="n"/>
      <c r="E230" s="34" t="n"/>
      <c r="F230" s="34" t="n"/>
      <c r="G230" s="34" t="n"/>
      <c r="H230" s="34" t="n"/>
      <c r="I230" s="33" t="n"/>
      <c r="J230" s="34" t="n"/>
      <c r="K230" s="35" t="n"/>
      <c r="L230" s="34" t="n"/>
      <c r="M230" s="35" t="n"/>
      <c r="N230" s="34" t="n"/>
      <c r="O230" s="35" t="inlineStr">
        <is>
          <t>Mock</t>
        </is>
      </c>
      <c r="P230" s="35" t="inlineStr">
        <is>
          <t>Mock Rx20 UBU</t>
        </is>
      </c>
    </row>
    <row r="231" ht="409.6" customHeight="1" s="49">
      <c r="A231" s="33" t="n"/>
      <c r="B231" s="34" t="n"/>
      <c r="C231" s="35" t="n"/>
      <c r="D231" s="34" t="n"/>
      <c r="E231" s="34" t="n"/>
      <c r="F231" s="34" t="n"/>
      <c r="G231" s="34" t="n"/>
      <c r="H231" s="34" t="n"/>
      <c r="I231" s="33" t="n"/>
      <c r="J231" s="34" t="n"/>
      <c r="K231" s="35" t="n"/>
      <c r="L231" s="34" t="n"/>
      <c r="M231" s="35" t="n"/>
      <c r="N231" s="34" t="n"/>
      <c r="O231" s="35" t="inlineStr">
        <is>
          <t>Mock</t>
        </is>
      </c>
      <c r="P231" s="35" t="inlineStr">
        <is>
          <t>Mock Rx20 UBU</t>
        </is>
      </c>
    </row>
    <row r="232" ht="409.6" customHeight="1" s="49">
      <c r="A232" s="33" t="n"/>
      <c r="B232" s="34" t="n"/>
      <c r="C232" s="35" t="n"/>
      <c r="D232" s="34" t="n"/>
      <c r="E232" s="34" t="n"/>
      <c r="F232" s="34" t="n"/>
      <c r="G232" s="34" t="n"/>
      <c r="H232" s="34" t="n"/>
      <c r="I232" s="33" t="n"/>
      <c r="J232" s="34" t="n"/>
      <c r="K232" s="35" t="n"/>
      <c r="L232" s="34" t="n"/>
      <c r="M232" s="35" t="n"/>
      <c r="N232" s="34" t="n"/>
      <c r="O232" s="35" t="inlineStr">
        <is>
          <t>Mock</t>
        </is>
      </c>
      <c r="P232" s="35" t="inlineStr">
        <is>
          <t>Mock Rx20 UBU</t>
        </is>
      </c>
    </row>
    <row r="233" ht="409.6" customHeight="1" s="49">
      <c r="A233" s="33" t="n"/>
      <c r="B233" s="34" t="n"/>
      <c r="C233" s="35" t="n"/>
      <c r="D233" s="34" t="n"/>
      <c r="E233" s="34" t="n"/>
      <c r="F233" s="34" t="n"/>
      <c r="G233" s="34" t="n"/>
      <c r="H233" s="34" t="n"/>
      <c r="I233" s="33" t="n"/>
      <c r="J233" s="34" t="n"/>
      <c r="K233" s="35" t="n"/>
      <c r="L233" s="34" t="n"/>
      <c r="M233" s="35" t="n"/>
      <c r="N233" s="34" t="n"/>
      <c r="O233" s="35" t="inlineStr">
        <is>
          <t>Mock</t>
        </is>
      </c>
      <c r="P233" s="35" t="inlineStr">
        <is>
          <t>Mock Rx20 UBU</t>
        </is>
      </c>
    </row>
    <row r="234" ht="409.6" customHeight="1" s="49">
      <c r="A234" s="33" t="n"/>
      <c r="B234" s="34" t="n"/>
      <c r="C234" s="35" t="n"/>
      <c r="D234" s="34" t="n"/>
      <c r="E234" s="34" t="n"/>
      <c r="F234" s="34" t="n"/>
      <c r="G234" s="34" t="n"/>
      <c r="H234" s="34" t="n"/>
      <c r="I234" s="33" t="n"/>
      <c r="J234" s="34" t="n"/>
      <c r="K234" s="35" t="n"/>
      <c r="L234" s="34" t="n"/>
      <c r="M234" s="35" t="n"/>
      <c r="N234" s="34" t="n"/>
      <c r="O234" s="35" t="inlineStr">
        <is>
          <t>Mock</t>
        </is>
      </c>
      <c r="P234" s="35" t="inlineStr">
        <is>
          <t>Mock Rx20 UBU</t>
        </is>
      </c>
    </row>
    <row r="235" ht="409.6" customHeight="1" s="49">
      <c r="A235" s="33" t="n"/>
      <c r="B235" s="34" t="n"/>
      <c r="C235" s="35" t="n"/>
      <c r="D235" s="34" t="n"/>
      <c r="E235" s="34" t="n"/>
      <c r="F235" s="34" t="n"/>
      <c r="G235" s="34" t="n"/>
      <c r="H235" s="34" t="n"/>
      <c r="I235" s="33" t="n"/>
      <c r="J235" s="34" t="n"/>
      <c r="K235" s="35" t="n"/>
      <c r="L235" s="34" t="n"/>
      <c r="M235" s="35" t="n"/>
      <c r="N235" s="34" t="n"/>
      <c r="O235" s="35" t="inlineStr">
        <is>
          <t>Mock</t>
        </is>
      </c>
      <c r="P235" s="35" t="inlineStr">
        <is>
          <t>Mock Rx20 UBU</t>
        </is>
      </c>
    </row>
    <row r="236" ht="409.6" customHeight="1" s="49">
      <c r="A236" s="33" t="n"/>
      <c r="B236" s="34" t="n"/>
      <c r="C236" s="35" t="n"/>
      <c r="D236" s="34" t="n"/>
      <c r="E236" s="34" t="n"/>
      <c r="F236" s="34" t="n"/>
      <c r="G236" s="34" t="n"/>
      <c r="H236" s="34" t="n"/>
      <c r="I236" s="33" t="n"/>
      <c r="J236" s="34" t="n"/>
      <c r="K236" s="35" t="n"/>
      <c r="L236" s="34" t="n"/>
      <c r="M236" s="35" t="n"/>
      <c r="N236" s="34" t="n"/>
      <c r="O236" s="35" t="inlineStr">
        <is>
          <t>Mock</t>
        </is>
      </c>
      <c r="P236" s="35" t="inlineStr">
        <is>
          <t>Mock Rx20 UBU</t>
        </is>
      </c>
    </row>
    <row r="237" ht="409.6" customHeight="1" s="49">
      <c r="A237" s="33" t="n"/>
      <c r="B237" s="34" t="n"/>
      <c r="C237" s="35" t="n"/>
      <c r="D237" s="34" t="n"/>
      <c r="E237" s="34" t="n"/>
      <c r="F237" s="34" t="n"/>
      <c r="G237" s="34" t="n"/>
      <c r="H237" s="34" t="n"/>
      <c r="I237" s="33" t="n"/>
      <c r="J237" s="34" t="n"/>
      <c r="K237" s="35" t="n"/>
      <c r="L237" s="34" t="n"/>
      <c r="M237" s="35" t="n"/>
      <c r="N237" s="34" t="n"/>
      <c r="O237" s="35" t="inlineStr">
        <is>
          <t>Mock</t>
        </is>
      </c>
      <c r="P237" s="35" t="inlineStr">
        <is>
          <t>Mock Rx20 UBU</t>
        </is>
      </c>
    </row>
    <row r="238" ht="409.6" customHeight="1" s="49">
      <c r="A238" s="33" t="n"/>
      <c r="B238" s="34" t="n"/>
      <c r="C238" s="35" t="n"/>
      <c r="D238" s="34" t="n"/>
      <c r="E238" s="34" t="n"/>
      <c r="F238" s="34" t="n"/>
      <c r="G238" s="34" t="n"/>
      <c r="H238" s="34" t="n"/>
      <c r="I238" s="33" t="n"/>
      <c r="J238" s="34" t="n"/>
      <c r="K238" s="35" t="n"/>
      <c r="L238" s="34" t="n"/>
      <c r="M238" s="35" t="n"/>
      <c r="N238" s="34" t="n"/>
      <c r="O238" s="35" t="inlineStr">
        <is>
          <t>Mock</t>
        </is>
      </c>
      <c r="P238" s="35" t="inlineStr">
        <is>
          <t>Mock Rx20 UBU</t>
        </is>
      </c>
    </row>
    <row r="239" ht="409.6" customHeight="1" s="49">
      <c r="A239" s="33" t="n"/>
      <c r="B239" s="34" t="n"/>
      <c r="C239" s="35" t="n"/>
      <c r="D239" s="34" t="n"/>
      <c r="E239" s="34" t="n"/>
      <c r="F239" s="34" t="n"/>
      <c r="G239" s="34" t="n"/>
      <c r="H239" s="34" t="n"/>
      <c r="I239" s="33" t="n"/>
      <c r="J239" s="34" t="n"/>
      <c r="K239" s="35" t="n"/>
      <c r="L239" s="34" t="n"/>
      <c r="M239" s="35" t="n"/>
      <c r="N239" s="34" t="n"/>
      <c r="O239" s="35" t="inlineStr">
        <is>
          <t>Mock</t>
        </is>
      </c>
      <c r="P239" s="35" t="inlineStr">
        <is>
          <t>Mock Rx20 UBU</t>
        </is>
      </c>
    </row>
    <row r="240" ht="409.6" customHeight="1" s="49">
      <c r="A240" s="33" t="n"/>
      <c r="B240" s="34" t="n"/>
      <c r="C240" s="35" t="n"/>
      <c r="D240" s="34" t="n"/>
      <c r="E240" s="34" t="n"/>
      <c r="F240" s="34" t="n"/>
      <c r="G240" s="34" t="n"/>
      <c r="H240" s="34" t="n"/>
      <c r="I240" s="33" t="n"/>
      <c r="J240" s="34" t="n"/>
      <c r="K240" s="35" t="n"/>
      <c r="L240" s="34" t="n"/>
      <c r="M240" s="35" t="n"/>
      <c r="N240" s="34" t="n"/>
      <c r="O240" s="35" t="inlineStr">
        <is>
          <t>Mock</t>
        </is>
      </c>
      <c r="P240" s="35" t="inlineStr">
        <is>
          <t>Mock Rx20 UBU</t>
        </is>
      </c>
    </row>
    <row r="241" ht="409.6" customHeight="1" s="49">
      <c r="A241" s="33" t="n"/>
      <c r="B241" s="34" t="n"/>
      <c r="C241" s="35" t="n"/>
      <c r="D241" s="34" t="n"/>
      <c r="E241" s="34" t="n"/>
      <c r="F241" s="34" t="n"/>
      <c r="G241" s="34" t="n"/>
      <c r="H241" s="34" t="n"/>
      <c r="I241" s="33" t="n"/>
      <c r="J241" s="34" t="n"/>
      <c r="K241" s="35" t="n"/>
      <c r="L241" s="34" t="n"/>
      <c r="M241" s="35" t="n"/>
      <c r="N241" s="34" t="n"/>
      <c r="O241" s="35" t="inlineStr">
        <is>
          <t>Mock</t>
        </is>
      </c>
      <c r="P241" s="35" t="inlineStr">
        <is>
          <t>Mock Rx20 UBU</t>
        </is>
      </c>
    </row>
    <row r="242" ht="409.6" customHeight="1" s="49">
      <c r="A242" s="33" t="n"/>
      <c r="B242" s="34" t="n"/>
      <c r="C242" s="35" t="n"/>
      <c r="D242" s="34" t="n"/>
      <c r="E242" s="34" t="n"/>
      <c r="F242" s="34" t="n"/>
      <c r="G242" s="34" t="n"/>
      <c r="H242" s="34" t="n"/>
      <c r="I242" s="33" t="n"/>
      <c r="J242" s="34" t="n"/>
      <c r="K242" s="35" t="n"/>
      <c r="L242" s="34" t="n"/>
      <c r="M242" s="35" t="n"/>
      <c r="N242" s="34" t="n"/>
      <c r="O242" s="35" t="inlineStr">
        <is>
          <t>Mock</t>
        </is>
      </c>
      <c r="P242" s="35" t="inlineStr">
        <is>
          <t>Mock Rx20 UBU</t>
        </is>
      </c>
    </row>
    <row r="243" ht="409.6" customHeight="1" s="49">
      <c r="A243" s="33" t="n"/>
      <c r="B243" s="34" t="n"/>
      <c r="C243" s="35" t="n"/>
      <c r="D243" s="34" t="n"/>
      <c r="E243" s="34" t="n"/>
      <c r="F243" s="34" t="n"/>
      <c r="G243" s="34" t="n"/>
      <c r="H243" s="34" t="n"/>
      <c r="I243" s="33" t="n"/>
      <c r="J243" s="34" t="n"/>
      <c r="K243" s="35" t="n"/>
      <c r="L243" s="34" t="n"/>
      <c r="M243" s="35" t="n"/>
      <c r="N243" s="34" t="n"/>
      <c r="O243" s="35" t="inlineStr">
        <is>
          <t>Mock</t>
        </is>
      </c>
      <c r="P243" s="35" t="inlineStr">
        <is>
          <t>Mock Rx20 UBU</t>
        </is>
      </c>
    </row>
    <row r="244" ht="409.6" customHeight="1" s="49">
      <c r="A244" s="33" t="n"/>
      <c r="B244" s="34" t="n"/>
      <c r="C244" s="35" t="n"/>
      <c r="D244" s="34" t="n"/>
      <c r="E244" s="34" t="n"/>
      <c r="F244" s="34" t="n"/>
      <c r="G244" s="34" t="n"/>
      <c r="H244" s="34" t="n"/>
      <c r="I244" s="33" t="n"/>
      <c r="J244" s="34" t="n"/>
      <c r="K244" s="35" t="n"/>
      <c r="L244" s="34" t="n"/>
      <c r="M244" s="35" t="n"/>
      <c r="N244" s="34" t="n"/>
      <c r="O244" s="35" t="inlineStr">
        <is>
          <t>Mock</t>
        </is>
      </c>
      <c r="P244" s="35" t="inlineStr">
        <is>
          <t>Mock Rx20 UBU</t>
        </is>
      </c>
    </row>
    <row r="245" ht="409.6" customHeight="1" s="49">
      <c r="A245" s="33" t="n"/>
      <c r="B245" s="34" t="n"/>
      <c r="C245" s="35" t="n"/>
      <c r="D245" s="34" t="n"/>
      <c r="E245" s="34" t="n"/>
      <c r="F245" s="34" t="n"/>
      <c r="G245" s="34" t="n"/>
      <c r="H245" s="34" t="n"/>
      <c r="I245" s="33" t="n"/>
      <c r="J245" s="34" t="n"/>
      <c r="K245" s="35" t="n"/>
      <c r="L245" s="34" t="n"/>
      <c r="M245" s="35" t="n"/>
      <c r="N245" s="34" t="n"/>
      <c r="O245" s="35" t="inlineStr">
        <is>
          <t>Mock</t>
        </is>
      </c>
      <c r="P245" s="35" t="inlineStr">
        <is>
          <t>Mock Rx20 UBU</t>
        </is>
      </c>
    </row>
    <row r="246" ht="409.6" customHeight="1" s="49">
      <c r="A246" s="33" t="n"/>
      <c r="B246" s="34" t="n"/>
      <c r="C246" s="35" t="n"/>
      <c r="D246" s="34" t="n"/>
      <c r="E246" s="34" t="n"/>
      <c r="F246" s="34" t="n"/>
      <c r="G246" s="34" t="n"/>
      <c r="H246" s="34" t="n"/>
      <c r="I246" s="33" t="n"/>
      <c r="J246" s="34" t="n"/>
      <c r="K246" s="35" t="n"/>
      <c r="L246" s="34" t="n"/>
      <c r="M246" s="35" t="n"/>
      <c r="N246" s="34" t="n"/>
      <c r="O246" s="35" t="inlineStr">
        <is>
          <t>Mock</t>
        </is>
      </c>
      <c r="P246" s="35" t="inlineStr">
        <is>
          <t>Mock Rx20 UBU</t>
        </is>
      </c>
    </row>
    <row r="247" ht="409.6" customHeight="1" s="49">
      <c r="A247" s="33" t="n"/>
      <c r="B247" s="34" t="n"/>
      <c r="C247" s="35" t="n"/>
      <c r="D247" s="34" t="n"/>
      <c r="E247" s="34" t="n"/>
      <c r="F247" s="34" t="n"/>
      <c r="G247" s="34" t="n"/>
      <c r="H247" s="34" t="n"/>
      <c r="I247" s="33" t="n"/>
      <c r="J247" s="34" t="n"/>
      <c r="K247" s="35" t="n"/>
      <c r="L247" s="34" t="n"/>
      <c r="M247" s="35" t="n"/>
      <c r="N247" s="34" t="n"/>
      <c r="O247" s="35" t="inlineStr">
        <is>
          <t>Mock</t>
        </is>
      </c>
      <c r="P247" s="35" t="inlineStr">
        <is>
          <t>Mock Rx20 UBU</t>
        </is>
      </c>
    </row>
    <row r="248" ht="409.6" customHeight="1" s="49">
      <c r="A248" s="33" t="n"/>
      <c r="B248" s="34" t="n"/>
      <c r="C248" s="35" t="n"/>
      <c r="D248" s="34" t="n"/>
      <c r="E248" s="34" t="n"/>
      <c r="F248" s="34" t="n"/>
      <c r="G248" s="34" t="n"/>
      <c r="H248" s="34" t="n"/>
      <c r="I248" s="33" t="n"/>
      <c r="J248" s="34" t="n"/>
      <c r="K248" s="35" t="n"/>
      <c r="L248" s="34" t="n"/>
      <c r="M248" s="35" t="n"/>
      <c r="N248" s="34" t="n"/>
      <c r="O248" s="35" t="inlineStr">
        <is>
          <t>ข้อสอบจริง</t>
        </is>
      </c>
      <c r="P248" s="35" t="inlineStr">
        <is>
          <t>ปี 2567</t>
        </is>
      </c>
    </row>
    <row r="249" ht="409.6" customHeight="1" s="49"/>
    <row r="250" ht="409.6" customHeight="1" s="49"/>
    <row r="251" ht="409.6" customHeight="1" s="49"/>
    <row r="252" ht="409.6" customHeight="1" s="49"/>
    <row r="253" ht="409.6" customHeight="1" s="49"/>
    <row r="254" ht="409.6" customHeight="1" s="49"/>
    <row r="255" ht="409.6" customHeight="1" s="49"/>
    <row r="256" ht="409.6" customHeight="1" s="49"/>
    <row r="257" ht="409.6" customHeight="1" s="49"/>
    <row r="258" ht="409.6" customHeight="1" s="49"/>
    <row r="259" ht="409.6" customHeight="1" s="49"/>
    <row r="260" ht="409.6" customHeight="1" s="49"/>
    <row r="261" ht="409.6" customHeight="1" s="49"/>
    <row r="262" ht="409.6" customHeight="1" s="49"/>
    <row r="263" ht="409.6" customHeight="1" s="49"/>
    <row r="264" ht="409.6" customHeight="1" s="49"/>
    <row r="265" ht="409.6" customHeight="1" s="49"/>
    <row r="266" ht="409.6" customHeight="1" s="49"/>
    <row r="267" ht="409.6" customHeight="1" s="49"/>
    <row r="268" ht="409.6" customHeight="1" s="49"/>
    <row r="269" ht="409.6" customHeight="1" s="49"/>
    <row r="270" ht="409.6" customHeight="1" s="49"/>
    <row r="271" ht="409.6" customHeight="1" s="49"/>
    <row r="272" ht="409.6" customHeight="1" s="49"/>
    <row r="273" ht="409.6" customHeight="1" s="49"/>
    <row r="274" ht="409.6" customHeight="1" s="49"/>
    <row r="275" ht="409.6" customHeight="1" s="49"/>
    <row r="276" ht="409.6" customHeight="1" s="49"/>
    <row r="277" ht="409.6" customHeight="1" s="49"/>
    <row r="278" ht="409.6" customHeight="1" s="49"/>
    <row r="279" ht="409.6" customHeight="1" s="49"/>
    <row r="280" ht="409.6" customHeight="1" s="49"/>
    <row r="281" ht="409.6" customHeight="1" s="49"/>
    <row r="282" ht="409.6" customHeight="1" s="49"/>
    <row r="283" ht="409.6" customHeight="1" s="49"/>
    <row r="284" ht="409.6" customHeight="1" s="49"/>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Q225"/>
  <sheetViews>
    <sheetView topLeftCell="E1" workbookViewId="0">
      <pane ySplit="2" topLeftCell="A3" activePane="bottomLeft" state="frozen"/>
      <selection pane="bottomLeft" activeCell="A3" sqref="A3:P225"/>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33" t="n">
        <v>1</v>
      </c>
      <c r="B3" s="34"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35" t="n"/>
      <c r="D3" s="34" t="inlineStr">
        <is>
          <t>เคยใช้ยารักษาสิวใดมาก่อนหรือไม่</t>
        </is>
      </c>
      <c r="E3" s="34" t="inlineStr">
        <is>
          <t>รับประทานยาคุมกำเนิดอยู่หรือไม่</t>
        </is>
      </c>
      <c r="F3" s="34" t="inlineStr">
        <is>
          <t>ออกกำลังกายโดยวิธีใด</t>
        </is>
      </c>
      <c r="G3" s="34" t="inlineStr">
        <is>
          <t>เคยมีประวัติแพ้หรือเครื่องสำอางใดมาก่อนหรือไม่</t>
        </is>
      </c>
      <c r="H3" s="34" t="inlineStr">
        <is>
          <t>กำลังตั้งครรภ์อยู่หรือไม่ หรือวางแผนจะมีบุตรในช่วงนี้หรือไม่</t>
        </is>
      </c>
      <c r="I3" s="33" t="n">
        <v>5</v>
      </c>
      <c r="J3" s="34"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35" t="n"/>
      <c r="L3" s="34" t="inlineStr">
        <is>
          <t>Acne</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35" t="n"/>
      <c r="D4" s="34" t="inlineStr">
        <is>
          <t>Chloramphenicol</t>
        </is>
      </c>
      <c r="E4" s="34" t="inlineStr">
        <is>
          <t>Tetracycline</t>
        </is>
      </c>
      <c r="F4" s="34" t="inlineStr">
        <is>
          <t>Roxithromycin</t>
        </is>
      </c>
      <c r="G4" s="34" t="inlineStr">
        <is>
          <t>Norfloxacin</t>
        </is>
      </c>
      <c r="H4" s="34" t="inlineStr">
        <is>
          <t>Azithromycin</t>
        </is>
      </c>
      <c r="I4" s="33" t="inlineStr">
        <is>
          <t>2</t>
        </is>
      </c>
      <c r="J4" s="34"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35" t="n"/>
      <c r="L4" s="34" t="inlineStr">
        <is>
          <t>Acne</t>
        </is>
      </c>
      <c r="M4" s="35" t="inlineStr">
        <is>
          <t>Clinic</t>
        </is>
      </c>
      <c r="N4" s="34" t="inlineStr">
        <is>
          <t>ข้อ 2 Pharma Plus เล่มม่วง (เฉลยข้อ ข)</t>
        </is>
      </c>
      <c r="O4" s="35" t="inlineStr">
        <is>
          <t>Mock</t>
        </is>
      </c>
      <c r="P4" s="35" t="inlineStr">
        <is>
          <t>Pharma Plus เล่มม่วง</t>
        </is>
      </c>
    </row>
    <row r="5" ht="13.2" customHeight="1" s="49">
      <c r="A5" s="33" t="n">
        <v>3</v>
      </c>
      <c r="B5" s="34" t="inlineStr">
        <is>
          <t>กลไกการออกฤทธิ์ของยาในข้อ 2 เป็นอย่างไร</t>
        </is>
      </c>
      <c r="C5" s="35" t="n"/>
      <c r="D5" s="34" t="inlineStr">
        <is>
          <t>ขัดขวางการสร้างผนังเซลล์ของเชื้อแบคทีเรีย ทำให้เซลล์แตกง่าย</t>
        </is>
      </c>
      <c r="E5" s="34" t="inlineStr">
        <is>
          <t>ยับยั้งการสร้าง folate ซึ่งจำเป็นต่อการสร้าง DNA ของเชื้อแบคทีเรีย</t>
        </is>
      </c>
      <c r="F5" s="34" t="inlineStr">
        <is>
          <t>ยับยั้งการสร้างไขมันของเชื้อ</t>
        </is>
      </c>
      <c r="G5" s="34" t="inlineStr">
        <is>
          <t>ยับยั้งการสร้างโปรตีนที่ 30S</t>
        </is>
      </c>
      <c r="H5" s="34" t="inlineStr">
        <is>
          <t>ยับยั้งการสร้างโปรตีนที่ 50S</t>
        </is>
      </c>
      <c r="I5" s="33" t="n">
        <v>4</v>
      </c>
      <c r="J5" s="34"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5" t="n"/>
      <c r="L5" s="34" t="inlineStr">
        <is>
          <t>Acne</t>
        </is>
      </c>
      <c r="M5" s="35" t="inlineStr">
        <is>
          <t>Clinic</t>
        </is>
      </c>
      <c r="N5" s="34" t="inlineStr">
        <is>
          <t>ข้อ 3 Pharma Plus เล่มม่วง (เฉลยข้อ จ)</t>
        </is>
      </c>
      <c r="O5" s="35" t="inlineStr">
        <is>
          <t>Mock</t>
        </is>
      </c>
      <c r="P5" s="35" t="inlineStr">
        <is>
          <t>Pharma Plus เล่มม่วง</t>
        </is>
      </c>
    </row>
    <row r="6" ht="13.2" customHeight="1" s="49">
      <c r="A6" s="33" t="n">
        <v>4</v>
      </c>
      <c r="B6" s="34" t="inlineStr">
        <is>
          <t>ยาทา (topical) ใดที่ไม่มีฤทธิ์ antibacterial</t>
        </is>
      </c>
      <c r="C6" s="35" t="n"/>
      <c r="D6" s="34" t="inlineStr">
        <is>
          <t>Erythromycin cream</t>
        </is>
      </c>
      <c r="E6" s="34" t="inlineStr">
        <is>
          <t>Benzoyl peroxide gel</t>
        </is>
      </c>
      <c r="F6" s="34" t="inlineStr">
        <is>
          <t>Adapalene gel</t>
        </is>
      </c>
      <c r="G6" s="34" t="inlineStr">
        <is>
          <t>Azelaic acid cream</t>
        </is>
      </c>
      <c r="H6" s="34" t="inlineStr">
        <is>
          <t>Clindamycin gel</t>
        </is>
      </c>
      <c r="I6" s="33" t="inlineStr">
        <is>
          <t>3</t>
        </is>
      </c>
      <c r="J6" s="34"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35" t="n"/>
      <c r="L6" s="34" t="inlineStr">
        <is>
          <t>Acne</t>
        </is>
      </c>
      <c r="M6" s="35" t="inlineStr">
        <is>
          <t>Clinic</t>
        </is>
      </c>
      <c r="N6" s="34" t="inlineStr">
        <is>
          <t>ข้อ 4 Pharma Plus เล่มม่วง (เฉลยข้อ ค)</t>
        </is>
      </c>
      <c r="O6" s="35" t="inlineStr">
        <is>
          <t>Mock</t>
        </is>
      </c>
      <c r="P6" s="35" t="inlineStr">
        <is>
          <t>Pharma Plus เล่มม่วง</t>
        </is>
      </c>
    </row>
    <row r="7" ht="13.2" customHeight="1" s="49">
      <c r="A7" s="33" t="n">
        <v>5</v>
      </c>
      <c r="B7" s="34" t="inlineStr">
        <is>
          <t>คำแนะนำเกี่ยวกับยา ATB ชนิดกินเพื่อรักษาสิวในผู้ป่วยรายนี้ ข้อใดผิด</t>
        </is>
      </c>
      <c r="C7" s="35" t="n"/>
      <c r="D7" s="34" t="inlineStr">
        <is>
          <t>ควรกินต่อเนื่อง 3-4 เดือน</t>
        </is>
      </c>
      <c r="E7" s="34" t="inlineStr">
        <is>
          <t>ผลข้างเคียงที่พบได้บ่อยคือ N/V</t>
        </is>
      </c>
      <c r="F7" s="34" t="inlineStr">
        <is>
          <t>จะเริ่มเห็นผลของยาในเวลา 3-4 weeks</t>
        </is>
      </c>
      <c r="G7" s="34" t="inlineStr">
        <is>
          <t>การใช้ยาจะเริ่มขนาดต่ำ ๆ แล้วค่อยเพิ่มขนาดสูงขึ้น</t>
        </is>
      </c>
      <c r="H7" s="34" t="inlineStr">
        <is>
          <t>อาจทำให้การคุมกำเนิดด้วย OC ไม่ได้ผล</t>
        </is>
      </c>
      <c r="I7" s="33" t="n">
        <v>4</v>
      </c>
      <c r="J7" s="34"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35" t="n"/>
      <c r="L7" s="34" t="inlineStr">
        <is>
          <t>Acne</t>
        </is>
      </c>
      <c r="M7" s="35" t="inlineStr">
        <is>
          <t>Clinic</t>
        </is>
      </c>
      <c r="N7" s="34" t="inlineStr">
        <is>
          <t>ข้อ 5 Pharma Plus เล่มม่วง (เฉลยข้อ ง)</t>
        </is>
      </c>
      <c r="O7" s="35" t="inlineStr">
        <is>
          <t>Mock</t>
        </is>
      </c>
      <c r="P7" s="35" t="inlineStr">
        <is>
          <t>Pharma Plus เล่มม่วง</t>
        </is>
      </c>
    </row>
    <row r="8" ht="13.2" customHeight="1" s="49">
      <c r="A8" s="33" t="n">
        <v>6</v>
      </c>
      <c r="B8" s="34" t="inlineStr">
        <is>
          <t>เภสัชกรจ่ายยาทา isotretinoin ให้กับผู้ป่วย ข้อแนะนำใดที่ให้กับผู้ป่วยไม่ถูกต้อง</t>
        </is>
      </c>
      <c r="C8" s="35" t="n"/>
      <c r="D8" s="34" t="inlineStr">
        <is>
          <t>ทายาวันละ 1 ครั้ง ตอนเช้าโดยไม่ให้ใช้ร่วมกับครีมกันแดด</t>
        </is>
      </c>
      <c r="E8" s="34" t="inlineStr">
        <is>
          <t>อาจทำให้สิวมากขึ้นในช่วง 3-4 สัปดาห์แรกที่ใช้ยา</t>
        </is>
      </c>
      <c r="F8" s="34" t="inlineStr">
        <is>
          <t>ทายาทั่วหน้า ระวังอย่าให้เข้าตา</t>
        </is>
      </c>
      <c r="G8" s="34" t="inlineStr">
        <is>
          <t>อาจเกิดอาการข้างเคียง คือ หน้าแดง แสบ แห้งและลอก</t>
        </is>
      </c>
      <c r="H8" s="34" t="inlineStr">
        <is>
          <t>ยาจะได้ผลดีเมื่อใช้ประมาณ 3-4 เดือน</t>
        </is>
      </c>
      <c r="I8" s="33" t="inlineStr">
        <is>
          <t>1</t>
        </is>
      </c>
      <c r="J8" s="34"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35" t="n"/>
      <c r="L8" s="34" t="inlineStr">
        <is>
          <t>Acne</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ยา isotretinoin มีข้อควรระวังที่สำคัญในผู้ป่วยรายนี้คือข้อใด</t>
        </is>
      </c>
      <c r="C9" s="35" t="n"/>
      <c r="D9" s="34" t="inlineStr">
        <is>
          <t>Cardiac arrhythmia</t>
        </is>
      </c>
      <c r="E9" s="34" t="inlineStr">
        <is>
          <t>Rhabdomyolysis</t>
        </is>
      </c>
      <c r="F9" s="34" t="inlineStr">
        <is>
          <t>Hemorrhagic stroke</t>
        </is>
      </c>
      <c r="G9" s="34" t="inlineStr">
        <is>
          <t>Teratogenic effect</t>
        </is>
      </c>
      <c r="H9" s="34" t="inlineStr">
        <is>
          <t>Subarachnoid hemorrhage</t>
        </is>
      </c>
      <c r="I9" s="33" t="inlineStr">
        <is>
          <t>4</t>
        </is>
      </c>
      <c r="J9" s="34"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35" t="n"/>
      <c r="L9" s="34" t="inlineStr">
        <is>
          <t>Acne</t>
        </is>
      </c>
      <c r="M9" s="35" t="inlineStr">
        <is>
          <t>Clinic</t>
        </is>
      </c>
      <c r="N9" s="34" t="inlineStr">
        <is>
          <t>ข้อ 7 Pharma Plus เล่มม่วง (เฉลยข้อ ง)</t>
        </is>
      </c>
      <c r="O9" s="35" t="inlineStr">
        <is>
          <t>Mock</t>
        </is>
      </c>
      <c r="P9" s="35" t="inlineStr">
        <is>
          <t>Pharma Plus เล่มม่วง</t>
        </is>
      </c>
    </row>
    <row r="10" ht="13.2" customHeight="1" s="49">
      <c r="A10" s="33" t="n">
        <v>8</v>
      </c>
      <c r="B10" s="34" t="inlineStr">
        <is>
          <t>ผู้ป่วยหญิงไทย อายุ 28 ปี มาพบเภสัชกรที่ร้านยา เพื่อซื้อยารักษาสิว ข้อใดสัมพันธ์กับการเกิดสิวน้อยที่สุด</t>
        </is>
      </c>
      <c r="C10" s="35" t="n"/>
      <c r="D10" s="34" t="inlineStr">
        <is>
          <t>พันธุกรรม</t>
        </is>
      </c>
      <c r="E10" s="34" t="inlineStr">
        <is>
          <t>ยา steroid</t>
        </is>
      </c>
      <c r="F10" s="34" t="inlineStr">
        <is>
          <t>ฮอร์โมนเพศไม่สมดุล</t>
        </is>
      </c>
      <c r="G10" s="34" t="inlineStr">
        <is>
          <t>ภาวะเครียด</t>
        </is>
      </c>
      <c r="H10" s="34" t="inlineStr">
        <is>
          <t>อาหารประเภทโปรตีนสูง</t>
        </is>
      </c>
      <c r="I10" s="33" t="inlineStr">
        <is>
          <t>5</t>
        </is>
      </c>
      <c r="J10" s="34"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35" t="n"/>
      <c r="L10" s="34" t="inlineStr">
        <is>
          <t>Acne</t>
        </is>
      </c>
      <c r="M10" s="35" t="inlineStr">
        <is>
          <t>Clinic</t>
        </is>
      </c>
      <c r="N10" s="34" t="inlineStr">
        <is>
          <t>ข้อ 8 Pharma Plus เล่มม่วง (เฉลยข้อ จ)</t>
        </is>
      </c>
      <c r="O10" s="35" t="inlineStr">
        <is>
          <t>Mock</t>
        </is>
      </c>
      <c r="P10" s="35" t="inlineStr">
        <is>
          <t>Pharma Plus เล่มม่วง</t>
        </is>
      </c>
    </row>
    <row r="11" ht="13.2" customHeight="1" s="49">
      <c r="A11" s="33" t="n">
        <v>9</v>
      </c>
      <c r="B11" s="34" t="inlineStr">
        <is>
          <t>ข้อใดผิดเกี่ยวกับวิธีการรักษาสิว</t>
        </is>
      </c>
      <c r="C11" s="35" t="n"/>
      <c r="D11" s="34" t="inlineStr">
        <is>
          <t>การลดการทำงานของต่อมไขมัน</t>
        </is>
      </c>
      <c r="E11" s="34" t="inlineStr">
        <is>
          <t>สิวอักเสบและสิวไม่อักเสบ มีวิธีการรักษาแตกต่างกัน</t>
        </is>
      </c>
      <c r="F11" s="34" t="inlineStr">
        <is>
          <t>การรักษาสิวที่ดีต้องเริ่มต้นด้วย systemic antibiotic เท่านั้น</t>
        </is>
      </c>
      <c r="G11" s="34" t="inlineStr">
        <is>
          <t>มีฮอร์โมนบางชนิดใช้รักษาสิวได้</t>
        </is>
      </c>
      <c r="H11" s="34" t="inlineStr">
        <is>
          <t>การใช้ antibiotic รักษาต้องใช้ติดต่อกันเป็นระยะยาว</t>
        </is>
      </c>
      <c r="I11" s="33" t="inlineStr">
        <is>
          <t>3</t>
        </is>
      </c>
      <c r="J11" s="34"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35" t="n"/>
      <c r="L11" s="34" t="inlineStr">
        <is>
          <t>Acne</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ข้อใดผิดเกี่ยวกับ Isotretinoin ชนิดรับประทาน</t>
        </is>
      </c>
      <c r="C12" s="35" t="n"/>
      <c r="D12" s="34" t="inlineStr">
        <is>
          <t>เป็นอนุพันธ์ของ vitamin A ที่ดูดซึมได้ในทางเดินอาหาร</t>
        </is>
      </c>
      <c r="E12" s="34" t="inlineStr">
        <is>
          <t>จัดเป็น drug of choice สำหรับการรักษาสิว</t>
        </is>
      </c>
      <c r="F12" s="34" t="inlineStr">
        <is>
          <t>ใช้ได้กับสิวที่ไม่ตอบสนองต่อการรักษาด้วยวิธีอื่น</t>
        </is>
      </c>
      <c r="G12" s="34" t="inlineStr">
        <is>
          <t>ห้ามใช้ในคนไข้ที่ตั้งครรภ์</t>
        </is>
      </c>
      <c r="H12" s="34" t="inlineStr">
        <is>
          <t>ทำให้ระดับ serum triglyceride สูงขึ้น</t>
        </is>
      </c>
      <c r="I12" s="33" t="inlineStr">
        <is>
          <t>2</t>
        </is>
      </c>
      <c r="J12" s="34"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35" t="n"/>
      <c r="L12" s="34" t="inlineStr">
        <is>
          <t>Acne</t>
        </is>
      </c>
      <c r="M12" s="35" t="inlineStr">
        <is>
          <t>Clinic</t>
        </is>
      </c>
      <c r="N12" s="34" t="inlineStr">
        <is>
          <t>ข้อ 10 Pharma Plus เล่มม่วง (เฉลยข้อ ข)</t>
        </is>
      </c>
      <c r="O12" s="35" t="inlineStr">
        <is>
          <t>Mock</t>
        </is>
      </c>
      <c r="P12" s="35" t="inlineStr">
        <is>
          <t>Pharma Plus เล่มม่วง</t>
        </is>
      </c>
    </row>
    <row r="13" ht="13.2" customHeight="1" s="49">
      <c r="A13" s="33" t="n">
        <v>11</v>
      </c>
      <c r="B13" s="34" t="inlineStr">
        <is>
          <t>ข้อใดผิดเกี่ยวกับการใช้ฮอร์โมนรักษาสิว</t>
        </is>
      </c>
      <c r="C13" s="35" t="n"/>
      <c r="D13" s="34" t="inlineStr">
        <is>
          <t>ใช้ยาคุมกำเนิดที่มี cyproterone เป็นส่วนประกอบ เช่น Yasmin</t>
        </is>
      </c>
      <c r="E13" s="34" t="inlineStr">
        <is>
          <t>Spironolactone ออกฤทธิ์ต้าน androgen ซึ่งจะทำให้ขนาดของต่อมไขมันและปริมาณของไขมันลดลง</t>
        </is>
      </c>
      <c r="F13" s="34" t="inlineStr">
        <is>
          <t>Spironolactone ไม่ควรใช้ในผู้ชาย เนื่องจากทำให้เกิดอาการ loss of libido และ gynecomastia</t>
        </is>
      </c>
      <c r="G13" s="34" t="inlineStr">
        <is>
          <t>การใช้ฮอร์โมนรักษาสิวควรพิจารณาในผู้หญิงที่มีสิวและมีภาวะอื่นของ hyperandrogen เช่น hirsutism</t>
        </is>
      </c>
      <c r="H13" s="34" t="inlineStr">
        <is>
          <t>ปริมาณของ ethinyl estradiol (EE) ที่ใช้คือ 0.02-0.035 mg</t>
        </is>
      </c>
      <c r="I13" s="33" t="n">
        <v>1</v>
      </c>
      <c r="J13" s="34"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35" t="n"/>
      <c r="L13" s="34" t="inlineStr">
        <is>
          <t>Acne</t>
        </is>
      </c>
      <c r="M13" s="35" t="inlineStr">
        <is>
          <t>Clinic</t>
        </is>
      </c>
      <c r="N13" s="34" t="inlineStr">
        <is>
          <t>ข้อ 11 Pharma Plus เล่มม่วง (เฉลยข้อ ก)</t>
        </is>
      </c>
      <c r="O13" s="35" t="inlineStr">
        <is>
          <t>Mock</t>
        </is>
      </c>
      <c r="P13" s="35" t="inlineStr">
        <is>
          <t>Pharma Plus เล่มม่วง</t>
        </is>
      </c>
    </row>
    <row r="14" ht="13.2" customHeight="1" s="49">
      <c r="A14" s="33" t="n">
        <v>12</v>
      </c>
      <c r="B14" s="34" t="inlineStr">
        <is>
          <t>ถ้าเภสัชกรพิจารณาให้ยา tetracycline แก่ผู้ป่วยข้อใดคือคำแนะนำที่ไม่ถูกต้อง</t>
        </is>
      </c>
      <c r="C14" s="35" t="n"/>
      <c r="D14" s="34" t="inlineStr">
        <is>
          <t>ควรหลีกเลี่ยงแสงแดด</t>
        </is>
      </c>
      <c r="E14" s="34" t="inlineStr">
        <is>
          <t>ไม่ควรรับประทานพร้อมนมหรือยาลดกรด</t>
        </is>
      </c>
      <c r="F14" s="34" t="inlineStr">
        <is>
          <t>ถ้าเป็นผู้หญิงที่รับประทานยาคุมกำเนิด ควรแนะนำให้คุมกำเนิดวิธีอื่นร่วมด้วย</t>
        </is>
      </c>
      <c r="G14" s="34" t="inlineStr">
        <is>
          <t>แนะนำให้ใช้ครีมกันแดด</t>
        </is>
      </c>
      <c r="H14" s="34" t="inlineStr">
        <is>
          <t>สามารถใช้ในหญิงมีครรภ์และหญิงให้นมบุตรได้</t>
        </is>
      </c>
      <c r="I14" s="33" t="n">
        <v>5</v>
      </c>
      <c r="J14" s="34"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5" t="n"/>
      <c r="L14" s="34" t="inlineStr">
        <is>
          <t>Acne</t>
        </is>
      </c>
      <c r="M14" s="35" t="inlineStr">
        <is>
          <t>Clinic</t>
        </is>
      </c>
      <c r="N14" s="34" t="inlineStr">
        <is>
          <t>ข้อ 12 Pharma Plus เล่มม่วง (เฉลยข้อ จ)</t>
        </is>
      </c>
      <c r="O14" s="35" t="inlineStr">
        <is>
          <t>Mock</t>
        </is>
      </c>
      <c r="P14" s="35" t="inlineStr">
        <is>
          <t>Pharma Plus เล่มม่วง</t>
        </is>
      </c>
    </row>
    <row r="15" ht="13.2" customHeight="1" s="49">
      <c r="A15" s="33" t="n">
        <v>13</v>
      </c>
      <c r="B15" s="34" t="inlineStr">
        <is>
          <t>ยาครีม isotretinoin 0.05% cream จัดเป็นยาประเภทใดตาม พรบ.ยา</t>
        </is>
      </c>
      <c r="C15" s="35" t="n"/>
      <c r="D15" s="34" t="inlineStr">
        <is>
          <t>ยาใช้ภายนอกที่ไม่ใช่ยาอันตราย</t>
        </is>
      </c>
      <c r="E15" s="34" t="inlineStr">
        <is>
          <t>ยาใช้ภายนอกและยาอันตราย</t>
        </is>
      </c>
      <c r="F15" s="34" t="inlineStr">
        <is>
          <t>ยาใช้ภายนอกและยาควบคุมพิเศษ</t>
        </is>
      </c>
      <c r="G15" s="34" t="inlineStr">
        <is>
          <t>ยาใช้เฉพาะที่และยาอันตราย</t>
        </is>
      </c>
      <c r="H15" s="34" t="inlineStr">
        <is>
          <t>ยาใช้เฉพาะที่และยาควบคุมพิเศษ</t>
        </is>
      </c>
      <c r="I15" s="33" t="inlineStr">
        <is>
          <t>2</t>
        </is>
      </c>
      <c r="J15" s="34"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35" t="n"/>
      <c r="L15" s="34" t="inlineStr">
        <is>
          <t>Acne</t>
        </is>
      </c>
      <c r="M15" s="35" t="inlineStr">
        <is>
          <t>Clinic</t>
        </is>
      </c>
      <c r="N15" s="34" t="inlineStr">
        <is>
          <t>ข้อ 13 Pharma Plus เล่มม่วง (เฉลยข้อ ข)</t>
        </is>
      </c>
      <c r="O15" s="35" t="inlineStr">
        <is>
          <t>Mock</t>
        </is>
      </c>
      <c r="P15" s="35" t="inlineStr">
        <is>
          <t>Pharma Plus เล่มม่วง</t>
        </is>
      </c>
    </row>
    <row r="16" ht="13.2" customHeight="1" s="49">
      <c r="A16" s="33" t="n">
        <v>14</v>
      </c>
      <c r="B16"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35" t="n"/>
      <c r="D16" s="34" t="inlineStr">
        <is>
          <t>Alkaloid</t>
        </is>
      </c>
      <c r="E16" s="34" t="inlineStr">
        <is>
          <t>Flavonoid</t>
        </is>
      </c>
      <c r="F16" s="34" t="inlineStr">
        <is>
          <t>Glycoside</t>
        </is>
      </c>
      <c r="G16" s="34" t="inlineStr">
        <is>
          <t>Retinoid</t>
        </is>
      </c>
      <c r="H16" s="34" t="inlineStr">
        <is>
          <t>Terpenoid</t>
        </is>
      </c>
      <c r="I16" s="33" t="inlineStr">
        <is>
          <t>4</t>
        </is>
      </c>
      <c r="J16" s="34"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35" t="n"/>
      <c r="L16" s="34" t="inlineStr">
        <is>
          <t>Acne</t>
        </is>
      </c>
      <c r="M16" s="35" t="inlineStr">
        <is>
          <t>Clinic</t>
        </is>
      </c>
      <c r="N16" s="34" t="inlineStr">
        <is>
          <t>ข้อ 14 Pharma Plus เล่มม่วง (เฉลยข้อ ง)</t>
        </is>
      </c>
      <c r="O16" s="35" t="inlineStr">
        <is>
          <t>Mock</t>
        </is>
      </c>
      <c r="P16" s="35" t="inlineStr">
        <is>
          <t>Pharma Plus เล่มม่วง</t>
        </is>
      </c>
    </row>
    <row r="17" ht="13.2" customHeight="1" s="49">
      <c r="A17" s="33" t="n">
        <v>15</v>
      </c>
      <c r="B17"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35" t="n"/>
      <c r="D17" s="34" t="inlineStr">
        <is>
          <t>Isotretinoin ออกฤทธิ์ลดการหลั่ง sebum</t>
        </is>
      </c>
      <c r="E17" s="34" t="inlineStr">
        <is>
          <t>Benzoyl peroxide ออกฤทธิ์โดยไปย่อย comedone และเร่งการแบ่งตัวของepithelial cell จึงลดการอุดตันของสิว</t>
        </is>
      </c>
      <c r="F17" s="34" t="inlineStr">
        <is>
          <t>Doxycycline ออกฤทธิ์โดยฆ่าเชื้อ P. acnes แต่ไม่มีฤทธิ์ต้านการทำงานของฮอร์โมนเพศชาย</t>
        </is>
      </c>
      <c r="G17" s="34" t="inlineStr">
        <is>
          <t>Isotretinoin สามารถเสริมฤทธิ์ต้านการอักเสบของ benzoyl peroxide</t>
        </is>
      </c>
      <c r="H17" s="34" t="inlineStr">
        <is>
          <t>Clindamycin ออกฤทธิ์ยับยั้งการสร้างไขมัน</t>
        </is>
      </c>
      <c r="I17" s="33" t="n">
        <v>3</v>
      </c>
      <c r="J17" s="34"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35" t="n"/>
      <c r="L17" s="34" t="inlineStr">
        <is>
          <t>Acne</t>
        </is>
      </c>
      <c r="M17" s="35" t="inlineStr">
        <is>
          <t>Clinic</t>
        </is>
      </c>
      <c r="N17" s="34" t="inlineStr">
        <is>
          <t>ข้อ 15 Pharma Plus เล่มม่วง (เฉลยข้อ ค)</t>
        </is>
      </c>
      <c r="O17" s="35" t="inlineStr">
        <is>
          <t>Mock</t>
        </is>
      </c>
      <c r="P17" s="35" t="inlineStr">
        <is>
          <t>Pharma Plus เล่มม่วง</t>
        </is>
      </c>
    </row>
    <row r="18" ht="13.2" customHeight="1" s="49">
      <c r="A18" s="33" t="n">
        <v>16</v>
      </c>
      <c r="B18"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35" t="n"/>
      <c r="D18" s="34" t="inlineStr">
        <is>
          <t>Anti-inflammation</t>
        </is>
      </c>
      <c r="E18" s="34" t="inlineStr">
        <is>
          <t>Antimicrobial</t>
        </is>
      </c>
      <c r="F18" s="34" t="inlineStr">
        <is>
          <t>Antioxidant</t>
        </is>
      </c>
      <c r="G18" s="34" t="inlineStr">
        <is>
          <t>Astringent</t>
        </is>
      </c>
      <c r="H18" s="34" t="inlineStr">
        <is>
          <t>Comedolytic</t>
        </is>
      </c>
      <c r="I18" s="33" t="inlineStr">
        <is>
          <t>5</t>
        </is>
      </c>
      <c r="J18" s="34"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35" t="n"/>
      <c r="L18" s="34" t="inlineStr">
        <is>
          <t>Acne</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35" t="n"/>
      <c r="D19" s="34" t="inlineStr">
        <is>
          <t>Comedonal acne</t>
        </is>
      </c>
      <c r="E19" s="34" t="inlineStr">
        <is>
          <t>Non-inflammatory acne</t>
        </is>
      </c>
      <c r="F19" s="34" t="inlineStr">
        <is>
          <t>Papular acne</t>
        </is>
      </c>
      <c r="G19" s="34" t="inlineStr">
        <is>
          <t>Pustule acne</t>
        </is>
      </c>
      <c r="H19" s="34" t="inlineStr">
        <is>
          <t>Nodulocystic acne</t>
        </is>
      </c>
      <c r="I19" s="33" t="inlineStr">
        <is>
          <t>5</t>
        </is>
      </c>
      <c r="J19" s="34"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35" t="n"/>
      <c r="L19" s="34" t="inlineStr">
        <is>
          <t>Acne</t>
        </is>
      </c>
      <c r="M19" s="35" t="inlineStr">
        <is>
          <t>Clinic</t>
        </is>
      </c>
      <c r="N19" s="34" t="inlineStr">
        <is>
          <t>ข้อ 17 Pharma Plus เล่มม่วง (เฉลยข้อ จ)</t>
        </is>
      </c>
      <c r="O19" s="35" t="inlineStr">
        <is>
          <t>Mock</t>
        </is>
      </c>
      <c r="P19" s="35" t="inlineStr">
        <is>
          <t>Pharma Plus เล่มม่วง</t>
        </is>
      </c>
    </row>
    <row r="20" ht="13.2" customHeight="1" s="49">
      <c r="A20" s="33" t="n">
        <v>18</v>
      </c>
      <c r="B20"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35" t="n"/>
      <c r="D20" s="34" t="inlineStr">
        <is>
          <t>ขนาดยารวมในผู้ป่วยปกติคือ 120-150 มก./กก.</t>
        </is>
      </c>
      <c r="E20" s="34" t="inlineStr">
        <is>
          <t>ผู้หญิงที่รับประทานยานี้ต้องคุมกำเนิดโดยวิธีอื่น ๆ ยกเว้นการรับประทานยาคุมกำเนิด</t>
        </is>
      </c>
      <c r="F20" s="34" t="inlineStr">
        <is>
          <t>ผู้ป่วยควรหลีกเลี่ยงการถูกแสงแดด เนื่องจากอาจเกิดภาวะผิวหนังไวต่อแสง</t>
        </is>
      </c>
      <c r="G20" s="34" t="inlineStr">
        <is>
          <t>อาการข้างเคียงที่พบได้บ่อยได้แก่ หน้าแห้ง ริมฝีปากลอก</t>
        </is>
      </c>
      <c r="H20" s="34" t="inlineStr">
        <is>
          <t>อาจมีระดับไตรกลีเซอไรด์ในเลือดสูง</t>
        </is>
      </c>
      <c r="I20" s="33" t="n">
        <v>2</v>
      </c>
      <c r="J20" s="34"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35" t="n"/>
      <c r="L20" s="34" t="inlineStr">
        <is>
          <t>Acne</t>
        </is>
      </c>
      <c r="M20" s="35" t="inlineStr">
        <is>
          <t>Clinic</t>
        </is>
      </c>
      <c r="N20" s="34" t="inlineStr">
        <is>
          <t>ข้อ 18 Pharma Plus เล่มม่วง (เฉลยข้อ ข)</t>
        </is>
      </c>
      <c r="O20" s="35" t="inlineStr">
        <is>
          <t>Mock</t>
        </is>
      </c>
      <c r="P20" s="35" t="inlineStr">
        <is>
          <t>Pharma Plus เล่มม่วง</t>
        </is>
      </c>
    </row>
    <row r="21" ht="13.2" customHeight="1" s="49">
      <c r="A21" s="33" t="n">
        <v>19</v>
      </c>
      <c r="B21"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35" t="n"/>
      <c r="D21" s="34" t="inlineStr">
        <is>
          <t>Chloramphenicol gel</t>
        </is>
      </c>
      <c r="E21" s="34" t="inlineStr">
        <is>
          <t>Erythromycin cream</t>
        </is>
      </c>
      <c r="F21" s="34" t="inlineStr">
        <is>
          <t>Benzoyl peroxide cream</t>
        </is>
      </c>
      <c r="G21" s="34" t="inlineStr">
        <is>
          <t>Benzoyl peroxide hydrophase gel</t>
        </is>
      </c>
      <c r="H21" s="34" t="inlineStr">
        <is>
          <t>Isotretinoin cream</t>
        </is>
      </c>
      <c r="I21" s="33" t="inlineStr">
        <is>
          <t>2</t>
        </is>
      </c>
      <c r="J21" s="34"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35" t="n"/>
      <c r="L21" s="34" t="inlineStr">
        <is>
          <t>Acne</t>
        </is>
      </c>
      <c r="M21" s="35" t="inlineStr">
        <is>
          <t>Clinic</t>
        </is>
      </c>
      <c r="N21" s="34" t="inlineStr">
        <is>
          <t>ข้อ 19 Pharma Plus เล่มม่วง (เฉลยข้อ ข)</t>
        </is>
      </c>
      <c r="O21" s="35" t="inlineStr">
        <is>
          <t>Mock</t>
        </is>
      </c>
      <c r="P21" s="35" t="inlineStr">
        <is>
          <t>Pharma Plus เล่มม่วง</t>
        </is>
      </c>
    </row>
    <row r="22" ht="13.2" customHeight="1" s="49">
      <c r="A22" s="33" t="n">
        <v>20</v>
      </c>
      <c r="B22" s="34"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35" t="n"/>
      <c r="D22" s="34" t="inlineStr">
        <is>
          <t>สิวเป็นความผิดปกติของผิวหนังที่พบการอักเสบของรูขุมขนและต่อมไขมัน (Pilosebaceous unit)</t>
        </is>
      </c>
      <c r="E22" s="34" t="inlineStr">
        <is>
          <t>ภาวะที่ร่างกายมีฮอร์โมน estrogen สูงขึ้นจะทำให้การหลั่ง chemotactic factors สำหรับ PMN เพิ่มขึ้น</t>
        </is>
      </c>
      <c r="F22" s="34" t="inlineStr">
        <is>
          <t>P. acnes จะย่อยสลาย sebum ให้เป็น glycerol และ free fatty acid ซึ่ง glycerol จะระคายเคืองและทำให้เกิดการอักเสบของผิวหนัง</t>
        </is>
      </c>
      <c r="G22" s="34" t="inlineStr">
        <is>
          <t>ส่วนประกอบสำคัญในยาคุมกำเนิดที่กระตุ้นทำให้เกิดสิวคือ ฮอร์โมน progesterone</t>
        </is>
      </c>
      <c r="H22" s="34" t="inlineStr">
        <is>
          <t>กรณีที่ follicular canal มีการขยายตัว จะเป็นสิวชนิด open comedone ซึ่งมักมีการอักเสbร่วมด้วย</t>
        </is>
      </c>
      <c r="I22" s="33" t="n">
        <v>1</v>
      </c>
      <c r="J22" s="34"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35" t="n"/>
      <c r="L22" s="34" t="inlineStr">
        <is>
          <t>Acne</t>
        </is>
      </c>
      <c r="M22" s="35" t="inlineStr">
        <is>
          <t>Clinic</t>
        </is>
      </c>
      <c r="N22" s="34" t="inlineStr">
        <is>
          <t>ข้อ 20 Pharma Plus เล่มม่วง (เฉลยข้อ ก)</t>
        </is>
      </c>
      <c r="O22" s="35" t="inlineStr">
        <is>
          <t>Mock</t>
        </is>
      </c>
      <c r="P22" s="35" t="inlineStr">
        <is>
          <t>Pharma Plus เล่มม่วง</t>
        </is>
      </c>
    </row>
    <row r="23" ht="13.2" customHeight="1" s="49">
      <c r="A23" s="33" t="n">
        <v>21</v>
      </c>
      <c r="B23" s="34"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35" t="n"/>
      <c r="D23" s="34" t="inlineStr">
        <is>
          <t>การรับประทานยาฆ่าเชื้อ</t>
        </is>
      </c>
      <c r="E23" s="34" t="inlineStr">
        <is>
          <t>การอดนอน</t>
        </is>
      </c>
      <c r="F23" s="34" t="inlineStr">
        <is>
          <t>การดื่มน้ำอัดลม</t>
        </is>
      </c>
      <c r="G23" s="34" t="inlineStr">
        <is>
          <t>มีฮอร์โมน androgen</t>
        </is>
      </c>
      <c r="H23" s="34" t="inlineStr">
        <is>
          <t>การที่ประจำเดือนมาไม่สม่ำเสมอ</t>
        </is>
      </c>
      <c r="I23" s="33" t="inlineStr">
        <is>
          <t>4</t>
        </is>
      </c>
      <c r="J23" s="34"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35" t="n"/>
      <c r="L23" s="34" t="inlineStr">
        <is>
          <t>Acne</t>
        </is>
      </c>
      <c r="M23" s="35" t="inlineStr">
        <is>
          <t>Clinic</t>
        </is>
      </c>
      <c r="N23" s="34" t="inlineStr">
        <is>
          <t>ข้อ 21 Pharma Plus เล่มม่วง (เฉลยข้อ ง)</t>
        </is>
      </c>
      <c r="O23" s="35" t="inlineStr">
        <is>
          <t>Mock</t>
        </is>
      </c>
      <c r="P23" s="35" t="inlineStr">
        <is>
          <t>Pharma Plus เล่มม่วง</t>
        </is>
      </c>
    </row>
    <row r="24" ht="13.2" customHeight="1" s="49">
      <c r="A24" s="33" t="n">
        <v>22</v>
      </c>
      <c r="B24" s="34" t="inlineStr">
        <is>
          <t>ข้อใดถูกต้องเกี่ยวกับการรักษาสิว</t>
        </is>
      </c>
      <c r="C24" s="35" t="n"/>
      <c r="D24" s="34" t="inlineStr">
        <is>
          <t>เป้าหมายของการรักษาคือเพื่อรักษาสิวและป้องกันการเกิดสิวขึ้นเพิ่ม</t>
        </is>
      </c>
      <c r="E24" s="34" t="inlineStr">
        <is>
          <t>หลักการรักษาคือ การกำจัดความมันบนใบหน้าให้หมดไปโดยสิ้นเชิง</t>
        </is>
      </c>
      <c r="F24" s="34" t="inlineStr">
        <is>
          <t>ผู้ป่วยทุกรายที่เป็นสิวควรได้รับยาต้านจุลชีพชนิดรับประทาน</t>
        </is>
      </c>
      <c r="G24" s="34" t="inlineStr">
        <is>
          <t>การใช้ยาเฉพาะที่ต้องให้เพียงชนิดใดชนิดหนึ่งเพียงอย่างเดียว</t>
        </is>
      </c>
      <c r="H24" s="34" t="inlineStr">
        <is>
          <t>ผู้ป่วยหญิงที่เป็นสิวทุกรายควรได้รับยาที่มีฤทธิ์ต้านฮอร์โมนโครโดเจน</t>
        </is>
      </c>
      <c r="I24" s="33" t="inlineStr">
        <is>
          <t>1</t>
        </is>
      </c>
      <c r="J24" s="34"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35" t="n"/>
      <c r="L24" s="34" t="inlineStr">
        <is>
          <t>Acne</t>
        </is>
      </c>
      <c r="M24" s="35" t="inlineStr">
        <is>
          <t>Clinic</t>
        </is>
      </c>
      <c r="N24" s="34" t="inlineStr">
        <is>
          <t>ข้อ 22 Pharma Plus เล่มม่วง (เฉลยข้อ ก)</t>
        </is>
      </c>
      <c r="O24" s="35" t="inlineStr">
        <is>
          <t>Mock</t>
        </is>
      </c>
      <c r="P24" s="35" t="inlineStr">
        <is>
          <t>Pharma Plus เล่มม่วง</t>
        </is>
      </c>
    </row>
    <row r="25" ht="13.2" customHeight="1" s="49">
      <c r="A25" s="33" t="n">
        <v>23</v>
      </c>
      <c r="B25" s="34" t="inlineStr">
        <is>
          <t>ผู้ป่วยรายนี้ควรได้รับยาใดในการรักษาสิว จึงจะเหมาะสมที่สุด</t>
        </is>
      </c>
      <c r="C25" s="35" t="n"/>
      <c r="D25" s="34" t="inlineStr">
        <is>
          <t>รับประทานยา antibacterial ร่วมกับทายา isotretinoin</t>
        </is>
      </c>
      <c r="E25" s="34" t="inlineStr">
        <is>
          <t>รับประทานยา antibacterial ร่วมกับทายา benzoyl peroxide</t>
        </is>
      </c>
      <c r="F25" s="34" t="inlineStr">
        <is>
          <t>รับประทานยา tretinoin ร่วมกับทายา antibacterial</t>
        </is>
      </c>
      <c r="G25" s="34" t="inlineStr">
        <is>
          <t>ทายา isotretinoin ร่วมกับทายา antibacterial</t>
        </is>
      </c>
      <c r="H25" s="34" t="inlineStr">
        <is>
          <t>ทายา isotretinoin ร่วมกับทายา benzoyl peroxide</t>
        </is>
      </c>
      <c r="I25" s="33" t="n">
        <v>2</v>
      </c>
      <c r="J25" s="34"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จะเป็นสูตรมาตรฐานตามหลักสากล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35" t="n"/>
      <c r="L25" s="34" t="inlineStr">
        <is>
          <t>Acne</t>
        </is>
      </c>
      <c r="M25" s="35" t="inlineStr">
        <is>
          <t>Clinic</t>
        </is>
      </c>
      <c r="N25" s="34" t="inlineStr">
        <is>
          <t>ข้อ 23 Pharma Plus เล่มม่วง (เฉลยข้อ ก ข)</t>
        </is>
      </c>
      <c r="O25" s="35" t="inlineStr">
        <is>
          <t>Mock</t>
        </is>
      </c>
      <c r="P25" s="35" t="inlineStr">
        <is>
          <t>Pharma Plus เล่มม่วง</t>
        </is>
      </c>
    </row>
    <row r="26" ht="13.2" customHeight="1" s="49">
      <c r="A26" s="33" t="n">
        <v>24</v>
      </c>
      <c r="B26" s="34" t="inlineStr">
        <is>
          <t>ข้อใดไม่ถูกต้องเกี่ยวกับรักษาสิว</t>
        </is>
      </c>
      <c r="C26" s="35" t="n"/>
      <c r="D26" s="34" t="inlineStr">
        <is>
          <t>Benzoyl peroxide เป็นยาที่มี antibacterial effect เป็นหลัก ฤทธิ์รองลงมาเป็น comedolytic และ exfoliative effect</t>
        </is>
      </c>
      <c r="E26" s="34" t="inlineStr">
        <is>
          <t>Isotretinoin และ tretinoin เป็นอนุพันธ์ของ retinoid ที่มี comedolytic effect</t>
        </is>
      </c>
      <c r="F26" s="34" t="inlineStr">
        <is>
          <t>Systemic antibacterial ที่ได้ผลดีในการรักษาสิวอักเสบคือ tetracycline, erythromycin และ clindamycin</t>
        </is>
      </c>
      <c r="G26" s="34" t="inlineStr">
        <is>
          <t>การใช้ benzoyl peroxide ร่วมกับ tretinoin จะช่วยเสริมฤทธิ์กันได้ดี</t>
        </is>
      </c>
      <c r="H26" s="34" t="inlineStr">
        <is>
          <t>Cyproterone acetate เป็น progesterone ที่มี anti-androgenic effect เนื่องจากไปแย่งจับตัวรับของ dihydrotestosterone</t>
        </is>
      </c>
      <c r="I26" s="33" t="inlineStr">
        <is>
          <t>4</t>
        </is>
      </c>
      <c r="J26" s="34"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35" t="n"/>
      <c r="L26" s="34" t="inlineStr">
        <is>
          <t>Acne</t>
        </is>
      </c>
      <c r="M26" s="35" t="inlineStr">
        <is>
          <t>Clinic</t>
        </is>
      </c>
      <c r="N26" s="34" t="inlineStr">
        <is>
          <t>ข้อ 24 Pharma Plus เล่มม่วง (เฉลยข้อ ง)</t>
        </is>
      </c>
      <c r="O26" s="35" t="inlineStr">
        <is>
          <t>Mock</t>
        </is>
      </c>
      <c r="P26" s="35" t="inlineStr">
        <is>
          <t>Pharma Plus เล่มม่วง</t>
        </is>
      </c>
    </row>
    <row r="27" ht="13.2" customHeight="1" s="49">
      <c r="A27" s="33" t="n">
        <v>25</v>
      </c>
      <c r="B27" s="34" t="inlineStr">
        <is>
          <t>คำแนะนำในการรักษาสิวที่ไม่เหมาะสมคือ</t>
        </is>
      </c>
      <c r="C27" s="35" t="n"/>
      <c r="D27" s="34" t="inlineStr">
        <is>
          <t>การทา benzoyl peroxide ในขณะที่ยังล้างหน้าไม่แห้งสนิทจะช่วยเพิ่มการระคายเคือง</t>
        </is>
      </c>
      <c r="E27" s="34" t="inlineStr">
        <is>
          <t>ควรทา antibacterial agent หลังล้างหน้าเพื่อให้สามารถดูดซึมเข้าสู่ผิวหนังได้ดี</t>
        </is>
      </c>
      <c r="F27" s="34" t="inlineStr">
        <is>
          <t>ควรทา tretinoin ในขณะผิวแห้ง โดยกรณีที่ผู้ป่วยมีผิวมัน ควรเลือกใช้ผลิตภัณฑ์ที่เป็นครีม</t>
        </is>
      </c>
      <c r="G27" s="34" t="inlineStr">
        <is>
          <t>ไม่ควรให้สตรีมีครรภ์รับประทานยา isotretinoin เนื่องจากอาจมีผลเสียต่อทารกในครรภ์</t>
        </is>
      </c>
      <c r="H27" s="34" t="inlineStr">
        <is>
          <t>ผู้ป่วยที่ทายา adapalene ควรหลีกเลี่ยงแสงแดด และไม่ควรใช้ยานี้ในสตรีมีครรภ์หรือให้นมบุตร</t>
        </is>
      </c>
      <c r="I27" s="33" t="n">
        <v>3</v>
      </c>
      <c r="J27" s="34"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35" t="n"/>
      <c r="L27" s="34" t="inlineStr">
        <is>
          <t>Acne</t>
        </is>
      </c>
      <c r="M27" s="35" t="inlineStr">
        <is>
          <t>Clinic</t>
        </is>
      </c>
      <c r="N27" s="34" t="inlineStr">
        <is>
          <t>ข้อ 25 Pharma Plus เล่มม่วง (เฉลยข้อ ข)</t>
        </is>
      </c>
      <c r="O27" s="35" t="inlineStr">
        <is>
          <t>Mock</t>
        </is>
      </c>
      <c r="P27" s="35" t="inlineStr">
        <is>
          <t>Pharma Plus เล่มม่วง</t>
        </is>
      </c>
    </row>
    <row r="28" ht="13.2" customHeight="1" s="49">
      <c r="A28" s="33" t="n">
        <v>26</v>
      </c>
      <c r="B28" s="34"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35" t="n"/>
      <c r="D28" s="34" t="inlineStr">
        <is>
          <t>บัวบก</t>
        </is>
      </c>
      <c r="E28" s="34" t="inlineStr">
        <is>
          <t>ขมิ้นชัน</t>
        </is>
      </c>
      <c r="F28" s="34" t="inlineStr">
        <is>
          <t>ว่านหางจระเข้</t>
        </is>
      </c>
      <c r="G28" s="34" t="inlineStr">
        <is>
          <t>หม่อน</t>
        </is>
      </c>
      <c r="H28" s="34" t="inlineStr">
        <is>
          <t>แตงกวา</t>
        </is>
      </c>
      <c r="I28" s="33" t="inlineStr">
        <is>
          <t>1</t>
        </is>
      </c>
      <c r="J28" s="34"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35" t="n"/>
      <c r="L28" s="34" t="inlineStr">
        <is>
          <t>Acne</t>
        </is>
      </c>
      <c r="M28" s="35" t="inlineStr">
        <is>
          <t>Clinic</t>
        </is>
      </c>
      <c r="N28" s="34" t="inlineStr">
        <is>
          <t>ข้อ 26 Pharma Plus เล่มม่วง (เฉลยข้อ ก)</t>
        </is>
      </c>
      <c r="O28" s="35" t="inlineStr">
        <is>
          <t>Mock</t>
        </is>
      </c>
      <c r="P28" s="35" t="inlineStr">
        <is>
          <t>Pharma Plus เล่มม่วง</t>
        </is>
      </c>
    </row>
    <row r="29" ht="13.2" customHeight="1" s="49">
      <c r="A29" s="33" t="n">
        <v>27</v>
      </c>
      <c r="B29" s="34" t="inlineStr">
        <is>
          <t>อาหารประเภทใดที่ต้องแนะนำให้ผู้ป่วยรายนี้งดหรือบริโภคให้น้อยลง</t>
        </is>
      </c>
      <c r="C29" s="35" t="n"/>
      <c r="D29" s="34" t="inlineStr">
        <is>
          <t>อาหารที่มีไขมันและคาร์โบไฮเดรตสูง</t>
        </is>
      </c>
      <c r="E29" s="34" t="inlineStr">
        <is>
          <t>อาหารที่มีโปรตีนและไฟเบอร์สูง</t>
        </is>
      </c>
      <c r="F29" s="34" t="inlineStr">
        <is>
          <t>อาหารที่มีวิตามิน และ แร่ธาตุสูง</t>
        </is>
      </c>
      <c r="G29" s="34" t="inlineStr">
        <is>
          <t>อาหารที่มีเกลือและวิตามินสูง</t>
        </is>
      </c>
      <c r="H29" s="34" t="inlineStr">
        <is>
          <t>อาหารที่มีรสเผ็ดและรสเปรี้ยว</t>
        </is>
      </c>
      <c r="I29" s="33" t="inlineStr">
        <is>
          <t>1</t>
        </is>
      </c>
      <c r="J29" s="34"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35" t="n"/>
      <c r="L29" s="34" t="inlineStr">
        <is>
          <t>Acne</t>
        </is>
      </c>
      <c r="M29" s="35" t="inlineStr">
        <is>
          <t>Clinic</t>
        </is>
      </c>
      <c r="N29" s="34" t="inlineStr">
        <is>
          <t>ข้อ 27 Pharma Plus เล่มม่วง (เฉลยข้อ ก)</t>
        </is>
      </c>
      <c r="O29" s="35" t="inlineStr">
        <is>
          <t>Mock</t>
        </is>
      </c>
      <c r="P29" s="35" t="inlineStr">
        <is>
          <t>Pharma Plus เล่มม่วง</t>
        </is>
      </c>
    </row>
    <row r="30" ht="13.2" customHeight="1" s="49">
      <c r="A30" s="33" t="n">
        <v>28</v>
      </c>
      <c r="B30" s="34"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35" t="n"/>
      <c r="D30" s="34" t="inlineStr">
        <is>
          <t>Norethindrone acetate 3 mg &amp; ethinylestradiol 0.05 mg</t>
        </is>
      </c>
      <c r="E30" s="34" t="inlineStr">
        <is>
          <t>Desogestrel 0.15 mg &amp; ethinylestradiol 0.03 mg</t>
        </is>
      </c>
      <c r="F30" s="34" t="inlineStr">
        <is>
          <t>Ethynodiol diacetate 1 mg &amp; ethinylestradiol 0.045 mg</t>
        </is>
      </c>
      <c r="G30" s="34" t="inlineStr">
        <is>
          <t>Cyproterone acetate 2 mg &amp; ethinylestradiol 0.035 mg</t>
        </is>
      </c>
      <c r="H30" s="34" t="inlineStr">
        <is>
          <t>Levonorgestrel 0.15 mg &amp; ethinylestradiol 0.025 mg</t>
        </is>
      </c>
      <c r="I30" s="33" t="inlineStr">
        <is>
          <t>4</t>
        </is>
      </c>
      <c r="J30" s="34"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35" t="n"/>
      <c r="L30" s="34" t="inlineStr">
        <is>
          <t>Acne</t>
        </is>
      </c>
      <c r="M30" s="35" t="inlineStr">
        <is>
          <t>Clinic</t>
        </is>
      </c>
      <c r="N30" s="34" t="inlineStr">
        <is>
          <t>ข้อ 28 Pharma Plus เล่มม่วง (เฉลยข้อ ง)</t>
        </is>
      </c>
      <c r="O30" s="35" t="inlineStr">
        <is>
          <t>Mock</t>
        </is>
      </c>
      <c r="P30" s="35" t="inlineStr">
        <is>
          <t>Pharma Plus เล่มม่วง</t>
        </is>
      </c>
    </row>
    <row r="31" ht="13.2" customHeight="1" s="49">
      <c r="A31" s="33" t="n">
        <v>29</v>
      </c>
      <c r="B31" s="34"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35" t="n"/>
      <c r="D31" s="34" t="inlineStr">
        <is>
          <t>Aloe vera gel</t>
        </is>
      </c>
      <c r="E31" s="34" t="inlineStr">
        <is>
          <t>Capsaicin gel</t>
        </is>
      </c>
      <c r="F31" s="34" t="inlineStr">
        <is>
          <t>Mupirocin ointment</t>
        </is>
      </c>
      <c r="G31" s="34" t="inlineStr">
        <is>
          <t>Gentamicin cream</t>
        </is>
      </c>
      <c r="H31" s="34" t="inlineStr">
        <is>
          <t>Silver sulfadiazine cream</t>
        </is>
      </c>
      <c r="I31" s="33" t="n">
        <v>5</v>
      </c>
      <c r="J31" s="34"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35" t="n"/>
      <c r="L31" s="34" t="inlineStr">
        <is>
          <t>Wound</t>
        </is>
      </c>
      <c r="M31" s="35" t="inlineStr">
        <is>
          <t>Clinic</t>
        </is>
      </c>
      <c r="N31" s="34" t="inlineStr">
        <is>
          <t>ข้อ 29 Pharma Plus เล่มม่วง (เฉลยข้อ จ)</t>
        </is>
      </c>
      <c r="O31" s="35" t="inlineStr">
        <is>
          <t>Mock</t>
        </is>
      </c>
      <c r="P31" s="35" t="inlineStr">
        <is>
          <t>Pharma Plus เล่มม่วง</t>
        </is>
      </c>
    </row>
    <row r="32" ht="13.2" customHeight="1" s="49">
      <c r="A32" s="33" t="n">
        <v>30</v>
      </c>
      <c r="B32" s="34" t="inlineStr">
        <is>
          <t>Mupirocin ointment มีข้อดีกว่า gentamicin cream อย่างไร</t>
        </is>
      </c>
      <c r="C32" s="35" t="n"/>
      <c r="D32" s="34" t="inlineStr">
        <is>
          <t>มีคุณสมบัติครอบคลุมเชื้อกลุ่ม anaerobic</t>
        </is>
      </c>
      <c r="E32" s="34" t="inlineStr">
        <is>
          <t>มีคุณสมบัติครอบคลุมเชื้อ MRSA</t>
        </is>
      </c>
      <c r="F32" s="34" t="inlineStr">
        <is>
          <t>มีคุณสมบัติครอบคลุมเชื้อ Pseudomonas aeruginosa</t>
        </is>
      </c>
      <c r="G32" s="34" t="inlineStr">
        <is>
          <t>ระคายเคืองน้อยกว่าและหายเร็วกว่า</t>
        </is>
      </c>
      <c r="H32" s="34" t="inlineStr">
        <is>
          <t>ดูดซึมเข้าผิวหนังได้ดี ใช้ในการติดเชื้อที่บริเวณผิวหนัง</t>
        </is>
      </c>
      <c r="I32" s="33" t="n">
        <v>2</v>
      </c>
      <c r="J32" s="34"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5" t="n"/>
      <c r="L32" s="34" t="inlineStr">
        <is>
          <t>Wound</t>
        </is>
      </c>
      <c r="M32" s="35" t="inlineStr">
        <is>
          <t>Clinic</t>
        </is>
      </c>
      <c r="N32" s="34" t="inlineStr">
        <is>
          <t>ข้อ 30 Pharma Plus เล่มม่วง (เฉลยข้อ ข)</t>
        </is>
      </c>
      <c r="O32" s="35" t="inlineStr">
        <is>
          <t>Mock</t>
        </is>
      </c>
      <c r="P32" s="35" t="inlineStr">
        <is>
          <t>Pharma Plus เล่มม่วง</t>
        </is>
      </c>
    </row>
    <row r="33" ht="13.2" customHeight="1" s="49">
      <c r="A33" s="33" t="n">
        <v>31</v>
      </c>
      <c r="B33" s="34" t="inlineStr">
        <is>
          <t>สมุนไพรใดนำมาใช้รักษาแผลเป็น</t>
        </is>
      </c>
      <c r="C33" s="35" t="n"/>
      <c r="D33" s="34" t="inlineStr">
        <is>
          <t>หอมหัวใหญ่</t>
        </is>
      </c>
      <c r="E33" s="34" t="inlineStr">
        <is>
          <t>กระเทียม</t>
        </is>
      </c>
      <c r="F33" s="34" t="inlineStr">
        <is>
          <t>พริกไทย</t>
        </is>
      </c>
      <c r="G33" s="34" t="inlineStr">
        <is>
          <t>มะกรูด</t>
        </is>
      </c>
      <c r="H33" s="34" t="inlineStr">
        <is>
          <t>ข่า</t>
        </is>
      </c>
      <c r="I33" s="33" t="inlineStr">
        <is>
          <t>1</t>
        </is>
      </c>
      <c r="J33" s="34"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35" t="n"/>
      <c r="L33" s="34" t="inlineStr">
        <is>
          <t>Wound</t>
        </is>
      </c>
      <c r="M33" s="35" t="inlineStr">
        <is>
          <t>Clinic</t>
        </is>
      </c>
      <c r="N33" s="34" t="inlineStr">
        <is>
          <t>ข้อ 31 Pharma Plus เล่มม่วง (เฉลยข้อ ก)</t>
        </is>
      </c>
      <c r="O33" s="35" t="inlineStr">
        <is>
          <t>Mock</t>
        </is>
      </c>
      <c r="P33" s="35" t="inlineStr">
        <is>
          <t>Pharma Plus เล่มม่วง</t>
        </is>
      </c>
    </row>
    <row r="34" ht="13.2" customHeight="1" s="49">
      <c r="A34" s="33" t="n">
        <v>32</v>
      </c>
      <c r="B34" s="34" t="inlineStr">
        <is>
          <t>สมุนไพรใดที่นำมาใช้เพื่อสมานแผล</t>
        </is>
      </c>
      <c r="C34" s="35" t="n"/>
      <c r="D34" s="34" t="inlineStr">
        <is>
          <t>ขมิ้น</t>
        </is>
      </c>
      <c r="E34" s="34" t="inlineStr">
        <is>
          <t>บัวบก</t>
        </is>
      </c>
      <c r="F34" s="34" t="inlineStr">
        <is>
          <t>พญายอ</t>
        </is>
      </c>
      <c r="G34" s="34" t="inlineStr">
        <is>
          <t>ทองพันชั่ง</t>
        </is>
      </c>
      <c r="H34" s="34" t="inlineStr">
        <is>
          <t>สะระแหน่</t>
        </is>
      </c>
      <c r="I34" s="33" t="inlineStr">
        <is>
          <t>2</t>
        </is>
      </c>
      <c r="J34" s="34"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35" t="n"/>
      <c r="L34" s="34" t="inlineStr">
        <is>
          <t>Wound</t>
        </is>
      </c>
      <c r="M34" s="35" t="inlineStr">
        <is>
          <t>Clinic</t>
        </is>
      </c>
      <c r="N34" s="34" t="inlineStr">
        <is>
          <t>ข้อ 32 Pharma Plus เล่มม่วง (เฉลยข้อ ข)</t>
        </is>
      </c>
      <c r="O34" s="35" t="inlineStr">
        <is>
          <t>Mock</t>
        </is>
      </c>
      <c r="P34" s="35" t="inlineStr">
        <is>
          <t>Pharma Plus เล่มม่วง</t>
        </is>
      </c>
    </row>
    <row r="35" ht="13.2" customHeight="1" s="49">
      <c r="A35" s="33" t="n">
        <v>33</v>
      </c>
      <c r="B35" s="34" t="inlineStr">
        <is>
          <t>อีก 1 สัปดาห์ต่อมา ผู้ป่วยมีภาวะแทรกซ้อน คือ cellulitis ได้เข้ารับการรักษาที่โรงพยาบาล ผู้ป่วยควรได้รับยาใด</t>
        </is>
      </c>
      <c r="C35" s="35" t="n"/>
      <c r="D35" s="34" t="inlineStr">
        <is>
          <t>Amoxicillin รับประทาน</t>
        </is>
      </c>
      <c r="E35" s="34" t="inlineStr">
        <is>
          <t>Cefdinir รับประทาน</t>
        </is>
      </c>
      <c r="F35" s="34" t="inlineStr">
        <is>
          <t>Ceftriaxone ฉีด</t>
        </is>
      </c>
      <c r="G35" s="34" t="inlineStr">
        <is>
          <t>Cloxacillin รับประทาน</t>
        </is>
      </c>
      <c r="H35" s="34" t="inlineStr">
        <is>
          <t>Penicillin G ฉีด</t>
        </is>
      </c>
      <c r="I35" s="33" t="n">
        <v>4</v>
      </c>
      <c r="J35" s="34"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35" t="n"/>
      <c r="L35" s="34" t="inlineStr">
        <is>
          <t>Bacterial Skin Infection</t>
        </is>
      </c>
      <c r="M35" s="35" t="inlineStr">
        <is>
          <t>Clinic</t>
        </is>
      </c>
      <c r="N35" s="34" t="inlineStr">
        <is>
          <t>ข้อ 33 Pharma Plus เล่มม่วง (เฉลยข้อ ง)</t>
        </is>
      </c>
      <c r="O35" s="35" t="inlineStr">
        <is>
          <t>Mock</t>
        </is>
      </c>
      <c r="P35" s="35" t="inlineStr">
        <is>
          <t>Pharma Plus เล่มม่วง</t>
        </is>
      </c>
    </row>
    <row r="36" ht="13.2" customHeight="1" s="49">
      <c r="A36" s="33" t="n">
        <v>34</v>
      </c>
      <c r="B36" s="34" t="inlineStr">
        <is>
          <t>ถ้าผู้ป่วย cellulitis แพ้ penicillin ควรให้ยาอะไรแทน</t>
        </is>
      </c>
      <c r="C36" s="35" t="n"/>
      <c r="D36" s="34" t="inlineStr">
        <is>
          <t>Clindamycin</t>
        </is>
      </c>
      <c r="E36" s="34" t="inlineStr">
        <is>
          <t>Cotrimoxazole</t>
        </is>
      </c>
      <c r="F36" s="34" t="inlineStr">
        <is>
          <t>Ciprofloxacin</t>
        </is>
      </c>
      <c r="G36" s="34" t="inlineStr">
        <is>
          <t>Doxycycline</t>
        </is>
      </c>
      <c r="H36" s="34" t="inlineStr">
        <is>
          <t>Erythromycin</t>
        </is>
      </c>
      <c r="I36" s="33" t="inlineStr">
        <is>
          <t>1</t>
        </is>
      </c>
      <c r="J36" s="34"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35" t="n"/>
      <c r="L36" s="34" t="inlineStr">
        <is>
          <t>Superficial fungal</t>
        </is>
      </c>
      <c r="M36" s="35" t="inlineStr">
        <is>
          <t>Clinic</t>
        </is>
      </c>
      <c r="N36" s="34" t="inlineStr">
        <is>
          <t>ข้อ 34 Pharma Plus เล่มม่วง (เฉลยข้อ ก ข ง)</t>
        </is>
      </c>
      <c r="O36" s="35" t="inlineStr">
        <is>
          <t>Mock</t>
        </is>
      </c>
      <c r="P36" s="35" t="inlineStr">
        <is>
          <t>Pharma Plus เล่มม่วง</t>
        </is>
      </c>
    </row>
    <row r="37" ht="13.2" customHeight="1" s="49">
      <c r="A37" s="33" t="n">
        <v>35</v>
      </c>
      <c r="B37" s="34"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35" t="n"/>
      <c r="D37" s="34" t="inlineStr">
        <is>
          <t>Tinea capitis</t>
        </is>
      </c>
      <c r="E37" s="34" t="inlineStr">
        <is>
          <t>Tinea corporis</t>
        </is>
      </c>
      <c r="F37" s="34" t="inlineStr">
        <is>
          <t>Tinea cruris</t>
        </is>
      </c>
      <c r="G37" s="34" t="inlineStr">
        <is>
          <t>Tinea versicolor</t>
        </is>
      </c>
      <c r="H37" s="34" t="inlineStr">
        <is>
          <t>Tinea pedis</t>
        </is>
      </c>
      <c r="I37" s="33" t="n">
        <v>1</v>
      </c>
      <c r="J37" s="34"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35" t="n"/>
      <c r="L37" s="34" t="inlineStr">
        <is>
          <t>Superficial fungal</t>
        </is>
      </c>
      <c r="M37" s="35" t="inlineStr">
        <is>
          <t>Clinic</t>
        </is>
      </c>
      <c r="N37" s="34" t="inlineStr">
        <is>
          <t>ข้อ 35 Pharma Plus เล่มม่วง (เฉลยข้อ ก)</t>
        </is>
      </c>
      <c r="O37" s="35" t="inlineStr">
        <is>
          <t>Mock</t>
        </is>
      </c>
      <c r="P37" s="35" t="inlineStr">
        <is>
          <t>Pharma Plus เล่มม่วง</t>
        </is>
      </c>
    </row>
    <row r="38" ht="13.2" customHeight="1" s="49">
      <c r="A38" s="33" t="n">
        <v>36</v>
      </c>
      <c r="B38" s="34"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35" t="n"/>
      <c r="D38" s="34" t="inlineStr">
        <is>
          <t>14 วัน</t>
        </is>
      </c>
      <c r="E38" s="34" t="inlineStr">
        <is>
          <t>2 เดือน</t>
        </is>
      </c>
      <c r="F38" s="34" t="inlineStr">
        <is>
          <t>3 เดือน</t>
        </is>
      </c>
      <c r="G38" s="34" t="inlineStr">
        <is>
          <t>4 เดือน</t>
        </is>
      </c>
      <c r="H38" s="34" t="inlineStr">
        <is>
          <t>5 เดือน</t>
        </is>
      </c>
      <c r="I38" s="33" t="inlineStr">
        <is>
          <t>2</t>
        </is>
      </c>
      <c r="J38" s="34"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35" t="n"/>
      <c r="L38" s="34" t="inlineStr">
        <is>
          <t>Eczema &amp; Dermatitis</t>
        </is>
      </c>
      <c r="M38" s="35" t="inlineStr">
        <is>
          <t>Clinic</t>
        </is>
      </c>
      <c r="N38" s="34" t="inlineStr">
        <is>
          <t>ข้อ 36 Pharma Plus เล่มม่วง (เฉลยข้อ ข)</t>
        </is>
      </c>
      <c r="O38" s="35" t="inlineStr">
        <is>
          <t>Mock</t>
        </is>
      </c>
      <c r="P38" s="35" t="inlineStr">
        <is>
          <t>Pharma Plus เล่มม่วง</t>
        </is>
      </c>
    </row>
    <row r="39" ht="13.2" customHeight="1" s="49">
      <c r="A39" s="33" t="n">
        <v>37</v>
      </c>
      <c r="B39" s="34" t="inlineStr">
        <is>
          <t>ข้อใดคือ กลไกการออกฤทธิ์ของยา griseofulvin</t>
        </is>
      </c>
      <c r="C39" s="35" t="n"/>
      <c r="D39" s="34" t="inlineStr">
        <is>
          <t>ยับยั้งและรบกวนการสังเคราะห์ ergosterol</t>
        </is>
      </c>
      <c r="E39" s="34" t="inlineStr">
        <is>
          <t>ยับยั้งการสร้าง mycolic acid ใน cell wall</t>
        </is>
      </c>
      <c r="F39" s="34" t="inlineStr">
        <is>
          <t>ยับยั้งการสร้าง microtubule ของ dermatophytes</t>
        </is>
      </c>
      <c r="G39" s="34" t="inlineStr">
        <is>
          <t>จับกับ phospholipids ยับยั้งการสร้าง cell wall</t>
        </is>
      </c>
      <c r="H39" s="34" t="inlineStr">
        <is>
          <t>จับกับ sterol ยับยั้งการสร้างผนังเซลล์</t>
        </is>
      </c>
      <c r="I39" s="33" t="inlineStr">
        <is>
          <t>3</t>
        </is>
      </c>
      <c r="J39" s="34"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35" t="n"/>
      <c r="L39" s="34" t="inlineStr">
        <is>
          <t>Superficial fungal</t>
        </is>
      </c>
      <c r="M39" s="35" t="inlineStr">
        <is>
          <t>Clinic</t>
        </is>
      </c>
      <c r="N39" s="34" t="inlineStr">
        <is>
          <t>ข้อ 37 Pharma Plus เล่มม่วง (เฉลยข้อ ค)</t>
        </is>
      </c>
      <c r="O39" s="35" t="inlineStr">
        <is>
          <t>Mock</t>
        </is>
      </c>
      <c r="P39" s="35" t="inlineStr">
        <is>
          <t>Pharma Plus เล่มม่วง</t>
        </is>
      </c>
    </row>
    <row r="40" ht="13.2" customHeight="1" s="49">
      <c r="A40" s="33" t="n">
        <v>38</v>
      </c>
      <c r="B40" s="34"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35" t="n"/>
      <c r="D40" s="34" t="inlineStr">
        <is>
          <t>มีเฉพาะยาฉีดเท่านั้น</t>
        </is>
      </c>
      <c r="E40" s="34" t="inlineStr">
        <is>
          <t>มีเฉพาะยาใช้ภายนอก</t>
        </is>
      </c>
      <c r="F40" s="34" t="inlineStr">
        <is>
          <t>มีอาการข้างเคียงน้อย</t>
        </is>
      </c>
      <c r="G40" s="34" t="inlineStr">
        <is>
          <t>ถูกเมตาบอไลต์ช้า อยู่ในร่างกายได้นาน</t>
        </is>
      </c>
      <c r="H40" s="34" t="inlineStr">
        <is>
          <t>มีปฏิกิริยาระหว่างยาลดลง</t>
        </is>
      </c>
      <c r="I40" s="33" t="n">
        <v>4</v>
      </c>
      <c r="J40" s="34"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35" t="n"/>
      <c r="L40" s="34" t="inlineStr">
        <is>
          <t>Superficial fungal</t>
        </is>
      </c>
      <c r="M40" s="35" t="inlineStr">
        <is>
          <t>Clinic</t>
        </is>
      </c>
      <c r="N40" s="34" t="inlineStr">
        <is>
          <t>ข้อ 38 Pharma Plus เล่มม่วง (เฉลยข้อ ง)</t>
        </is>
      </c>
      <c r="O40" s="35" t="inlineStr">
        <is>
          <t>Mock</t>
        </is>
      </c>
      <c r="P40" s="35" t="inlineStr">
        <is>
          <t>Pharma Plus เล่มม่วง</t>
        </is>
      </c>
    </row>
    <row r="41" ht="13.2" customHeight="1" s="49">
      <c r="A41" s="33" t="n">
        <v>39</v>
      </c>
      <c r="B41" s="34"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35" t="n"/>
      <c r="D41" s="34" t="inlineStr">
        <is>
          <t>Trichophyton spp.</t>
        </is>
      </c>
      <c r="E41" s="34" t="inlineStr">
        <is>
          <t>Cryptococcus spp.</t>
        </is>
      </c>
      <c r="F41" s="34" t="inlineStr">
        <is>
          <t>Malassezia furfur</t>
        </is>
      </c>
      <c r="G41" s="34" t="inlineStr">
        <is>
          <t>Pneumocystis carinii</t>
        </is>
      </c>
      <c r="H41" s="34" t="inlineStr">
        <is>
          <t>Staphylococcus aureus</t>
        </is>
      </c>
      <c r="I41" s="33" t="inlineStr">
        <is>
          <t>1</t>
        </is>
      </c>
      <c r="J41" s="34"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35" t="n"/>
      <c r="L41" s="34" t="inlineStr">
        <is>
          <t>Superficial fungal</t>
        </is>
      </c>
      <c r="M41" s="35" t="inlineStr">
        <is>
          <t>Clinic</t>
        </is>
      </c>
      <c r="N41" s="34" t="inlineStr">
        <is>
          <t>ข้อ 39 Pharma Plus เล่มม่วง (เฉลยข้อ ก)</t>
        </is>
      </c>
      <c r="O41" s="35" t="inlineStr">
        <is>
          <t>Mock</t>
        </is>
      </c>
      <c r="P41" s="35" t="inlineStr">
        <is>
          <t>Pharma Plus เล่มม่วง</t>
        </is>
      </c>
    </row>
    <row r="42" ht="13.2" customHeight="1" s="49">
      <c r="A42" s="33" t="n">
        <v>40</v>
      </c>
      <c r="B42" s="34"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35" t="n"/>
      <c r="D42" s="34" t="inlineStr">
        <is>
          <t>Whitefield's ointment</t>
        </is>
      </c>
      <c r="E42" s="34" t="inlineStr">
        <is>
          <t>Clotrimazole cream</t>
        </is>
      </c>
      <c r="F42" s="34" t="inlineStr">
        <is>
          <t>Ciclopirox olamine</t>
        </is>
      </c>
      <c r="G42" s="34" t="inlineStr">
        <is>
          <t>Selenium sulfide</t>
        </is>
      </c>
      <c r="H42" s="34" t="inlineStr">
        <is>
          <t>Sulfur dioxide</t>
        </is>
      </c>
      <c r="I42" s="33" t="inlineStr">
        <is>
          <t>3</t>
        </is>
      </c>
      <c r="J42" s="34"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35" t="n"/>
      <c r="L42" s="34" t="inlineStr">
        <is>
          <t>Superficial fungal</t>
        </is>
      </c>
      <c r="M42" s="35" t="inlineStr">
        <is>
          <t>Clinic</t>
        </is>
      </c>
      <c r="N42" s="34" t="inlineStr">
        <is>
          <t>ข้อ 40 Pharma Plus เล่มม่วง (เฉลยข้อ ค)</t>
        </is>
      </c>
      <c r="O42" s="35" t="inlineStr">
        <is>
          <t>Mock</t>
        </is>
      </c>
      <c r="P42" s="35" t="inlineStr">
        <is>
          <t>Pharma Plus เล่มม่วง</t>
        </is>
      </c>
    </row>
    <row r="43" ht="13.2" customHeight="1" s="49">
      <c r="A43" s="33" t="n">
        <v>41</v>
      </c>
      <c r="B43" s="34"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35" t="n"/>
      <c r="D43" s="34" t="inlineStr">
        <is>
          <t>4 สัปดาห์</t>
        </is>
      </c>
      <c r="E43" s="34" t="inlineStr">
        <is>
          <t>2 เดือน</t>
        </is>
      </c>
      <c r="F43" s="34" t="inlineStr">
        <is>
          <t>6 เดือน</t>
        </is>
      </c>
      <c r="G43" s="34" t="inlineStr">
        <is>
          <t>8 เดือน</t>
        </is>
      </c>
      <c r="H43" s="34" t="inlineStr">
        <is>
          <t>จนกว่าเล็บจะเป็นปกติ</t>
        </is>
      </c>
      <c r="I43" s="33" t="n">
        <v>3</v>
      </c>
      <c r="J43" s="34"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35" t="n"/>
      <c r="L43" s="34" t="inlineStr">
        <is>
          <t>Superficial fungal</t>
        </is>
      </c>
      <c r="M43" s="35" t="inlineStr">
        <is>
          <t>Clinic</t>
        </is>
      </c>
      <c r="N43" s="34" t="inlineStr">
        <is>
          <t>ข้อ 41 Pharma Plus เล่มม่วง (เฉลยข้อ )</t>
        </is>
      </c>
      <c r="O43" s="35" t="inlineStr">
        <is>
          <t>Mock</t>
        </is>
      </c>
      <c r="P43" s="35" t="inlineStr">
        <is>
          <t>Pharma Plus เล่มม่วง</t>
        </is>
      </c>
    </row>
    <row r="44" ht="13.2" customHeight="1" s="49">
      <c r="A44" s="33" t="n">
        <v>42</v>
      </c>
      <c r="B44" s="34" t="inlineStr">
        <is>
          <t>ข้อใดไม่ใช่เหตุผลในการให้ยา itraconazole pulse therapy</t>
        </is>
      </c>
      <c r="C44" s="35" t="n"/>
      <c r="D44" s="34" t="inlineStr">
        <is>
          <t>ลดค่าใช้จ่าย</t>
        </is>
      </c>
      <c r="E44" s="34" t="inlineStr">
        <is>
          <t>ลดอาการอันไม่พึงประสงค์จากการใช้ยา</t>
        </is>
      </c>
      <c r="F44" s="34" t="inlineStr">
        <is>
          <t>เพิ่ม compliance ในการรักษา</t>
        </is>
      </c>
      <c r="G44" s="34" t="inlineStr">
        <is>
          <t>การรักษาแบบ pulse therapy ให้ผลการรักษาเหมือนกับการรักษาแบบเดิม</t>
        </is>
      </c>
      <c r="H44" s="34" t="inlineStr">
        <is>
          <t>ลดปัญหาการดื้อยา</t>
        </is>
      </c>
      <c r="I44" s="33" t="inlineStr">
        <is>
          <t>5</t>
        </is>
      </c>
      <c r="J44" s="34"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35" t="n"/>
      <c r="L44" s="34" t="inlineStr">
        <is>
          <t>Superficial fungal</t>
        </is>
      </c>
      <c r="M44" s="35" t="inlineStr">
        <is>
          <t>Clinic</t>
        </is>
      </c>
      <c r="N44" s="34" t="inlineStr">
        <is>
          <t>ข้อ 42 Pharma Plus เล่มม่วง (เฉลยข้อ จ)</t>
        </is>
      </c>
      <c r="O44" s="35" t="inlineStr">
        <is>
          <t>Mock</t>
        </is>
      </c>
      <c r="P44" s="35" t="inlineStr">
        <is>
          <t>Pharma Plus เล่มม่วง</t>
        </is>
      </c>
    </row>
    <row r="45" ht="13.2" customHeight="1" s="49">
      <c r="A45" s="33" t="n">
        <v>43</v>
      </c>
      <c r="B45" s="34" t="inlineStr">
        <is>
          <t>ถ้าใช้ Itraconazole tablet แล้วการรักษาล้มเหลว จะใช้อะไรในการรักษาได้อีก</t>
        </is>
      </c>
      <c r="C45" s="35" t="n"/>
      <c r="D45" s="34" t="inlineStr">
        <is>
          <t>Griseofulvin</t>
        </is>
      </c>
      <c r="E45" s="34" t="inlineStr">
        <is>
          <t>Terbinafine</t>
        </is>
      </c>
      <c r="F45" s="34" t="inlineStr">
        <is>
          <t>Tolnaftate</t>
        </is>
      </c>
      <c r="G45" s="34" t="inlineStr">
        <is>
          <t>Fluconazole</t>
        </is>
      </c>
      <c r="H45" s="34" t="inlineStr">
        <is>
          <t>Miconazole</t>
        </is>
      </c>
      <c r="I45" s="33" t="inlineStr">
        <is>
          <t>2</t>
        </is>
      </c>
      <c r="J45" s="34"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35" t="n"/>
      <c r="L45" s="34" t="inlineStr">
        <is>
          <t>Superficial fungal</t>
        </is>
      </c>
      <c r="M45" s="35" t="inlineStr">
        <is>
          <t>Clinic</t>
        </is>
      </c>
      <c r="N45" s="34" t="inlineStr">
        <is>
          <t>ข้อ 43 Pharma Plus เล่มม่วง (เฉลยข้อ ข)</t>
        </is>
      </c>
      <c r="O45" s="35" t="inlineStr">
        <is>
          <t>Mock</t>
        </is>
      </c>
      <c r="P45" s="35" t="inlineStr">
        <is>
          <t>Pharma Plus เล่มม่วง</t>
        </is>
      </c>
    </row>
    <row r="46" ht="13.2" customHeight="1" s="49">
      <c r="A46" s="33" t="n">
        <v>44</v>
      </c>
      <c r="B46" s="34" t="inlineStr">
        <is>
          <t>กลไกการออกฤทธิ์ของยา amphotericin B</t>
        </is>
      </c>
      <c r="C46" s="35" t="n"/>
      <c r="D46" s="34" t="inlineStr">
        <is>
          <t>ยับยั้ง CYP 450</t>
        </is>
      </c>
      <c r="E46" s="34" t="inlineStr">
        <is>
          <t>ยับยั้งการสร้าง ergosterol</t>
        </is>
      </c>
      <c r="F46" s="34" t="inlineStr">
        <is>
          <t>จับ ergosterol ทำให้เกิดรูรั่วของ cell membrane</t>
        </is>
      </c>
      <c r="G46" s="34" t="inlineStr">
        <is>
          <t>ยับยั้งการสร้าง RNA polymerase</t>
        </is>
      </c>
      <c r="H46" s="34" t="inlineStr">
        <is>
          <t>ยับยั้งการสร้างโปรตีน</t>
        </is>
      </c>
      <c r="I46" s="33" t="inlineStr">
        <is>
          <t>3</t>
        </is>
      </c>
      <c r="J46" s="34"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35" t="n"/>
      <c r="L46" s="34" t="inlineStr">
        <is>
          <t>Superficial fungal</t>
        </is>
      </c>
      <c r="M46" s="35" t="inlineStr">
        <is>
          <t>Clinic</t>
        </is>
      </c>
      <c r="N46" s="34" t="inlineStr">
        <is>
          <t>ข้อ 44 Pharma Plus เล่มม่วง (เฉลยข้อ ค)</t>
        </is>
      </c>
      <c r="O46" s="35" t="inlineStr">
        <is>
          <t>Mock</t>
        </is>
      </c>
      <c r="P46" s="35" t="inlineStr">
        <is>
          <t>Pharma Plus เล่มม่วง</t>
        </is>
      </c>
    </row>
    <row r="47" ht="13.2" customHeight="1" s="49">
      <c r="A47" s="33" t="n">
        <v>45</v>
      </c>
      <c r="B47"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35" t="n"/>
      <c r="D47" s="34" t="inlineStr">
        <is>
          <t>Contact dermatitis</t>
        </is>
      </c>
      <c r="E47" s="34" t="inlineStr">
        <is>
          <t>Psoriasis</t>
        </is>
      </c>
      <c r="F47" s="34" t="inlineStr">
        <is>
          <t>Seborrheic dermatitis</t>
        </is>
      </c>
      <c r="G47" s="34" t="inlineStr">
        <is>
          <t>Dandruff</t>
        </is>
      </c>
      <c r="H47" s="34" t="inlineStr">
        <is>
          <t>Tinea versicolor</t>
        </is>
      </c>
      <c r="I47" s="33" t="inlineStr">
        <is>
          <t>3</t>
        </is>
      </c>
      <c r="J47" s="34"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35" t="n"/>
      <c r="L47" s="34" t="inlineStr">
        <is>
          <t>Superficial fungal</t>
        </is>
      </c>
      <c r="M47" s="35" t="inlineStr">
        <is>
          <t>Clinic</t>
        </is>
      </c>
      <c r="N47" s="34" t="inlineStr">
        <is>
          <t>ข้อ 45 Pharma Plus เล่มม่วง (เฉลยข้อ ค)</t>
        </is>
      </c>
      <c r="O47" s="35" t="inlineStr">
        <is>
          <t>Mock</t>
        </is>
      </c>
      <c r="P47" s="35" t="inlineStr">
        <is>
          <t>Pharma Plus เล่มม่วง</t>
        </is>
      </c>
    </row>
    <row r="48" ht="13.2" customHeight="1" s="49">
      <c r="A48" s="33" t="n">
        <v>46</v>
      </c>
      <c r="B48"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35" t="n"/>
      <c r="D48" s="34" t="inlineStr">
        <is>
          <t>Selenium sulfide shampoo</t>
        </is>
      </c>
      <c r="E48" s="34" t="inlineStr">
        <is>
          <t>Tar shampoo</t>
        </is>
      </c>
      <c r="F48" s="34" t="inlineStr">
        <is>
          <t>Salicylic acid</t>
        </is>
      </c>
      <c r="G48" s="34" t="inlineStr">
        <is>
          <t>Topical steroid</t>
        </is>
      </c>
      <c r="H48" s="34" t="inlineStr">
        <is>
          <t>Ketoconazole shampoo</t>
        </is>
      </c>
      <c r="I48" s="33" t="inlineStr">
        <is>
          <t>3</t>
        </is>
      </c>
      <c r="J48" s="34"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35" t="n"/>
      <c r="L48" s="34" t="inlineStr">
        <is>
          <t>Superficial fungal</t>
        </is>
      </c>
      <c r="M48" s="35" t="inlineStr">
        <is>
          <t>Clinic</t>
        </is>
      </c>
      <c r="N48" s="34" t="inlineStr">
        <is>
          <t>ข้อ 46 Pharma Plus เล่มม่วง (เฉลยข้อ ค)</t>
        </is>
      </c>
      <c r="O48" s="35" t="inlineStr">
        <is>
          <t>Mock</t>
        </is>
      </c>
      <c r="P48" s="35" t="inlineStr">
        <is>
          <t>Pharma Plus เล่มม่วง</t>
        </is>
      </c>
    </row>
    <row r="49" ht="13.2" customHeight="1" s="49">
      <c r="A49" s="33" t="n">
        <v>47</v>
      </c>
      <c r="B49"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35" t="n"/>
      <c r="D49" s="34" t="inlineStr">
        <is>
          <t>0.1% betamethasone valerate &lt; 0.05% betamethasone dipropionate &lt; 0.05% clobetasone propionate</t>
        </is>
      </c>
      <c r="E49" s="34" t="inlineStr">
        <is>
          <t>0.05% clobetasone propionate &lt; 0.1% betamethasone valerate &lt; 0.05% betamethasone dipropionate</t>
        </is>
      </c>
      <c r="F49" s="34" t="inlineStr">
        <is>
          <t>0.05% betamethasone dipropionate &lt; 0.05% clobetasone propionate &lt; 0.1% betamethasone valerate</t>
        </is>
      </c>
      <c r="G49" s="34" t="inlineStr">
        <is>
          <t>0.1% betamethasone valerate &lt; 0.1% triamcinolone acetonide &lt; 0.05% clobetasone propionate</t>
        </is>
      </c>
      <c r="H49" s="34" t="inlineStr">
        <is>
          <t>0.05% clobetasone propionate &lt; 0.1% betamethasone valerate &lt; 0.1% triamcinolone acetonide</t>
        </is>
      </c>
      <c r="I49" s="33" t="n">
        <v>2</v>
      </c>
      <c r="J49" s="34"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35" t="n"/>
      <c r="L49" s="34" t="inlineStr">
        <is>
          <t>Eczema &amp; Dermatitis</t>
        </is>
      </c>
      <c r="M49" s="35" t="inlineStr">
        <is>
          <t>Clinic</t>
        </is>
      </c>
      <c r="N49" s="34" t="inlineStr">
        <is>
          <t>ข้อ 47 Pharma Plus เล่มม่วง (เฉลยข้อ )</t>
        </is>
      </c>
      <c r="O49" s="35" t="inlineStr">
        <is>
          <t>Mock</t>
        </is>
      </c>
      <c r="P49" s="35" t="inlineStr">
        <is>
          <t>Pharma Plus เล่มม่วง</t>
        </is>
      </c>
    </row>
    <row r="50" ht="13.2" customHeight="1" s="49">
      <c r="A50" s="33" t="n">
        <v>48</v>
      </c>
      <c r="B50" s="34" t="inlineStr">
        <is>
          <t>ข้อใดผิด</t>
        </is>
      </c>
      <c r="C50" s="35" t="n"/>
      <c r="D50" s="34" t="inlineStr">
        <is>
          <t>Ketoconazole shampoo ไม่ควรใช้ในเด็กอายุต่ำกว่า 12 ปี</t>
        </is>
      </c>
      <c r="E50" s="34" t="inlineStr">
        <is>
          <t>Dandruff สามารถรักษาได้ด้วย topical corticosteroid</t>
        </is>
      </c>
      <c r="F50" s="34" t="inlineStr">
        <is>
          <t>Sulfur ออกฤทธิ์เป็น keratolytic agent</t>
        </is>
      </c>
      <c r="G50" s="34" t="inlineStr">
        <is>
          <t>ผลข้างเคียงของ coal tar คือ photosensitivity</t>
        </is>
      </c>
      <c r="H50" s="34" t="inlineStr">
        <is>
          <t>Selenium sulfide ช่วยลด hyperproliferation ของ cell</t>
        </is>
      </c>
      <c r="I50" s="33" t="inlineStr">
        <is>
          <t>5</t>
        </is>
      </c>
      <c r="J50" s="34"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5" t="n"/>
      <c r="L50" s="34" t="inlineStr">
        <is>
          <t>Superficial fungal</t>
        </is>
      </c>
      <c r="M50" s="35" t="inlineStr">
        <is>
          <t>Clinic</t>
        </is>
      </c>
      <c r="N50" s="34" t="inlineStr">
        <is>
          <t>ข้อ 48 Pharma Plus เล่มม่วง (เฉลยข้อ จ)</t>
        </is>
      </c>
      <c r="O50" s="35" t="inlineStr">
        <is>
          <t>Mock</t>
        </is>
      </c>
      <c r="P50" s="35" t="inlineStr">
        <is>
          <t>Pharma Plus เล่มม่วง</t>
        </is>
      </c>
    </row>
    <row r="51" ht="13.2" customHeight="1" s="49">
      <c r="A51" s="33" t="n">
        <v>49</v>
      </c>
      <c r="B51" s="34" t="inlineStr">
        <is>
          <t>ยาที่ใช้ในโรคผิวหนังของชายผู้นี้ รายการใดที่ผู้ป่วยไม่สามารถเรียกซื้อได้จากเภสัชกรหากไม่มีใบสั่งยาจากแพทย์</t>
        </is>
      </c>
      <c r="C51" s="35" t="n"/>
      <c r="D51" s="34" t="inlineStr">
        <is>
          <t>Coal tar shampoo</t>
        </is>
      </c>
      <c r="E51" s="34" t="inlineStr">
        <is>
          <t>Dexamethasone cream</t>
        </is>
      </c>
      <c r="F51" s="34" t="inlineStr">
        <is>
          <t>Betamethasone + salicylic ointment</t>
        </is>
      </c>
      <c r="G51" s="34" t="inlineStr">
        <is>
          <t>Hydroxyzine tablet 25 mg</t>
        </is>
      </c>
      <c r="H51" s="34" t="inlineStr">
        <is>
          <t>Methotrexate tab 2.5 mg</t>
        </is>
      </c>
      <c r="I51" s="33" t="inlineStr">
        <is>
          <t>5</t>
        </is>
      </c>
      <c r="J51" s="34"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35" t="n"/>
      <c r="L51" s="34" t="inlineStr">
        <is>
          <t>Superficial fungal</t>
        </is>
      </c>
      <c r="M51" s="35" t="inlineStr">
        <is>
          <t>Clinic</t>
        </is>
      </c>
      <c r="N51" s="34" t="inlineStr">
        <is>
          <t>ข้อ 49 Pharma Plus เล่มม่วง (เฉลยข้อ จ)</t>
        </is>
      </c>
      <c r="O51" s="35" t="inlineStr">
        <is>
          <t>Mock</t>
        </is>
      </c>
      <c r="P51" s="35" t="inlineStr">
        <is>
          <t>Pharma Plus เล่มม่วง</t>
        </is>
      </c>
    </row>
    <row r="52" ht="13.2" customHeight="1" s="49">
      <c r="A52" s="33" t="n">
        <v>50</v>
      </c>
      <c r="B52" s="34"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35" t="n"/>
      <c r="D52" s="34" t="inlineStr">
        <is>
          <t>Tinea versicolor</t>
        </is>
      </c>
      <c r="E52" s="34" t="inlineStr">
        <is>
          <t>Contact dermatitis</t>
        </is>
      </c>
      <c r="F52" s="34" t="inlineStr">
        <is>
          <t>Seborrheic dermatitis</t>
        </is>
      </c>
      <c r="G52" s="34" t="inlineStr">
        <is>
          <t>Psoriasis</t>
        </is>
      </c>
      <c r="H52" s="34" t="inlineStr">
        <is>
          <t>Tinea corporis</t>
        </is>
      </c>
      <c r="I52" s="33" t="inlineStr">
        <is>
          <t>4</t>
        </is>
      </c>
      <c r="J52" s="34"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35" t="n"/>
      <c r="L52" s="34" t="inlineStr">
        <is>
          <t>Eczema &amp; Dermatitis</t>
        </is>
      </c>
      <c r="M52" s="35" t="inlineStr">
        <is>
          <t>Clinic</t>
        </is>
      </c>
      <c r="N52" s="34" t="inlineStr">
        <is>
          <t>ข้อ 50 Pharma Plus เล่มม่วง (เฉลยข้อ ง)</t>
        </is>
      </c>
      <c r="O52" s="35" t="inlineStr">
        <is>
          <t>Mock</t>
        </is>
      </c>
      <c r="P52" s="35" t="inlineStr">
        <is>
          <t>Pharma Plus เล่มม่วง</t>
        </is>
      </c>
    </row>
    <row r="53" ht="13.2" customHeight="1" s="49">
      <c r="A53" s="33" t="n">
        <v>51</v>
      </c>
      <c r="B53" s="34"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35" t="n"/>
      <c r="D53" s="34" t="inlineStr">
        <is>
          <t>Infection</t>
        </is>
      </c>
      <c r="E53" s="34" t="inlineStr">
        <is>
          <t>Allergic reaction</t>
        </is>
      </c>
      <c r="F53" s="34" t="inlineStr">
        <is>
          <t>Autoimmune disease</t>
        </is>
      </c>
      <c r="G53" s="34" t="inlineStr">
        <is>
          <t>Seborrhea inflammation</t>
        </is>
      </c>
      <c r="H53" s="34" t="inlineStr">
        <is>
          <t>ไม่มีข้อใดถูก</t>
        </is>
      </c>
      <c r="I53" s="33" t="inlineStr">
        <is>
          <t>3</t>
        </is>
      </c>
      <c r="J53" s="34"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35" t="n"/>
      <c r="L53" s="34" t="inlineStr">
        <is>
          <t>Eczema &amp; Dermatitis</t>
        </is>
      </c>
      <c r="M53" s="35" t="inlineStr">
        <is>
          <t>Clinic</t>
        </is>
      </c>
      <c r="N53" s="34" t="inlineStr">
        <is>
          <t>ข้อ 51 Pharma Plus เล่มม่วง (เฉลยข้อ ค)</t>
        </is>
      </c>
      <c r="O53" s="35" t="inlineStr">
        <is>
          <t>Mock</t>
        </is>
      </c>
      <c r="P53" s="35" t="inlineStr">
        <is>
          <t>Pharma Plus เล่มม่วง</t>
        </is>
      </c>
    </row>
    <row r="54" ht="13.2" customHeight="1" s="49">
      <c r="A54" s="33" t="n">
        <v>52</v>
      </c>
      <c r="B54" s="34"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35" t="n"/>
      <c r="D54" s="34" t="inlineStr">
        <is>
          <t>Herpes simplex</t>
        </is>
      </c>
      <c r="E54" s="34" t="inlineStr">
        <is>
          <t>Herpes zoster</t>
        </is>
      </c>
      <c r="F54" s="34" t="inlineStr">
        <is>
          <t>Varicella</t>
        </is>
      </c>
      <c r="G54" s="34" t="inlineStr">
        <is>
          <t>Rubella</t>
        </is>
      </c>
      <c r="H54" s="34" t="inlineStr">
        <is>
          <t>Measles</t>
        </is>
      </c>
      <c r="I54" s="33" t="inlineStr">
        <is>
          <t>2</t>
        </is>
      </c>
      <c r="J54" s="34"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35" t="n"/>
      <c r="L54" s="34" t="inlineStr">
        <is>
          <t>Eczema &amp; Dermatitis</t>
        </is>
      </c>
      <c r="M54" s="35" t="inlineStr">
        <is>
          <t>Clinic</t>
        </is>
      </c>
      <c r="N54" s="34" t="inlineStr">
        <is>
          <t>ข้อ 52 Pharma Plus เล่มม่วง (เฉลยข้อ ข)</t>
        </is>
      </c>
      <c r="O54" s="35" t="inlineStr">
        <is>
          <t>Mock</t>
        </is>
      </c>
      <c r="P54" s="35" t="inlineStr">
        <is>
          <t>Pharma Plus เล่มม่วง</t>
        </is>
      </c>
    </row>
    <row r="55" ht="13.2" customHeight="1" s="49">
      <c r="A55" s="33" t="n">
        <v>53</v>
      </c>
      <c r="B55" s="34"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35" t="n"/>
      <c r="D55" s="34" t="inlineStr">
        <is>
          <t>บัวบก</t>
        </is>
      </c>
      <c r="E55" s="34" t="inlineStr">
        <is>
          <t>ไพล</t>
        </is>
      </c>
      <c r="F55" s="34" t="inlineStr">
        <is>
          <t>พญายอ</t>
        </is>
      </c>
      <c r="G55" s="34" t="inlineStr">
        <is>
          <t>มะระขี้นก</t>
        </is>
      </c>
      <c r="H55" s="34" t="inlineStr">
        <is>
          <t>ฟ้าทะลายโจร</t>
        </is>
      </c>
      <c r="I55" s="33" t="inlineStr">
        <is>
          <t>3</t>
        </is>
      </c>
      <c r="J55" s="34"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35" t="n"/>
      <c r="L55" s="34" t="inlineStr">
        <is>
          <t>Eczema &amp; Dermatitis</t>
        </is>
      </c>
      <c r="M55" s="35" t="inlineStr">
        <is>
          <t>Clinic</t>
        </is>
      </c>
      <c r="N55" s="34" t="inlineStr">
        <is>
          <t>ข้อ 53 Pharma Plus เล่มม่วง (เฉลยข้อ ค)</t>
        </is>
      </c>
      <c r="O55" s="35" t="inlineStr">
        <is>
          <t>Mock</t>
        </is>
      </c>
      <c r="P55" s="35" t="inlineStr">
        <is>
          <t>Pharma Plus เล่มม่วง</t>
        </is>
      </c>
    </row>
    <row r="56" ht="13.2" customHeight="1" s="49">
      <c r="A56" s="33" t="n">
        <v>54</v>
      </c>
      <c r="B56" s="34" t="inlineStr">
        <is>
          <t>หากผู้ป่วยหายจากโรคแล้ว แต่ยังมีอาการปวดอยู่ ควรให้ยาชนิดใดบรรเทาอาการ</t>
        </is>
      </c>
      <c r="C56" s="35" t="n"/>
      <c r="D56" s="34" t="inlineStr">
        <is>
          <t>Paracetamol</t>
        </is>
      </c>
      <c r="E56" s="34" t="inlineStr">
        <is>
          <t>Ibuprofen</t>
        </is>
      </c>
      <c r="F56" s="34" t="inlineStr">
        <is>
          <t>Amitriptyline</t>
        </is>
      </c>
      <c r="G56" s="34" t="inlineStr">
        <is>
          <t>Celecoxib</t>
        </is>
      </c>
      <c r="H56" s="34" t="inlineStr">
        <is>
          <t>ข้อ ข. และ ง.</t>
        </is>
      </c>
      <c r="I56" s="33" t="inlineStr">
        <is>
          <t>3</t>
        </is>
      </c>
      <c r="J56" s="34"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35" t="n"/>
      <c r="L56" s="34" t="inlineStr">
        <is>
          <t>Superficial fungal</t>
        </is>
      </c>
      <c r="M56" s="35" t="inlineStr">
        <is>
          <t>Clinic</t>
        </is>
      </c>
      <c r="N56" s="34" t="inlineStr">
        <is>
          <t>ข้อ 54 Pharma Plus เล่มม่วง (เฉลยข้อ ค)</t>
        </is>
      </c>
      <c r="O56" s="35" t="inlineStr">
        <is>
          <t>Mock</t>
        </is>
      </c>
      <c r="P56" s="35" t="inlineStr">
        <is>
          <t>Pharma Plus เล่มม่วง</t>
        </is>
      </c>
    </row>
    <row r="57" ht="13.2" customHeight="1" s="49">
      <c r="A57" s="33" t="n">
        <v>55</v>
      </c>
      <c r="B57" s="34"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35" t="n"/>
      <c r="D57" s="34" t="inlineStr">
        <is>
          <t>Tetracycline capsule, topical clindamycin</t>
        </is>
      </c>
      <c r="E57" s="34" t="inlineStr">
        <is>
          <t>Tetracycline capsule, benzoyl peroxide gel</t>
        </is>
      </c>
      <c r="F57" s="34" t="inlineStr">
        <is>
          <t>Tetracycline capsule, oral clindamycin</t>
        </is>
      </c>
      <c r="G57" s="34" t="inlineStr">
        <is>
          <t>Oral isotretinoin, tetracycline capsule</t>
        </is>
      </c>
      <c r="H57" s="34" t="inlineStr">
        <is>
          <t>Topical retinoid, benzoyl peroxide gel</t>
        </is>
      </c>
      <c r="I57" s="33" t="n">
        <v>5</v>
      </c>
      <c r="J57" s="34"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35" t="n"/>
      <c r="L57" s="34" t="inlineStr">
        <is>
          <t>Acne</t>
        </is>
      </c>
      <c r="M57" s="35" t="inlineStr">
        <is>
          <t>Clinic</t>
        </is>
      </c>
      <c r="N57" s="34" t="inlineStr">
        <is>
          <t>ข้อ 55 Pharma Plus เล่มม่วง (เฉลยข้อ ข)</t>
        </is>
      </c>
      <c r="O57" s="35" t="inlineStr">
        <is>
          <t>Mock</t>
        </is>
      </c>
      <c r="P57" s="35" t="inlineStr">
        <is>
          <t>Pharma Plus เล่มม่วง</t>
        </is>
      </c>
    </row>
    <row r="58" ht="13.2" customHeight="1" s="49">
      <c r="A58" s="33" t="n">
        <v>56</v>
      </c>
      <c r="B58" s="34" t="inlineStr">
        <is>
          <t>Isotretinoin จัดอยู่ใน Pregnancy category อะไร</t>
        </is>
      </c>
      <c r="C58" s="35" t="n"/>
      <c r="D58" s="34" t="inlineStr">
        <is>
          <t>Category A</t>
        </is>
      </c>
      <c r="E58" s="34" t="inlineStr">
        <is>
          <t>Category B</t>
        </is>
      </c>
      <c r="F58" s="34" t="inlineStr">
        <is>
          <t>Category C</t>
        </is>
      </c>
      <c r="G58" s="34" t="inlineStr">
        <is>
          <t>Category D</t>
        </is>
      </c>
      <c r="H58" s="34" t="inlineStr">
        <is>
          <t>Category X</t>
        </is>
      </c>
      <c r="I58" s="33" t="n">
        <v>5</v>
      </c>
      <c r="J58" s="34"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Clotrimazole 1% cream เป็นยาต้านเชื้อราเฉพาะที่ จัดอยู่ใน Pregnancy category B ซึ่งมีความปลอดภัยสูงในสตรีมีครรภ์ ไม่ใช่คำตอบของหมวด Isotretinoin
• ข้อ ข. (Hydrocortisone 1% cream): Hydrocortisone 1% cream เป็นยาทาสเตียรอยด์ความแรงต่ำ จัดอยู่ใน Pregnancy category C สามารถใช้ระยะสั้นได้เมื่อมีความจำเป็น ไม่ใช่คำตอบของคำถามนี้
• ข้อ ค. (Triamcinolone acetonide 0.1% cream): Triamcinolone acetonide 0.1% cream เป็นยาทาสเตียรอยด์ความแรงปานกลาง จัดอยู่ใน Pregnancy category C มีความปลอดภัยในการใช้เฉพาะที่ภายใต้การดูแลของแพทย์
• ข้อ ง. (Clobetasol propionate 0.05% cream): Clobetasol propionate 0.05% cream เป็นยาทาสเตียรอยด์ความแรงสูงสุด จัดอยู่ใน Pregnancy category C ไม่ใช่ตัวเลือกตามเฉลยของข้อสอบข้อนี้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35" t="n"/>
      <c r="L58" s="34" t="inlineStr">
        <is>
          <t>Acne</t>
        </is>
      </c>
      <c r="M58" s="35" t="inlineStr">
        <is>
          <t>Clinic</t>
        </is>
      </c>
      <c r="N58" s="34" t="inlineStr">
        <is>
          <t>ข้อ 56 Pharma Plus เล่มม่วง (เฉลยข้อ จ)</t>
        </is>
      </c>
      <c r="O58" s="35" t="inlineStr">
        <is>
          <t>Mock</t>
        </is>
      </c>
      <c r="P58" s="35" t="inlineStr">
        <is>
          <t>Pharma Plus เล่มม่วง</t>
        </is>
      </c>
    </row>
    <row r="59" ht="13.2" customHeight="1" s="49">
      <c r="A59" s="33" t="n">
        <v>57</v>
      </c>
      <c r="B59" s="34"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35" t="n"/>
      <c r="D59" s="34" t="inlineStr">
        <is>
          <t>Close comedone</t>
        </is>
      </c>
      <c r="E59" s="34" t="inlineStr">
        <is>
          <t>Open comedone</t>
        </is>
      </c>
      <c r="F59" s="34" t="inlineStr">
        <is>
          <t>Pustule</t>
        </is>
      </c>
      <c r="G59" s="34" t="inlineStr">
        <is>
          <t>Nodule</t>
        </is>
      </c>
      <c r="H59" s="34" t="inlineStr">
        <is>
          <t>Cyst</t>
        </is>
      </c>
      <c r="I59" s="33" t="inlineStr">
        <is>
          <t>4</t>
        </is>
      </c>
      <c r="J59" s="34"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35" t="n"/>
      <c r="L59" s="34" t="inlineStr">
        <is>
          <t>Acne</t>
        </is>
      </c>
      <c r="M59" s="35" t="inlineStr">
        <is>
          <t>Clinic</t>
        </is>
      </c>
      <c r="N59" s="34" t="inlineStr">
        <is>
          <t>ข้อ 57 Pharma Plus เล่มม่วง (เฉลยข้อ ง)</t>
        </is>
      </c>
      <c r="O59" s="35" t="inlineStr">
        <is>
          <t>Mock</t>
        </is>
      </c>
      <c r="P59" s="35" t="inlineStr">
        <is>
          <t>Pharma Plus เล่มม่วง</t>
        </is>
      </c>
    </row>
    <row r="60" ht="13.2" customHeight="1" s="49">
      <c r="A60" s="33" t="n">
        <v>58</v>
      </c>
      <c r="B60" s="34" t="inlineStr">
        <is>
          <t>Oral isotretinoin ใช้ในสิวประเภทใด</t>
        </is>
      </c>
      <c r="C60" s="35" t="n"/>
      <c r="D60" s="34" t="inlineStr">
        <is>
          <t>Close comedone</t>
        </is>
      </c>
      <c r="E60" s="34" t="inlineStr">
        <is>
          <t>Open comedone</t>
        </is>
      </c>
      <c r="F60" s="34" t="inlineStr">
        <is>
          <t>Pustule</t>
        </is>
      </c>
      <c r="G60" s="34" t="inlineStr">
        <is>
          <t>Papule</t>
        </is>
      </c>
      <c r="H60" s="34" t="inlineStr">
        <is>
          <t>Cyst</t>
        </is>
      </c>
      <c r="I60" s="33" t="inlineStr">
        <is>
          <t>5</t>
        </is>
      </c>
      <c r="J60" s="34"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35" t="n"/>
      <c r="L60" s="34" t="inlineStr">
        <is>
          <t>Acne</t>
        </is>
      </c>
      <c r="M60" s="35" t="inlineStr">
        <is>
          <t>Clinic</t>
        </is>
      </c>
      <c r="N60" s="34" t="inlineStr">
        <is>
          <t>ข้อ 58 Pharma Plus เล่มม่วง (เฉลยข้อ จ)</t>
        </is>
      </c>
      <c r="O60" s="35" t="inlineStr">
        <is>
          <t>Mock</t>
        </is>
      </c>
      <c r="P60" s="35" t="inlineStr">
        <is>
          <t>Pharma Plus เล่มม่วง</t>
        </is>
      </c>
    </row>
    <row r="61" ht="13.2" customHeight="1" s="49">
      <c r="A61" s="33" t="n">
        <v>59</v>
      </c>
      <c r="B61" s="34" t="inlineStr">
        <is>
          <t>Benzoyl peroxide ไม่มีคุณสมบัติใด</t>
        </is>
      </c>
      <c r="C61" s="35" t="n"/>
      <c r="D61" s="34" t="inlineStr">
        <is>
          <t>Antisebum</t>
        </is>
      </c>
      <c r="E61" s="34" t="inlineStr">
        <is>
          <t>Anti-inflammation</t>
        </is>
      </c>
      <c r="F61" s="34" t="inlineStr">
        <is>
          <t>Anti-infection</t>
        </is>
      </c>
      <c r="G61" s="34" t="inlineStr">
        <is>
          <t>Exfoliative</t>
        </is>
      </c>
      <c r="H61" s="34" t="inlineStr">
        <is>
          <t>Keratolytic</t>
        </is>
      </c>
      <c r="I61" s="33" t="n">
        <v>1</v>
      </c>
      <c r="J61" s="34"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35" t="n"/>
      <c r="L61" s="34" t="inlineStr">
        <is>
          <t>Acne</t>
        </is>
      </c>
      <c r="M61" s="35" t="inlineStr">
        <is>
          <t>Clinic</t>
        </is>
      </c>
      <c r="N61" s="34" t="inlineStr">
        <is>
          <t>ข้อ 59 Pharma Plus เล่มม่วง (เฉลยข้อ ง)</t>
        </is>
      </c>
      <c r="O61" s="35" t="inlineStr">
        <is>
          <t>Mock</t>
        </is>
      </c>
      <c r="P61" s="35" t="inlineStr">
        <is>
          <t>Pharma Plus เล่มม่วง</t>
        </is>
      </c>
    </row>
    <row r="62" ht="13.2" customHeight="1" s="49">
      <c r="A62" s="33" t="n">
        <v>60</v>
      </c>
      <c r="B62" s="34"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35" t="n"/>
      <c r="D62" s="34" t="inlineStr">
        <is>
          <t>Impetigo</t>
        </is>
      </c>
      <c r="E62" s="34" t="inlineStr">
        <is>
          <t>Eczema</t>
        </is>
      </c>
      <c r="F62" s="34" t="inlineStr">
        <is>
          <t>Folliculitis</t>
        </is>
      </c>
      <c r="G62" s="34" t="inlineStr">
        <is>
          <t>Rosacea</t>
        </is>
      </c>
      <c r="H62" s="34" t="inlineStr">
        <is>
          <t>Tenia corporis</t>
        </is>
      </c>
      <c r="I62" s="33" t="inlineStr">
        <is>
          <t>2</t>
        </is>
      </c>
      <c r="J62" s="34"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35" t="n"/>
      <c r="L62" s="34" t="inlineStr">
        <is>
          <t>Eczema &amp; Dermatitis</t>
        </is>
      </c>
      <c r="M62" s="35" t="inlineStr">
        <is>
          <t>Clinic</t>
        </is>
      </c>
      <c r="N62" s="34" t="inlineStr">
        <is>
          <t>ข้อ 60 Pharma Plus เล่มม่วง (เฉลยข้อ ข)</t>
        </is>
      </c>
      <c r="O62" s="35" t="inlineStr">
        <is>
          <t>Mock</t>
        </is>
      </c>
      <c r="P62" s="35" t="inlineStr">
        <is>
          <t>Pharma Plus เล่มม่วง</t>
        </is>
      </c>
    </row>
    <row r="63" ht="13.2" customHeight="1" s="49">
      <c r="A63" s="33" t="n">
        <v>61</v>
      </c>
      <c r="B63" s="34"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35" t="n"/>
      <c r="D63" s="34" t="inlineStr">
        <is>
          <t>Burrow's solution</t>
        </is>
      </c>
      <c r="E63" s="34" t="inlineStr">
        <is>
          <t>Antihistamine cream</t>
        </is>
      </c>
      <c r="F63" s="34" t="inlineStr">
        <is>
          <t>Mupirocin ointment</t>
        </is>
      </c>
      <c r="G63" s="34" t="inlineStr">
        <is>
          <t>Ketoconazole cream</t>
        </is>
      </c>
      <c r="H63" s="34" t="inlineStr">
        <is>
          <t>Topical steroid cream</t>
        </is>
      </c>
      <c r="I63" s="33" t="inlineStr">
        <is>
          <t>5</t>
        </is>
      </c>
      <c r="J63" s="34"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35" t="n"/>
      <c r="L63" s="34" t="inlineStr">
        <is>
          <t>Eczema &amp; Dermatitis</t>
        </is>
      </c>
      <c r="M63" s="35" t="inlineStr">
        <is>
          <t>Clinic</t>
        </is>
      </c>
      <c r="N63" s="34" t="inlineStr">
        <is>
          <t>ข้อ 61 Pharma Plus เล่มม่วง (เฉลยข้อ จ)</t>
        </is>
      </c>
      <c r="O63" s="35" t="inlineStr">
        <is>
          <t>Mock</t>
        </is>
      </c>
      <c r="P63" s="35" t="inlineStr">
        <is>
          <t>Pharma Plus เล่มม่วง</t>
        </is>
      </c>
    </row>
    <row r="64" ht="13.2" customHeight="1" s="49">
      <c r="A64" s="33" t="n">
        <v>62</v>
      </c>
      <c r="B64" s="34" t="inlineStr">
        <is>
          <t>ข้อใดผิดเกี่ยวกับยา hydroxyzine</t>
        </is>
      </c>
      <c r="C64" s="35" t="n"/>
      <c r="D64" s="34" t="inlineStr">
        <is>
          <t>มีความจำเพาะต่อ H1 &gt; H2</t>
        </is>
      </c>
      <c r="E64" s="34" t="inlineStr">
        <is>
          <t>ห้ามรับประทานร่วมกับ alcohol</t>
        </is>
      </c>
      <c r="F64" s="34" t="inlineStr">
        <is>
          <t>ห้ามรับประทานร่วมกับ St.John wort</t>
        </is>
      </c>
      <c r="G64" s="34" t="inlineStr">
        <is>
          <t>ถ้าใช้ขนาดสูงจะมีฤทธิ์เป็น anticonvulsant</t>
        </is>
      </c>
      <c r="H64" s="34" t="inlineStr">
        <is>
          <t>ถ้าใช้ขนาดสูงจะทำให้เกิดอาการชัก และง่วง ได้</t>
        </is>
      </c>
      <c r="I64" s="33" t="n">
        <v>4</v>
      </c>
      <c r="J64" s="34"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35" t="n"/>
      <c r="L64" s="34" t="inlineStr">
        <is>
          <t>Urticaria &amp; Angioedema</t>
        </is>
      </c>
      <c r="M64" s="35" t="inlineStr">
        <is>
          <t>Clinic</t>
        </is>
      </c>
      <c r="N64" s="34" t="inlineStr">
        <is>
          <t>ข้อ 62 Pharma Plus เล่มม่วง (เฉลยข้อ ค ง)</t>
        </is>
      </c>
      <c r="O64" s="35" t="inlineStr">
        <is>
          <t>Mock</t>
        </is>
      </c>
      <c r="P64" s="35" t="inlineStr">
        <is>
          <t>Pharma Plus เล่มม่วง</t>
        </is>
      </c>
    </row>
    <row r="65" ht="13.2" customHeight="1" s="49">
      <c r="A65" s="33" t="n">
        <v>63</v>
      </c>
      <c r="B65" s="34" t="inlineStr">
        <is>
          <t>ยา antihistamine ตัวใดต่อไปนี้มีฤทธิ์ sedative effect มากที่สุด</t>
        </is>
      </c>
      <c r="C65" s="35" t="n"/>
      <c r="D65" s="34" t="inlineStr">
        <is>
          <t>Hydroxyzine</t>
        </is>
      </c>
      <c r="E65" s="34" t="inlineStr">
        <is>
          <t>CPM</t>
        </is>
      </c>
      <c r="F65" s="34" t="inlineStr">
        <is>
          <t>Brompheniramine</t>
        </is>
      </c>
      <c r="G65" s="34" t="inlineStr">
        <is>
          <t>Diphenhydramine</t>
        </is>
      </c>
      <c r="H65" s="34" t="inlineStr">
        <is>
          <t>Cyproheptadine</t>
        </is>
      </c>
      <c r="I65" s="33" t="inlineStr">
        <is>
          <t>4</t>
        </is>
      </c>
      <c r="J65" s="34"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Urticaria &amp; Angioedema</t>
        </is>
      </c>
      <c r="M65" s="35" t="inlineStr">
        <is>
          <t>Clinic</t>
        </is>
      </c>
      <c r="N65" s="34" t="inlineStr">
        <is>
          <t>ข้อ 63 Pharma Plus เล่มม่วง (เฉลยข้อ ง)</t>
        </is>
      </c>
      <c r="O65" s="35" t="inlineStr">
        <is>
          <t>Mock</t>
        </is>
      </c>
      <c r="P65" s="35" t="inlineStr">
        <is>
          <t>Pharma Plus เล่มม่วง</t>
        </is>
      </c>
    </row>
    <row r="66" ht="13.2" customHeight="1" s="49">
      <c r="A66" s="33" t="n">
        <v>64</v>
      </c>
      <c r="B66" s="34" t="inlineStr">
        <is>
          <t>ข้อใดไม่จัดเป็นหัวข้อการทดสอบของยาในรูปแบบ nebulized solution</t>
        </is>
      </c>
      <c r="C66" s="35" t="n"/>
      <c r="D66" s="34" t="inlineStr">
        <is>
          <t>Assay</t>
        </is>
      </c>
      <c r="E66" s="34" t="inlineStr">
        <is>
          <t>Sterility</t>
        </is>
      </c>
      <c r="F66" s="34" t="inlineStr">
        <is>
          <t>Content uniformity</t>
        </is>
      </c>
      <c r="G66" s="34" t="inlineStr">
        <is>
          <t>Particle size</t>
        </is>
      </c>
      <c r="H66" s="34" t="inlineStr">
        <is>
          <t>Impurity</t>
        </is>
      </c>
      <c r="I66" s="33" t="inlineStr">
        <is>
          <t>1</t>
        </is>
      </c>
      <c r="J66" s="34"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5" t="n"/>
      <c r="L66" s="34" t="inlineStr">
        <is>
          <t>Superficial fungal</t>
        </is>
      </c>
      <c r="M66" s="35" t="inlineStr">
        <is>
          <t>Clinic</t>
        </is>
      </c>
      <c r="N66" s="34" t="inlineStr">
        <is>
          <t>Mock PLE-CC 1 ข้อ 102</t>
        </is>
      </c>
      <c r="O66" s="35" t="inlineStr">
        <is>
          <t>Mock</t>
        </is>
      </c>
      <c r="P66" s="35" t="inlineStr">
        <is>
          <t>Mock RxCU83</t>
        </is>
      </c>
      <c r="Q66" s="2" t="n"/>
    </row>
    <row r="67" ht="13.2" customHeight="1" s="49">
      <c r="A67" s="33" t="n">
        <v>65</v>
      </c>
      <c r="B67" s="34" t="inlineStr">
        <is>
          <t>คำแนะนำที่สำคัญที่สุดในการป้องกันการแพร่กระจายของเชื้อ</t>
        </is>
      </c>
      <c r="C67" s="35" t="n"/>
      <c r="D67" s="34" t="inlineStr">
        <is>
          <t>จะไม่แพร่เชื้อถ้ามีตุ่มใสขึ้นแล้ว</t>
        </is>
      </c>
      <c r="E67" s="34" t="inlineStr">
        <is>
          <t>หลีกเลี่ยงการสัมผัสบริเวณที่เป็น และไม่ใช้สิ่งของร่วมกับผู้อื่น</t>
        </is>
      </c>
      <c r="F67" s="34" t="inlineStr">
        <is>
          <t>ปิดพลาสเตอร์ยาบริเวณแผลตลอดเวลา</t>
        </is>
      </c>
      <c r="G67" s="34" t="inlineStr">
        <is>
          <t>ล้างบริเวณนั้นด้วยน ้าและสบู่ทุกวัน</t>
        </is>
      </c>
      <c r="H67" s="34" t="inlineStr">
        <is>
          <t>รับประทานอาหารที่มีวิตามินซีสูง</t>
        </is>
      </c>
      <c r="I67" s="33" t="inlineStr">
        <is>
          <t>1</t>
        </is>
      </c>
      <c r="J67" s="34"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35" t="n"/>
      <c r="L67" s="34" t="inlineStr">
        <is>
          <t>Superficial fungal</t>
        </is>
      </c>
      <c r="M67" s="35" t="inlineStr">
        <is>
          <t>Clinic</t>
        </is>
      </c>
      <c r="N67" s="34" t="inlineStr">
        <is>
          <t>Mock PLE-CC 1 ข้อ 121</t>
        </is>
      </c>
      <c r="O67" s="35" t="inlineStr">
        <is>
          <t>Mock</t>
        </is>
      </c>
      <c r="P67" s="35" t="inlineStr">
        <is>
          <t>Mock RxCU83</t>
        </is>
      </c>
      <c r="Q67" s="2" t="n"/>
    </row>
    <row r="68" ht="13.2" customHeight="1" s="49">
      <c r="A68" s="33" t="n">
        <v>66</v>
      </c>
      <c r="B68" s="34" t="inlineStr">
        <is>
          <t>ข้อใดเป็นการแนะนำเพื่อป้องกันโรคตามพฤติกรรมสุขภาพของผู้บริโภคได้ถูกต้อง</t>
        </is>
      </c>
      <c r="C68" s="35" t="n"/>
      <c r="D68" s="34" t="inlineStr">
        <is>
          <t>แนะนำการปฏิบัติตัว การหลีกเลี่ยงปัจจัยกระตุ้น</t>
        </is>
      </c>
      <c r="E68" s="34" t="inlineStr">
        <is>
          <t>Benzoyl peroxide 2.5% gel</t>
        </is>
      </c>
      <c r="F68" s="34" t="inlineStr">
        <is>
          <t>Acyclovir 5% cream</t>
        </is>
      </c>
      <c r="G68" s="34" t="inlineStr">
        <is>
          <t>แนะน าให้ท าอาชีพอื่น</t>
        </is>
      </c>
      <c r="H68" s="34" t="inlineStr">
        <is>
          <t>แนะน าให้ท าอาชีพอื่น</t>
        </is>
      </c>
      <c r="I68" s="33" t="inlineStr">
        <is>
          <t>1</t>
        </is>
      </c>
      <c r="J68" s="34"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35" t="n"/>
      <c r="L68" s="34" t="inlineStr">
        <is>
          <t>Superficial fungal</t>
        </is>
      </c>
      <c r="M68" s="35" t="inlineStr">
        <is>
          <t>Clinic</t>
        </is>
      </c>
      <c r="N68" s="34" t="inlineStr">
        <is>
          <t>Mock PLE-CC 1 ข้อ 125</t>
        </is>
      </c>
      <c r="O68" s="35" t="inlineStr">
        <is>
          <t>Mock</t>
        </is>
      </c>
      <c r="P68" s="35" t="inlineStr">
        <is>
          <t>Mock RxCU83</t>
        </is>
      </c>
      <c r="Q68" s="2" t="n"/>
    </row>
    <row r="69" ht="13.2" customHeight="1" s="49">
      <c r="A69" s="33" t="n">
        <v>67</v>
      </c>
      <c r="B69" s="34" t="inlineStr">
        <is>
          <t>ยารักษาผื่นที่หน้าในผู้ป่วยรายนี้ได้แก่อะไร</t>
        </is>
      </c>
      <c r="C69" s="35" t="n"/>
      <c r="D69" s="34" t="inlineStr">
        <is>
          <t>aloe vera gel</t>
        </is>
      </c>
      <c r="E69" s="34" t="inlineStr">
        <is>
          <t>Triamcinolone 0.2% cream</t>
        </is>
      </c>
      <c r="F69" s="34" t="inlineStr">
        <is>
          <t>diclofenac cream</t>
        </is>
      </c>
      <c r="G69" s="34" t="inlineStr">
        <is>
          <t>capsaicin cream</t>
        </is>
      </c>
      <c r="H69" s="34" t="inlineStr">
        <is>
          <t>acyclovir cream</t>
        </is>
      </c>
      <c r="I69" s="33" t="inlineStr">
        <is>
          <t>1</t>
        </is>
      </c>
      <c r="J69" s="34"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35" t="n"/>
      <c r="L69" s="34" t="inlineStr">
        <is>
          <t>Eczema &amp; Dermatitis</t>
        </is>
      </c>
      <c r="M69" s="35" t="inlineStr">
        <is>
          <t>Clinic</t>
        </is>
      </c>
      <c r="N69" s="34" t="inlineStr">
        <is>
          <t>PLE_CC1_2567_Key ข้อ 57</t>
        </is>
      </c>
      <c r="O69" s="35" t="inlineStr">
        <is>
          <t>ข้อสอบจริง</t>
        </is>
      </c>
      <c r="P69" s="35" t="inlineStr">
        <is>
          <t>ปี 2567</t>
        </is>
      </c>
      <c r="Q69" s="2" t="n"/>
    </row>
    <row r="70" ht="13.2" customHeight="1" s="49">
      <c r="A70" s="33" t="n">
        <v>68</v>
      </c>
      <c r="B70" s="34" t="inlineStr">
        <is>
          <t>จากข้อมูลทั้งหมด ลักษณะอาการแพ้ยาที่เกิดขึ้นในผู้ป่วยรายนี้ตรงกับข้อใดมากที่สุด</t>
        </is>
      </c>
      <c r="C70" s="35" t="n"/>
      <c r="D70" s="34" t="inlineStr">
        <is>
          <t>Urticaria</t>
        </is>
      </c>
      <c r="E70" s="34" t="inlineStr">
        <is>
          <t>Angioedema</t>
        </is>
      </c>
      <c r="F70" s="34" t="inlineStr">
        <is>
          <t>Stevens-Johnson Syndrome (SJS)</t>
        </is>
      </c>
      <c r="G70" s="34" t="inlineStr">
        <is>
          <t>Erythema multiforme</t>
        </is>
      </c>
      <c r="H70" s="34" t="inlineStr">
        <is>
          <t>Morbilliform rash (MP rash) + &lt; PLE-PC1 Preparation 2567 Azithromy = 3 Ceftriazone 4 /</t>
        </is>
      </c>
      <c r="I70" s="33" t="inlineStr">
        <is>
          <t>1</t>
        </is>
      </c>
      <c r="J70" s="34"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35" t="n"/>
      <c r="L70" s="34" t="inlineStr">
        <is>
          <t>Superficial fungal</t>
        </is>
      </c>
      <c r="M70" s="35" t="inlineStr">
        <is>
          <t>Clinic</t>
        </is>
      </c>
      <c r="N70" s="34" t="inlineStr">
        <is>
          <t>PLE_CC1_2567_Key ข้อ 76</t>
        </is>
      </c>
      <c r="O70" s="35" t="inlineStr">
        <is>
          <t>ข้อสอบจริง</t>
        </is>
      </c>
      <c r="P70" s="35" t="inlineStr">
        <is>
          <t>ปี 2567</t>
        </is>
      </c>
      <c r="Q70" s="2" t="n"/>
    </row>
    <row r="71" ht="13.2" customHeight="1" s="49">
      <c r="A71" s="33" t="n">
        <v>69</v>
      </c>
      <c r="B71" s="34"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35" t="n"/>
      <c r="D71" s="34" t="inlineStr">
        <is>
          <t>Cefixime</t>
        </is>
      </c>
      <c r="E71" s="34" t="inlineStr">
        <is>
          <t>Levofloxacin</t>
        </is>
      </c>
      <c r="F71" s="34" t="inlineStr">
        <is>
          <t>Clindamycin</t>
        </is>
      </c>
      <c r="G71" s="34" t="inlineStr">
        <is>
          <t>Erythromycin</t>
        </is>
      </c>
      <c r="H71" s="34" t="inlineStr">
        <is>
          <t>Amoxicillin clavulanate</t>
        </is>
      </c>
      <c r="I71" s="33" t="n">
        <v>4</v>
      </c>
      <c r="J71" s="34"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35" t="n"/>
      <c r="L71" s="34" t="inlineStr">
        <is>
          <t>Respiratory &amp; Antibiotics</t>
        </is>
      </c>
      <c r="M71" s="35" t="inlineStr">
        <is>
          <t>Clinic</t>
        </is>
      </c>
      <c r="N71" s="34" t="inlineStr">
        <is>
          <t>PLE_CC1_2567_Set1_Key ข้อ 36</t>
        </is>
      </c>
      <c r="O71" s="35" t="inlineStr">
        <is>
          <t>ข้อสอบจริง</t>
        </is>
      </c>
      <c r="P71" s="35" t="inlineStr">
        <is>
          <t>ปี 2567</t>
        </is>
      </c>
      <c r="Q71" s="2" t="n"/>
    </row>
    <row r="72" ht="13.2" customHeight="1" s="49">
      <c r="A72" s="33" t="n">
        <v>70</v>
      </c>
      <c r="B72" s="34" t="inlineStr">
        <is>
          <t>โครงสร้างเคมีหลักของยาต้านเชื้อรากลุ่ม Azole (เช่น Ketoconazole, Itraconazole) มีคุณสมบัติเด่นในการออกฤทธิ์ยับยั้งเอนไซม์ใดของเชื้อรา</t>
        </is>
      </c>
      <c r="C72" s="35" t="n"/>
      <c r="D72" s="34" t="inlineStr">
        <is>
          <t>ยับยั้ง Lanosterol 14-alpha-demethylase (CYP51)</t>
        </is>
      </c>
      <c r="E72" s="34" t="inlineStr">
        <is>
          <t>ยับยั้ง Squalene epoxidase</t>
        </is>
      </c>
      <c r="F72" s="34" t="inlineStr">
        <is>
          <t>ยับยั้ง Beta-(1,3)-D-glucan synthase</t>
        </is>
      </c>
      <c r="G72" s="34" t="inlineStr">
        <is>
          <t>ยับยั้ง Thymidylate synthase</t>
        </is>
      </c>
      <c r="H72" s="34" t="inlineStr">
        <is>
          <t>ยับยั้ง Fungal RNA polymerase</t>
        </is>
      </c>
      <c r="I72" s="33" t="n">
        <v>1</v>
      </c>
      <c r="J72" s="34"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35" t="n"/>
      <c r="L72" s="34" t="inlineStr">
        <is>
          <t>Superficial fungal</t>
        </is>
      </c>
      <c r="M72" s="35" t="inlineStr">
        <is>
          <t>Clinic</t>
        </is>
      </c>
      <c r="N72" s="34" t="inlineStr">
        <is>
          <t>PLE_CC1_2567_Set1_Key ข้อ 41</t>
        </is>
      </c>
      <c r="O72" s="35" t="inlineStr">
        <is>
          <t>ข้อสอบจริง</t>
        </is>
      </c>
      <c r="P72" s="35" t="inlineStr">
        <is>
          <t>ปี 2567</t>
        </is>
      </c>
      <c r="Q72" s="2" t="n"/>
    </row>
    <row r="73" ht="13.2" customHeight="1" s="49">
      <c r="A73" s="33" t="n">
        <v>71</v>
      </c>
      <c r="B73" s="34" t="inlineStr">
        <is>
          <t>โครงสร้างหมายเลขใดของ triamcinolone acetonide มีบทบาทสำคัญในการเพิ่ม lipophilicity และความแรงของยา</t>
        </is>
      </c>
      <c r="C73" s="35" t="n"/>
      <c r="D73" s="34" t="inlineStr">
        <is>
          <t>ตำแหน่ง 1, 2 double bond</t>
        </is>
      </c>
      <c r="E73" s="34" t="inlineStr">
        <is>
          <t>ตำแหน่ง 9-alpha fluoro</t>
        </is>
      </c>
      <c r="F73" s="34" t="inlineStr">
        <is>
          <t>ตำแหน่ง 16-alpha, 17-alpha acetonide (ketal)</t>
        </is>
      </c>
      <c r="G73" s="34" t="inlineStr">
        <is>
          <t>ตำแหน่ง 11-beta hydroxyl</t>
        </is>
      </c>
      <c r="H73" s="34" t="inlineStr">
        <is>
          <t>ตำแหน่ง 21-hydroxyl</t>
        </is>
      </c>
      <c r="I73" s="33" t="n">
        <v>3</v>
      </c>
      <c r="J73" s="34"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35" t="n"/>
      <c r="L73" s="34" t="inlineStr">
        <is>
          <t>Eczema &amp; Dermatitis</t>
        </is>
      </c>
      <c r="M73" s="35" t="inlineStr">
        <is>
          <t>Clinic</t>
        </is>
      </c>
      <c r="N73" s="34" t="inlineStr">
        <is>
          <t>PLE_CC1_2567_Set1_Key ข้อ 95</t>
        </is>
      </c>
      <c r="O73" s="35" t="inlineStr">
        <is>
          <t>ข้อสอบจริง</t>
        </is>
      </c>
      <c r="P73" s="35" t="inlineStr">
        <is>
          <t>ปี 2567</t>
        </is>
      </c>
      <c r="Q73" s="2" t="n"/>
    </row>
    <row r="74" ht="13.2" customHeight="1" s="49">
      <c r="A74" s="33" t="n">
        <v>72</v>
      </c>
      <c r="B74" s="34"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74" s="35" t="n"/>
      <c r="D74" s="34" t="inlineStr">
        <is>
          <t>Silver sulfadiazine 1% cream</t>
        </is>
      </c>
      <c r="E74" s="34" t="inlineStr">
        <is>
          <t>Triamcinolone acetonide 0.1% cream</t>
        </is>
      </c>
      <c r="F74" s="34" t="inlineStr">
        <is>
          <t>Ketoconazole 2% cream</t>
        </is>
      </c>
      <c r="G74" s="34" t="inlineStr">
        <is>
          <t>Benzoyl peroxide 2.5% gel</t>
        </is>
      </c>
      <c r="H74" s="34" t="inlineStr">
        <is>
          <t>Clobetasol propionate 0.05% cream</t>
        </is>
      </c>
      <c r="I74" s="33" t="n">
        <v>1</v>
      </c>
      <c r="J74" s="34" t="inlineStr">
        <is>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is>
      </c>
      <c r="K74" s="35" t="n"/>
      <c r="L74" s="34" t="inlineStr">
        <is>
          <t>Wound</t>
        </is>
      </c>
      <c r="M74" s="35" t="inlineStr">
        <is>
          <t>Clinic</t>
        </is>
      </c>
      <c r="N74" s="34" t="inlineStr">
        <is>
          <t>PLE-CC1 ปี 2566 Day 1 ข้อ 119</t>
        </is>
      </c>
      <c r="O74" s="35" t="inlineStr">
        <is>
          <t>ข้อสอบจริง</t>
        </is>
      </c>
      <c r="P74" s="35" t="inlineStr">
        <is>
          <t>ปี 2566</t>
        </is>
      </c>
      <c r="Q74" s="2" t="n"/>
    </row>
    <row r="75" ht="13.2" customHeight="1" s="49">
      <c r="A75" s="33" t="n">
        <v>73</v>
      </c>
      <c r="B75" s="34" t="inlineStr">
        <is>
          <t>ผูป%วยรายนี้จัดอยู;ใน class ใด ตาม Canadian cardiovascular society</t>
        </is>
      </c>
      <c r="C75" s="35" t="n"/>
      <c r="D75" s="34" t="inlineStr">
        <is>
          <t>Class I PLE-CC1 Preparation 2565 เฉลยโดย MUPY53</t>
        </is>
      </c>
      <c r="E75" s="34" t="inlineStr">
        <is>
          <t>Adapalene 0.1% gel</t>
        </is>
      </c>
      <c r="F75" s="34" t="inlineStr">
        <is>
          <t>Mupirocin 2% ointment</t>
        </is>
      </c>
      <c r="G75" s="34" t="inlineStr">
        <is>
          <t>Betamethasone dipropionate 0.05% cream</t>
        </is>
      </c>
      <c r="H75" s="34" t="n"/>
      <c r="I75" s="33" t="inlineStr">
        <is>
          <t>1</t>
        </is>
      </c>
      <c r="J75" s="34"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35" t="n"/>
      <c r="L75" s="34" t="inlineStr">
        <is>
          <t>Superficial fungal</t>
        </is>
      </c>
      <c r="M75" s="35" t="inlineStr">
        <is>
          <t>Clinic</t>
        </is>
      </c>
      <c r="N75" s="34" t="inlineStr">
        <is>
          <t>PLE_CC1_2565_Day1_Key ข้อ 6</t>
        </is>
      </c>
      <c r="O75" s="35" t="inlineStr">
        <is>
          <t>ข้อสอบจริง</t>
        </is>
      </c>
      <c r="P75" s="35" t="inlineStr">
        <is>
          <t>ปี 2565</t>
        </is>
      </c>
      <c r="Q75" s="2" t="n"/>
    </row>
    <row r="76" ht="13.2" customHeight="1" s="49">
      <c r="A76" s="33" t="n">
        <v>74</v>
      </c>
      <c r="B76" s="34" t="inlineStr">
        <is>
          <t>ถามคนไขเปMนอะไร/สาเหตุที่เกิดโรค</t>
        </is>
      </c>
      <c r="C76" s="35" t="n"/>
      <c r="D76" s="34" t="inlineStr">
        <is>
          <t>herpes simplex</t>
        </is>
      </c>
      <c r="E76" s="34" t="inlineStr">
        <is>
          <t>herpes zoster</t>
        </is>
      </c>
      <c r="F76" s="34" t="inlineStr">
        <is>
          <t>seborrheic dermatitis</t>
        </is>
      </c>
      <c r="G76" s="34" t="inlineStr">
        <is>
          <t>atopic dermatitis</t>
        </is>
      </c>
      <c r="H76" s="34" t="inlineStr">
        <is>
          <t>scalp psoriasis #kมlใสSนตามปลายประสาท และ# neuropathic pain KวมLวย</t>
        </is>
      </c>
      <c r="I76" s="33" t="inlineStr">
        <is>
          <t>1</t>
        </is>
      </c>
      <c r="J76" s="34"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35" t="n"/>
      <c r="L76" s="34" t="inlineStr">
        <is>
          <t>Superficial fungal</t>
        </is>
      </c>
      <c r="M76" s="35" t="inlineStr">
        <is>
          <t>Clinic</t>
        </is>
      </c>
      <c r="N76" s="34" t="inlineStr">
        <is>
          <t>PLE_CC1_2565_Day1_Key ข้อ 10</t>
        </is>
      </c>
      <c r="O76" s="35" t="inlineStr">
        <is>
          <t>ข้อสอบจริง</t>
        </is>
      </c>
      <c r="P76" s="35" t="inlineStr">
        <is>
          <t>ปี 2565</t>
        </is>
      </c>
      <c r="Q76" s="2" t="n"/>
    </row>
    <row r="77" ht="13.2" customHeight="1" s="49">
      <c r="A77" s="33" t="n">
        <v>75</v>
      </c>
      <c r="B77" s="34" t="inlineStr">
        <is>
          <t>6 เดือนต;อมา ใหผูป%วยเปลี่ยนมาใชselegiline transdermal patch ในแผ;นแปะ selegiline transdermal patch สิ่งใดทำใหเกิดผื่น</t>
        </is>
      </c>
      <c r="C77" s="35" t="n"/>
      <c r="D77" s="34" t="inlineStr">
        <is>
          <t>Membrane</t>
        </is>
      </c>
      <c r="E77" s="34" t="inlineStr">
        <is>
          <t>Liner</t>
        </is>
      </c>
      <c r="F77" s="34" t="inlineStr">
        <is>
          <t>Adhesive</t>
        </is>
      </c>
      <c r="G77" s="34" t="inlineStr">
        <is>
          <t>Back</t>
        </is>
      </c>
      <c r="H77" s="34" t="inlineStr">
        <is>
          <t>Peel strip</t>
        </is>
      </c>
      <c r="I77" s="33" t="inlineStr">
        <is>
          <t>4</t>
        </is>
      </c>
      <c r="J77" s="34"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35" t="n"/>
      <c r="L77" s="34" t="inlineStr">
        <is>
          <t>Eczema &amp; Dermatitis</t>
        </is>
      </c>
      <c r="M77" s="35" t="inlineStr">
        <is>
          <t>Clinic</t>
        </is>
      </c>
      <c r="N77" s="34" t="inlineStr">
        <is>
          <t>PLE_CC1_2565_Day1_Key ข้อ 46</t>
        </is>
      </c>
      <c r="O77" s="35" t="inlineStr">
        <is>
          <t>ข้อสอบจริง</t>
        </is>
      </c>
      <c r="P77" s="35" t="inlineStr">
        <is>
          <t>ปี 2565</t>
        </is>
      </c>
      <c r="Q77" s="2" t="n"/>
    </row>
    <row r="78" ht="13.2" customHeight="1" s="49">
      <c r="A78" s="33" t="n">
        <v>76</v>
      </c>
      <c r="B78" s="34" t="inlineStr">
        <is>
          <t>เปMนผื่นแพลักษณะแบบใด</t>
        </is>
      </c>
      <c r="C78" s="35" t="n"/>
      <c r="D78" s="34" t="inlineStr">
        <is>
          <t>Urticaria</t>
        </is>
      </c>
      <c r="E78" s="34" t="inlineStr">
        <is>
          <t>Maculopapular rash</t>
        </is>
      </c>
      <c r="F78" s="34" t="inlineStr">
        <is>
          <t>Angioedema</t>
        </is>
      </c>
      <c r="G78" s="34" t="inlineStr">
        <is>
          <t>Fix drug eruption</t>
        </is>
      </c>
      <c r="H78" s="34" t="inlineStr">
        <is>
          <t>Exfoliative CPT I, midterm, CPT1 บรรยาย 2 กย 67 (13 2ง 16 น.) ADR for Pharmacy Practice, page 23</t>
        </is>
      </c>
      <c r="I78" s="33" t="inlineStr">
        <is>
          <t>1</t>
        </is>
      </c>
      <c r="J78" s="34"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35" t="n"/>
      <c r="L78" s="34" t="inlineStr">
        <is>
          <t>Eczema &amp; Dermatitis</t>
        </is>
      </c>
      <c r="M78" s="35" t="inlineStr">
        <is>
          <t>Clinic</t>
        </is>
      </c>
      <c r="N78" s="34" t="inlineStr">
        <is>
          <t>PLE_CC1_2565_Day1_Key ข้อ 41</t>
        </is>
      </c>
      <c r="O78" s="35" t="inlineStr">
        <is>
          <t>ข้อสอบจริง</t>
        </is>
      </c>
      <c r="P78" s="35" t="inlineStr">
        <is>
          <t>ปี 2565</t>
        </is>
      </c>
      <c r="Q78" s="2" t="n"/>
    </row>
    <row r="79" ht="13.2" customHeight="1" s="49">
      <c r="A79" s="33" t="n">
        <v>77</v>
      </c>
      <c r="B79" s="34" t="inlineStr">
        <is>
          <t>ยาที่ใชรักษาคืออะไร ิ โลน</t>
        </is>
      </c>
      <c r="C79" s="35" t="n"/>
      <c r="D79" s="34" t="inlineStr">
        <is>
          <t>Oral ivermectin</t>
        </is>
      </c>
      <c r="E79" s="34" t="inlineStr">
        <is>
          <t>Permethrin cream</t>
        </is>
      </c>
      <c r="F79" s="34" t="inlineStr">
        <is>
          <t>Gamma benzene hexachloride</t>
        </is>
      </c>
      <c r="G79" s="34" t="inlineStr">
        <is>
          <t>Steroid ซักอย;าง</t>
        </is>
      </c>
      <c r="H79" s="34" t="inlineStr">
        <is>
          <t>2% ketoconazole cream Hา 1st line ไIไ-ผล ิ 1st line เJอKนLนไIไ-ผล ADR เยอะ (neurptoxic) ลดแFอาการGน?</t>
        </is>
      </c>
      <c r="I79" s="33" t="inlineStr">
        <is>
          <t>1</t>
        </is>
      </c>
      <c r="J79" s="34"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35" t="n"/>
      <c r="L79" s="34" t="inlineStr">
        <is>
          <t>Superficial fungal</t>
        </is>
      </c>
      <c r="M79" s="35" t="inlineStr">
        <is>
          <t>Clinic</t>
        </is>
      </c>
      <c r="N79" s="34" t="inlineStr">
        <is>
          <t>PLE_CC1_2565_Day1_Key ข้อ 50</t>
        </is>
      </c>
      <c r="O79" s="35" t="inlineStr">
        <is>
          <t>ข้อสอบจริง</t>
        </is>
      </c>
      <c r="P79" s="35" t="inlineStr">
        <is>
          <t>ปี 2565</t>
        </is>
      </c>
      <c r="Q79" s="2" t="n"/>
    </row>
    <row r="80" ht="13.2" customHeight="1" s="49">
      <c r="A80" s="33" t="n">
        <v>78</v>
      </c>
      <c r="B80" s="34" t="inlineStr">
        <is>
          <t>เปQนโรคอะไร ………………………………………………………………………………………………………………………………………………………… ………………………………………………………………………………………………………………………………………………………….. Tinea Pedis</t>
        </is>
      </c>
      <c r="C80" s="35" t="n"/>
      <c r="D80" s="34" t="inlineStr">
        <is>
          <t>Adapalene 0.1% gel</t>
        </is>
      </c>
      <c r="E80" s="34" t="inlineStr">
        <is>
          <t>Mupirocin 2% ointment</t>
        </is>
      </c>
      <c r="F80" s="34" t="inlineStr">
        <is>
          <t>Betamethasone dipropionate 0.05% cream</t>
        </is>
      </c>
      <c r="G80" s="34" t="inlineStr">
        <is>
          <t>Clotrimazole 1% cream</t>
        </is>
      </c>
      <c r="H80" s="34" t="n"/>
      <c r="I80" s="33" t="inlineStr">
        <is>
          <t>1</t>
        </is>
      </c>
      <c r="J80" s="34"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35" t="n"/>
      <c r="L80" s="34" t="inlineStr">
        <is>
          <t>Superficial fungal</t>
        </is>
      </c>
      <c r="M80" s="35" t="inlineStr">
        <is>
          <t>Clinic</t>
        </is>
      </c>
      <c r="N80" s="34" t="inlineStr">
        <is>
          <t>PLE_CC1_2565_Day2_Key ข้อ 32</t>
        </is>
      </c>
      <c r="O80" s="35" t="inlineStr">
        <is>
          <t>ข้อสอบจริง</t>
        </is>
      </c>
      <c r="P80" s="35" t="inlineStr">
        <is>
          <t>ปี 2565</t>
        </is>
      </c>
      <c r="Q80" s="2" t="n"/>
    </row>
    <row r="81" ht="13.2" customHeight="1" s="49">
      <c r="A81" s="33" t="n">
        <v>79</v>
      </c>
      <c r="B81" s="34" t="inlineStr">
        <is>
          <t>กลไกการออกฤทธิ์ของยาต้านเชื้อรา Ketoconazole ในการรักษาโรคเชื้อราที่ผิวหนังคือข้อใด</t>
        </is>
      </c>
      <c r="C81" s="35" t="n"/>
      <c r="D81" s="34" t="inlineStr">
        <is>
          <t>ยับยั้งเอนไซม์ 14-alpha-demethylase ขัดขวางการสังเคราะห์ Ergosterol ที่เยื่อหุ้มเซลล์เชื้อรา</t>
        </is>
      </c>
      <c r="E81" s="34" t="inlineStr">
        <is>
          <t>ยับยั้งเอนไซม์ Squalene epoxidase</t>
        </is>
      </c>
      <c r="F81" s="34" t="inlineStr">
        <is>
          <t>จับกับ Ergosterol ทำให้เยื่อหุ้มเซลล์รั่ว</t>
        </is>
      </c>
      <c r="G81" s="34" t="inlineStr">
        <is>
          <t>ยับยั้งการสร้างผนังเซลล์ของเชื้อรา</t>
        </is>
      </c>
      <c r="H81" s="34" t="inlineStr">
        <is>
          <t>ยับยั้งกระบวนการแบ่งตัวแบบ Mitosis</t>
        </is>
      </c>
      <c r="I81" s="33" t="n">
        <v>1</v>
      </c>
      <c r="J81" s="34"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Superficial fungal</t>
        </is>
      </c>
      <c r="M81" s="35" t="inlineStr">
        <is>
          <t>Clinic</t>
        </is>
      </c>
      <c r="N81" s="34" t="inlineStr">
        <is>
          <t>PLE_CC1_2565_Day2_Key ข้อ 34</t>
        </is>
      </c>
      <c r="O81" s="35" t="inlineStr">
        <is>
          <t>ข้อสอบจริง</t>
        </is>
      </c>
      <c r="P81" s="35" t="inlineStr">
        <is>
          <t>ปี 2565</t>
        </is>
      </c>
      <c r="Q81" s="2" t="n"/>
    </row>
    <row r="82" ht="13.2" customHeight="1" s="49">
      <c r="A82" s="33" t="n">
        <v>80</v>
      </c>
      <c r="B82" s="34" t="inlineStr">
        <is>
          <t>stiffening agent คืออะไร</t>
        </is>
      </c>
      <c r="C82" s="35" t="n"/>
      <c r="D82" s="34" t="inlineStr">
        <is>
          <t>glycerin</t>
        </is>
      </c>
      <c r="E82" s="34" t="inlineStr">
        <is>
          <t>Propylene glycol</t>
        </is>
      </c>
      <c r="F82" s="34" t="inlineStr">
        <is>
          <t>SLS</t>
        </is>
      </c>
      <c r="G82" s="34" t="inlineStr">
        <is>
          <t>Cetearyl palmitate</t>
        </is>
      </c>
      <c r="H82" s="34" t="inlineStr">
        <is>
          <t>Mineral oil</t>
        </is>
      </c>
      <c r="I82" s="33" t="inlineStr">
        <is>
          <t>1</t>
        </is>
      </c>
      <c r="J82" s="34"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35" t="n"/>
      <c r="L82" s="34" t="inlineStr">
        <is>
          <t>Superficial fungal</t>
        </is>
      </c>
      <c r="M82" s="35" t="inlineStr">
        <is>
          <t>Clinic</t>
        </is>
      </c>
      <c r="N82" s="34" t="inlineStr">
        <is>
          <t>PLE_CC1_2565_Day2_Key ข้อ 39</t>
        </is>
      </c>
      <c r="O82" s="35" t="inlineStr">
        <is>
          <t>ข้อสอบจริง</t>
        </is>
      </c>
      <c r="P82" s="35" t="inlineStr">
        <is>
          <t>ปี 2565</t>
        </is>
      </c>
      <c r="Q82" s="2" t="n"/>
    </row>
    <row r="83" ht="13.2" customHeight="1" s="49">
      <c r="A83" s="33" t="n">
        <v>81</v>
      </c>
      <c r="B83" s="34" t="inlineStr">
        <is>
          <t>ยาทาคอร์ติโคสเตียรอยด์ชนิดใดต่อไปนี้ไม่เหมาะสมอย่างยิ่งที่จะนำมาใช้ทาบริเวณใบหน้า</t>
        </is>
      </c>
      <c r="C83" s="35" t="n"/>
      <c r="D83" s="34" t="inlineStr">
        <is>
          <t>Clobetasol propionate 0.05% cream</t>
        </is>
      </c>
      <c r="E83" s="34" t="inlineStr">
        <is>
          <t>Hydrocortisone 1% cream</t>
        </is>
      </c>
      <c r="F83" s="34" t="inlineStr">
        <is>
          <t>Desonide 0.05% lotion</t>
        </is>
      </c>
      <c r="G83" s="34" t="inlineStr">
        <is>
          <t>Ketoconazole 2% cream</t>
        </is>
      </c>
      <c r="H83" s="34" t="inlineStr">
        <is>
          <t>Triamcinolone acetonide 0.02% cream</t>
        </is>
      </c>
      <c r="I83" s="33" t="n">
        <v>1</v>
      </c>
      <c r="J83" s="34"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35" t="n"/>
      <c r="L83" s="34" t="inlineStr">
        <is>
          <t>Eczema &amp; Dermatitis</t>
        </is>
      </c>
      <c r="M83" s="35" t="inlineStr">
        <is>
          <t>Clinic</t>
        </is>
      </c>
      <c r="N83" s="34" t="inlineStr">
        <is>
          <t>PLE_CC1_2565_Day2_Key ข้อ 36</t>
        </is>
      </c>
      <c r="O83" s="35" t="inlineStr">
        <is>
          <t>ข้อสอบจริง</t>
        </is>
      </c>
      <c r="P83" s="35" t="inlineStr">
        <is>
          <t>ปี 2565</t>
        </is>
      </c>
      <c r="Q83" s="2" t="n"/>
    </row>
    <row r="84" ht="13.2" customHeight="1" s="49">
      <c r="A84" s="33" t="n">
        <v>82</v>
      </c>
      <c r="B84" s="34" t="inlineStr">
        <is>
          <t>ผื่นลมพิษ ไมUออก UTIs, URIs เลยในป_ 2565 (ธ.ค.)</t>
        </is>
      </c>
      <c r="C84" s="35" t="n"/>
      <c r="D84" s="34" t="inlineStr">
        <is>
          <t>Isotretinoin 10 mg OD</t>
        </is>
      </c>
      <c r="E84" s="34" t="inlineStr">
        <is>
          <t>Terbinafine 1% cream</t>
        </is>
      </c>
      <c r="F84" s="34" t="inlineStr">
        <is>
          <t>Adapalene 0.1% gel</t>
        </is>
      </c>
      <c r="G84" s="34" t="inlineStr">
        <is>
          <t>Mupirocin 2% ointment</t>
        </is>
      </c>
      <c r="H84" s="34" t="n"/>
      <c r="I84" s="33" t="inlineStr">
        <is>
          <t>1</t>
        </is>
      </c>
      <c r="J84" s="34"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35" t="n"/>
      <c r="L84" s="34" t="inlineStr">
        <is>
          <t>Eczema &amp; Dermatitis</t>
        </is>
      </c>
      <c r="M84" s="35" t="inlineStr">
        <is>
          <t>Clinic</t>
        </is>
      </c>
      <c r="N84" s="34" t="inlineStr">
        <is>
          <t>PLE_CC1_2565_Day2_Key ข้อ 7</t>
        </is>
      </c>
      <c r="O84" s="35" t="inlineStr">
        <is>
          <t>ข้อสอบจริง</t>
        </is>
      </c>
      <c r="P84" s="35" t="inlineStr">
        <is>
          <t>ปี 2565</t>
        </is>
      </c>
      <c r="Q84" s="2" t="n"/>
    </row>
    <row r="85" ht="13.2" customHeight="1" s="49">
      <c r="A85" s="33" t="n">
        <v>83</v>
      </c>
      <c r="B85" s="34" t="inlineStr">
        <is>
          <t>เชื้อราใดเป็นสาเหตุหลักของการเกิดโรคกลากที่หนังศีรษะ (Tinea capitis)</t>
        </is>
      </c>
      <c r="C85" s="35" t="n"/>
      <c r="D85" s="34" t="inlineStr">
        <is>
          <t>Malassezia furfur</t>
        </is>
      </c>
      <c r="E85" s="34" t="inlineStr">
        <is>
          <t>Trichophyton rubrum และ Microsporum spp.</t>
        </is>
      </c>
      <c r="F85" s="34" t="inlineStr">
        <is>
          <t>Candida albicans</t>
        </is>
      </c>
      <c r="G85" s="34" t="inlineStr">
        <is>
          <t>Aspergillus niger</t>
        </is>
      </c>
      <c r="H85" s="34" t="inlineStr">
        <is>
          <t>Epidermophyton floccosum</t>
        </is>
      </c>
      <c r="I85" s="33" t="n">
        <v>2</v>
      </c>
      <c r="J85" s="34"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35" t="n"/>
      <c r="L85" s="34" t="inlineStr">
        <is>
          <t>Superficial fungal</t>
        </is>
      </c>
      <c r="M85" s="35" t="inlineStr">
        <is>
          <t>Clinic</t>
        </is>
      </c>
      <c r="N85" s="34" t="inlineStr">
        <is>
          <t>PLE_CC1_2564_All_Key ข้อ 15</t>
        </is>
      </c>
      <c r="O85" s="35" t="inlineStr">
        <is>
          <t>ข้อสอบจริง</t>
        </is>
      </c>
      <c r="P85" s="35" t="inlineStr">
        <is>
          <t>ปี 2564</t>
        </is>
      </c>
      <c r="Q85" s="2" t="n"/>
    </row>
    <row r="86" ht="13.2" customHeight="1" s="49">
      <c r="A86" s="33" t="n">
        <v>84</v>
      </c>
      <c r="B86" s="34" t="inlineStr">
        <is>
          <t>ยาต้านเชื้อรา Ketoconazole และ Itraconazole มีฤทธิ์เป็น Strong inhibitor ต่อเอนไซม์ CYP ชนิดใด</t>
        </is>
      </c>
      <c r="C86" s="35" t="n"/>
      <c r="D86" s="34" t="inlineStr">
        <is>
          <t>CYP2C9</t>
        </is>
      </c>
      <c r="E86" s="34" t="inlineStr">
        <is>
          <t>CYP2C19</t>
        </is>
      </c>
      <c r="F86" s="34" t="inlineStr">
        <is>
          <t>CYP3A4</t>
        </is>
      </c>
      <c r="G86" s="34" t="inlineStr">
        <is>
          <t>CYP2D6</t>
        </is>
      </c>
      <c r="H86" s="34" t="inlineStr">
        <is>
          <t>CYP1A2</t>
        </is>
      </c>
      <c r="I86" s="33" t="n">
        <v>3</v>
      </c>
      <c r="J86" s="34"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35" t="n"/>
      <c r="L86" s="34" t="inlineStr">
        <is>
          <t>Superficial fungal</t>
        </is>
      </c>
      <c r="M86" s="35" t="inlineStr">
        <is>
          <t>Clinic</t>
        </is>
      </c>
      <c r="N86" s="34" t="inlineStr">
        <is>
          <t>PLE_CC1_2564_All_Key ข้อ 65</t>
        </is>
      </c>
      <c r="O86" s="35" t="inlineStr">
        <is>
          <t>ข้อสอบจริง</t>
        </is>
      </c>
      <c r="P86" s="35" t="inlineStr">
        <is>
          <t>ปี 2564</t>
        </is>
      </c>
      <c r="Q86" s="2" t="n"/>
    </row>
    <row r="87" ht="13.2" customHeight="1" s="49">
      <c r="A87" s="33" t="n">
        <v>85</v>
      </c>
      <c r="B87" s="34" t="inlineStr">
        <is>
          <t>สาวเป็นสิวหนองมากกว่า 5 จุดบนใบหน้า สิวหนองเป็นตุ่มแบบใด</t>
        </is>
      </c>
      <c r="C87" s="35" t="n"/>
      <c r="D87" s="34" t="inlineStr">
        <is>
          <t>Papule</t>
        </is>
      </c>
      <c r="E87" s="34" t="inlineStr">
        <is>
          <t>Pustule</t>
        </is>
      </c>
      <c r="F87" s="34" t="inlineStr">
        <is>
          <t>Nodule</t>
        </is>
      </c>
      <c r="G87" s="34" t="inlineStr">
        <is>
          <t>Cyst</t>
        </is>
      </c>
      <c r="H87" s="34" t="n"/>
      <c r="I87" s="33" t="n">
        <v>2</v>
      </c>
      <c r="J87" s="34"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35" t="n"/>
      <c r="L87" s="34" t="inlineStr">
        <is>
          <t>Acne</t>
        </is>
      </c>
      <c r="M87" s="35" t="inlineStr">
        <is>
          <t>Clinic</t>
        </is>
      </c>
      <c r="N87" s="34" t="inlineStr">
        <is>
          <t>PLE_CC1_2564_All_Key ข้อ 81</t>
        </is>
      </c>
      <c r="O87" s="35" t="inlineStr">
        <is>
          <t>ข้อสอบจริง</t>
        </is>
      </c>
      <c r="P87" s="35" t="inlineStr">
        <is>
          <t>ปี 2564</t>
        </is>
      </c>
      <c r="Q87" s="2" t="n"/>
    </row>
    <row r="88" ht="13.2" customHeight="1" s="49">
      <c r="A88" s="33" t="n">
        <v>86</v>
      </c>
      <c r="B88" s="34" t="inlineStr">
        <is>
          <t>สถานการณ์วัยรุ่นยกพวกตีกัน จงตอบวิธีการห้ามเลือดที่ถูกต้อง</t>
        </is>
      </c>
      <c r="C88" s="35" t="n"/>
      <c r="D88" s="34" t="inlineStr">
        <is>
          <t>เอาน้ำล้าง</t>
        </is>
      </c>
      <c r="E88" s="34" t="inlineStr">
        <is>
          <t>ขันชะเนาะ</t>
        </is>
      </c>
      <c r="F88" s="34" t="inlineStr">
        <is>
          <t>เอาผ้าสะอาดกด</t>
        </is>
      </c>
      <c r="G88" s="34" t="inlineStr">
        <is>
          <t>เอาเชือกรัด</t>
        </is>
      </c>
      <c r="H88" s="34" t="n"/>
      <c r="I88" s="33" t="n">
        <v>3</v>
      </c>
      <c r="J88" s="34"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35" t="n"/>
      <c r="L88" s="34" t="inlineStr">
        <is>
          <t>Wound</t>
        </is>
      </c>
      <c r="M88" s="35" t="inlineStr">
        <is>
          <t>Clinic</t>
        </is>
      </c>
      <c r="N88" s="34" t="inlineStr">
        <is>
          <t>PLE_CC1_2564_All_Key ข้อ 88</t>
        </is>
      </c>
      <c r="O88" s="35" t="inlineStr">
        <is>
          <t>ข้อสอบจริง</t>
        </is>
      </c>
      <c r="P88" s="35" t="inlineStr">
        <is>
          <t>ปี 2564</t>
        </is>
      </c>
      <c r="Q88" s="2" t="n"/>
    </row>
    <row r="89" ht="13.2" customHeight="1" s="49">
      <c r="A89" s="33" t="n">
        <v>87</v>
      </c>
      <c r="B89" s="34" t="inlineStr">
        <is>
          <t>เด็กน้อย 1 ขวบครึ่ง ผื่นแดงหน้า แขน น้องไม่มีโรคประจำตัว</t>
        </is>
      </c>
      <c r="C89" s="35" t="n"/>
      <c r="D89" s="34" t="inlineStr">
        <is>
          <t>atopic</t>
        </is>
      </c>
      <c r="E89" s="34" t="inlineStr">
        <is>
          <t>sebderm</t>
        </is>
      </c>
      <c r="F89" s="34" t="inlineStr">
        <is>
          <t>Mupirocin 2% ointment</t>
        </is>
      </c>
      <c r="G89" s="34" t="inlineStr">
        <is>
          <t>Betamethasone dipropionate 0.05% cream</t>
        </is>
      </c>
      <c r="H89" s="34" t="n"/>
      <c r="I89" s="33" t="inlineStr">
        <is>
          <t>1</t>
        </is>
      </c>
      <c r="J89" s="34"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35" t="n"/>
      <c r="L89" s="34" t="inlineStr">
        <is>
          <t>Eczema &amp; Dermatitis</t>
        </is>
      </c>
      <c r="M89" s="35" t="inlineStr">
        <is>
          <t>Clinic</t>
        </is>
      </c>
      <c r="N89" s="34" t="inlineStr">
        <is>
          <t>PLE_CC1_2564_All_Key ข้อ 121</t>
        </is>
      </c>
      <c r="O89" s="35" t="inlineStr">
        <is>
          <t>ข้อสอบจริง</t>
        </is>
      </c>
      <c r="P89" s="35" t="inlineStr">
        <is>
          <t>ปี 2564</t>
        </is>
      </c>
      <c r="Q89" s="2" t="n"/>
    </row>
    <row r="90" ht="13.2" customHeight="1" s="49">
      <c r="A90" s="33" t="n">
        <v>88</v>
      </c>
      <c r="B90" s="34" t="inlineStr">
        <is>
          <t>ยาในข้อใดเป็นสาเหตุสำคัญและมีรายงานการเกิด DRESS Syndrome (Drug Reaction with Eosinophilia and Systemic Symptoms) ชัดเจนที่สุด</t>
        </is>
      </c>
      <c r="C90" s="35" t="n"/>
      <c r="D90" s="34" t="inlineStr">
        <is>
          <t>Diclofenac</t>
        </is>
      </c>
      <c r="E90" s="34" t="inlineStr">
        <is>
          <t>Prednisolone</t>
        </is>
      </c>
      <c r="F90" s="34" t="inlineStr">
        <is>
          <t>Colchicine</t>
        </is>
      </c>
      <c r="G90" s="34" t="inlineStr">
        <is>
          <t>Allopurinol</t>
        </is>
      </c>
      <c r="H90" s="34" t="inlineStr">
        <is>
          <t>Paracetamol</t>
        </is>
      </c>
      <c r="I90" s="33" t="n">
        <v>4</v>
      </c>
      <c r="J90" s="34"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35" t="n"/>
      <c r="L90" s="34" t="inlineStr">
        <is>
          <t>ADR &amp; Allergy</t>
        </is>
      </c>
      <c r="M90" s="35" t="inlineStr">
        <is>
          <t>Clinic</t>
        </is>
      </c>
      <c r="N90" s="34" t="inlineStr">
        <is>
          <t>PLE_CC1_2564_All_Key ข้อ 148</t>
        </is>
      </c>
      <c r="O90" s="35" t="inlineStr">
        <is>
          <t>ข้อสอบจริง</t>
        </is>
      </c>
      <c r="P90" s="35" t="inlineStr">
        <is>
          <t>ปี 2564</t>
        </is>
      </c>
      <c r="Q90" s="2" t="n"/>
    </row>
    <row r="91" ht="13.2" customHeight="1" s="49">
      <c r="A91" s="33" t="n">
        <v>89</v>
      </c>
      <c r="B91" s="34" t="inlineStr">
        <is>
          <t>กลไกขอษ mupirocin</t>
        </is>
      </c>
      <c r="C91" s="35" t="n"/>
      <c r="D91" s="34" t="inlineStr">
        <is>
          <t>ยับยั้ษ transpeptidase ที่ผนัษเอลล์</t>
        </is>
      </c>
      <c r="E91" s="34" t="inlineStr">
        <is>
          <t>ยับยั้ษ transglycosylase ที่ผนัษเอลล์</t>
        </is>
      </c>
      <c r="F91" s="34" t="inlineStr">
        <is>
          <t>ยับยั้ษ DNA synthesis ษ. ยับยั้ษ RNA synthesis ส. ยับยั้ษ tRNA</t>
        </is>
      </c>
      <c r="G91" s="34" t="inlineStr">
        <is>
          <t>Benzoyl peroxide 2.5% gel</t>
        </is>
      </c>
      <c r="H91" s="34" t="n"/>
      <c r="I91" s="33" t="n">
        <v>3</v>
      </c>
      <c r="J91" s="34"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transglycosylase ที่ผนัษเอลล์): Transglycosylase เป็นเอนไซม์สร้างสาย peptidoglycan ซึ่งถูกยับยั้งโดยยา Vancomycin ไม่ใช่กลไกของ Mupirocin
• ข้อ ค. (ยับยั้ษ DNA synthesis ษ. ยับยั้ษ RNA synthesis ส. ยับยั้ษ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35" t="n"/>
      <c r="L91" s="34" t="inlineStr">
        <is>
          <t>Bacterial Skin Infection</t>
        </is>
      </c>
      <c r="M91" s="35" t="inlineStr">
        <is>
          <t>Clinic</t>
        </is>
      </c>
      <c r="N91" s="34" t="inlineStr">
        <is>
          <t>PLE_CC1_2563_Q ข้อ 52</t>
        </is>
      </c>
      <c r="O91" s="35" t="inlineStr">
        <is>
          <t>ข้อสอบจริง</t>
        </is>
      </c>
      <c r="P91" s="35" t="inlineStr">
        <is>
          <t>ปี 2563</t>
        </is>
      </c>
      <c r="Q91" s="2" t="n"/>
    </row>
    <row r="92" ht="13.2" customHeight="1" s="49">
      <c r="A92" s="33" t="n">
        <v>90</v>
      </c>
      <c r="B92" s="34" t="inlineStr">
        <is>
          <t>ข้อใดเป็นอาการข้าษเคียษสากยาขี้ผึ้ษ mupirocin</t>
        </is>
      </c>
      <c r="C92" s="35" t="n"/>
      <c r="D92" s="34" t="inlineStr">
        <is>
          <t>Photosensitivity</t>
        </is>
      </c>
      <c r="E92" s="34" t="inlineStr">
        <is>
          <t>Acneiform eruption</t>
        </is>
      </c>
      <c r="F92" s="34" t="inlineStr">
        <is>
          <t>Skin irritation ษ. Striae ส. Spider nevi</t>
        </is>
      </c>
      <c r="G92" s="34" t="inlineStr">
        <is>
          <t>Cetirizine 10 mg OD</t>
        </is>
      </c>
      <c r="H92" s="34" t="n"/>
      <c r="I92" s="33" t="inlineStr">
        <is>
          <t>1</t>
        </is>
      </c>
      <c r="J92" s="34"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35" t="n"/>
      <c r="L92" s="34" t="inlineStr">
        <is>
          <t>Superficial fungal</t>
        </is>
      </c>
      <c r="M92" s="35" t="inlineStr">
        <is>
          <t>Clinic</t>
        </is>
      </c>
      <c r="N92" s="34" t="inlineStr">
        <is>
          <t>PLE_CC1_2563_Q ข้อ 53</t>
        </is>
      </c>
      <c r="O92" s="35" t="inlineStr">
        <is>
          <t>ข้อสอบจริง</t>
        </is>
      </c>
      <c r="P92" s="35" t="inlineStr">
        <is>
          <t>ปี 2563</t>
        </is>
      </c>
      <c r="Q92" s="2" t="n"/>
    </row>
    <row r="93" ht="13.2" customHeight="1" s="49">
      <c r="A93" s="33" t="n">
        <v>91</v>
      </c>
      <c r="B93" s="34" t="inlineStr">
        <is>
          <t>ยาใดสามารถให้แทนยาทา Mupirocin ได้ (ผู้ป่วยหกล้มและมีแผล)</t>
        </is>
      </c>
      <c r="C93" s="35" t="n"/>
      <c r="D93" s="34" t="inlineStr">
        <is>
          <t>Gentamicin</t>
        </is>
      </c>
      <c r="E93" s="34" t="inlineStr">
        <is>
          <t>Bacitracin</t>
        </is>
      </c>
      <c r="F93" s="34" t="inlineStr">
        <is>
          <t>Sulfanilamide ษ. Metronidazole</t>
        </is>
      </c>
      <c r="G93" s="34" t="inlineStr">
        <is>
          <t>Adapalene 0.1% gel</t>
        </is>
      </c>
      <c r="H93" s="34" t="n"/>
      <c r="I93" s="33" t="inlineStr">
        <is>
          <t>1</t>
        </is>
      </c>
      <c r="J93" s="34"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35" t="n"/>
      <c r="L93" s="34" t="inlineStr">
        <is>
          <t>Wound</t>
        </is>
      </c>
      <c r="M93" s="35" t="inlineStr">
        <is>
          <t>Clinic</t>
        </is>
      </c>
      <c r="N93" s="34" t="inlineStr">
        <is>
          <t>PLE_CC1_2563_Q ข้อ 54</t>
        </is>
      </c>
      <c r="O93" s="35" t="inlineStr">
        <is>
          <t>ข้อสอบจริง</t>
        </is>
      </c>
      <c r="P93" s="35" t="inlineStr">
        <is>
          <t>ปี 2563</t>
        </is>
      </c>
      <c r="Q93" s="2" t="n"/>
    </row>
    <row r="94" ht="13.2" customHeight="1" s="49">
      <c r="A94" s="33" t="n">
        <v>92</v>
      </c>
      <c r="B94" s="34" t="inlineStr">
        <is>
          <t>เฬื้อที่ทำให้เกิดสิวคือ</t>
        </is>
      </c>
      <c r="C94" s="35" t="n"/>
      <c r="D94" s="34" t="inlineStr">
        <is>
          <t>C. albicans</t>
        </is>
      </c>
      <c r="E94" s="34" t="inlineStr">
        <is>
          <t>H. pylori</t>
        </is>
      </c>
      <c r="F94" s="34" t="inlineStr">
        <is>
          <t>P. acne ษ. S. pyogenes ส. S. aureus</t>
        </is>
      </c>
      <c r="G94" s="34" t="inlineStr">
        <is>
          <t>Clotrimazole 1% cream</t>
        </is>
      </c>
      <c r="H94" s="34" t="n"/>
      <c r="I94" s="33" t="inlineStr">
        <is>
          <t>1</t>
        </is>
      </c>
      <c r="J94" s="34"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35" t="n"/>
      <c r="L94" s="34" t="inlineStr">
        <is>
          <t>Acne</t>
        </is>
      </c>
      <c r="M94" s="35" t="inlineStr">
        <is>
          <t>Clinic</t>
        </is>
      </c>
      <c r="N94" s="34" t="inlineStr">
        <is>
          <t>PLE_CC1_2563_Q ข้อ 57</t>
        </is>
      </c>
      <c r="O94" s="35" t="inlineStr">
        <is>
          <t>ข้อสอบจริง</t>
        </is>
      </c>
      <c r="P94" s="35" t="inlineStr">
        <is>
          <t>ปี 2563</t>
        </is>
      </c>
      <c r="Q94" s="2" t="n"/>
    </row>
    <row r="95" ht="13.2" customHeight="1" s="49">
      <c r="A95" s="33" t="n">
        <v>93</v>
      </c>
      <c r="B95" s="34" t="inlineStr">
        <is>
          <t>Oral isotretinoin ควรให้คำแนะนำอะไรที่เกิดสากผลข้าษเคียษที่สำคัญขอษตัวยา</t>
        </is>
      </c>
      <c r="C95" s="35" t="n"/>
      <c r="D95" s="34" t="inlineStr">
        <is>
          <t>ควรกินก่อนอาหาร30นาที</t>
        </is>
      </c>
      <c r="E95" s="34" t="inlineStr">
        <is>
          <t>ควรษดผลิตภัณฑ์ที่เป็นฮอร์โมน</t>
        </is>
      </c>
      <c r="F95" s="34" t="inlineStr">
        <is>
          <t>ควรทาครีมกันแดด ษ. ไม่ควรใฬ้ผลิตภัณฑ์ทาผิวที่มี vitamin A ส. อาหารไม่มีผลต่อการกินยา</t>
        </is>
      </c>
      <c r="G95" s="34" t="inlineStr">
        <is>
          <t>Clobetasol propionate 0.05% cream</t>
        </is>
      </c>
      <c r="H95" s="34" t="n"/>
      <c r="I95" s="33" t="inlineStr">
        <is>
          <t>1</t>
        </is>
      </c>
      <c r="J95" s="34"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35" t="n"/>
      <c r="L95" s="34" t="inlineStr">
        <is>
          <t>Acne</t>
        </is>
      </c>
      <c r="M95" s="35" t="inlineStr">
        <is>
          <t>Clinic</t>
        </is>
      </c>
      <c r="N95" s="34" t="inlineStr">
        <is>
          <t>PLE_CC1_2563_Q ข้อ 58</t>
        </is>
      </c>
      <c r="O95" s="35" t="inlineStr">
        <is>
          <t>ข้อสอบจริง</t>
        </is>
      </c>
      <c r="P95" s="35" t="inlineStr">
        <is>
          <t>ปี 2563</t>
        </is>
      </c>
      <c r="Q95" s="2" t="n"/>
    </row>
    <row r="96" ht="13.2" customHeight="1" s="49">
      <c r="A96" s="33" t="n">
        <v>94</v>
      </c>
      <c r="B96" s="34" t="inlineStr">
        <is>
          <t>อาการข้างต้นน่าจะเกิดจากยาใดมากที่สุด และเป็นอาการอะไร wasinsider W ↓ X STS</t>
        </is>
      </c>
      <c r="C96" s="35" t="n"/>
      <c r="D96" s="34" t="inlineStr">
        <is>
          <t>Naproxen - angioedema</t>
        </is>
      </c>
      <c r="E96" s="34" t="inlineStr">
        <is>
          <t>Naproxen - anaphylaxis</t>
        </is>
      </c>
      <c r="F96" s="34" t="inlineStr">
        <is>
          <t>Simvastatin - urticaria</t>
        </is>
      </c>
      <c r="G96" s="34" t="inlineStr">
        <is>
          <t>MFM - angioedema</t>
        </is>
      </c>
      <c r="H96" s="34" t="inlineStr">
        <is>
          <t>MFM ı anaphylaxis</t>
        </is>
      </c>
      <c r="I96" s="33" t="inlineStr">
        <is>
          <t>1</t>
        </is>
      </c>
      <c r="J96" s="34"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35" t="n"/>
      <c r="L96" s="34" t="inlineStr">
        <is>
          <t>Superficial fungal</t>
        </is>
      </c>
      <c r="M96" s="35" t="inlineStr">
        <is>
          <t>Clinic</t>
        </is>
      </c>
      <c r="N96" s="34" t="inlineStr">
        <is>
          <t>ข้อ 21 (PLE_CC1_2562_Key.md)</t>
        </is>
      </c>
      <c r="O96" s="35" t="inlineStr">
        <is>
          <t>ข้อสอบจริง</t>
        </is>
      </c>
      <c r="P96" s="35" t="inlineStr">
        <is>
          <t>ปี 2562</t>
        </is>
      </c>
    </row>
    <row r="97" ht="13.2" customHeight="1" s="49">
      <c r="A97" s="33" t="n">
        <v>95</v>
      </c>
      <c r="B97" s="34"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97" s="35" t="n"/>
      <c r="D97" s="34" t="inlineStr">
        <is>
          <t>Sulfamethoxazole</t>
        </is>
      </c>
      <c r="E97" s="34" t="inlineStr">
        <is>
          <t>Celecoxib</t>
        </is>
      </c>
      <c r="F97" s="34" t="inlineStr">
        <is>
          <t>Hydrochlorothiazide</t>
        </is>
      </c>
      <c r="G97" s="34" t="inlineStr">
        <is>
          <t>Furosemide</t>
        </is>
      </c>
      <c r="H97" s="34" t="inlineStr">
        <is>
          <t>มีโอกาสเกิดปฏิกิริยาข้ามกลุ่มได้ทั้งหมดข้างต้น</t>
        </is>
      </c>
      <c r="I97" s="33" t="n">
        <v>5</v>
      </c>
      <c r="J97" s="34" t="inlineStr">
        <is>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is>
      </c>
      <c r="K97" s="35" t="n"/>
      <c r="L97" s="34" t="inlineStr">
        <is>
          <t>ADR &amp; Allergy</t>
        </is>
      </c>
      <c r="M97" s="35" t="inlineStr">
        <is>
          <t>Clinic</t>
        </is>
      </c>
      <c r="N97" s="34" t="inlineStr">
        <is>
          <t>ข้อ 27 (PLE_CC1_2562_Key.md)</t>
        </is>
      </c>
      <c r="O97" s="35" t="inlineStr">
        <is>
          <t>ข้อสอบจริง</t>
        </is>
      </c>
      <c r="P97" s="35" t="inlineStr">
        <is>
          <t>ปี 2562</t>
        </is>
      </c>
    </row>
    <row r="98" ht="13.2" customHeight="1" s="49">
      <c r="A98" s="33" t="n">
        <v>96</v>
      </c>
      <c r="B98" s="34"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35" t="n"/>
      <c r="D98" s="34" t="inlineStr">
        <is>
          <t>RCT</t>
        </is>
      </c>
      <c r="E98" s="34" t="inlineStr">
        <is>
          <t>Prospective case-control</t>
        </is>
      </c>
      <c r="F98" s="34" t="inlineStr">
        <is>
          <t>Retrospective case-control</t>
        </is>
      </c>
      <c r="G98" s="34" t="inlineStr">
        <is>
          <t>Prospective cohort</t>
        </is>
      </c>
      <c r="H98" s="34" t="inlineStr">
        <is>
          <t>Retrospective cohort</t>
        </is>
      </c>
      <c r="I98" s="33" t="n">
        <v>3</v>
      </c>
      <c r="J98" s="34"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35" t="n"/>
      <c r="L98" s="34" t="inlineStr">
        <is>
          <t>Biostatistics &amp; Study Design</t>
        </is>
      </c>
      <c r="M98" s="35" t="inlineStr">
        <is>
          <t>Clinic</t>
        </is>
      </c>
      <c r="N98" s="34" t="inlineStr">
        <is>
          <t>ข้อ 62 (PLE_CC1_2562_Key.md)</t>
        </is>
      </c>
      <c r="O98" s="35" t="inlineStr">
        <is>
          <t>ข้อสอบจริง</t>
        </is>
      </c>
      <c r="P98" s="35" t="inlineStr">
        <is>
          <t>ปี 2562</t>
        </is>
      </c>
    </row>
    <row r="99" ht="13.2" customHeight="1" s="49">
      <c r="A99" s="33" t="n">
        <v>97</v>
      </c>
      <c r="B99" s="34" t="inlineStr">
        <is>
          <t>ข้อใดคือ indirect cost CUTEagomoline WV225 cut as</t>
        </is>
      </c>
      <c r="C99" s="35" t="n"/>
      <c r="D99" s="34" t="inlineStr">
        <is>
          <t>Adapalene 0.1% gel</t>
        </is>
      </c>
      <c r="E99" s="34" t="inlineStr">
        <is>
          <t>Mupirocin 2% ointment</t>
        </is>
      </c>
      <c r="F99" s="34" t="inlineStr">
        <is>
          <t>Betamethasone dipropionate 0.05% cream</t>
        </is>
      </c>
      <c r="G99" s="34" t="inlineStr">
        <is>
          <t>Clotrimazole 1% cream</t>
        </is>
      </c>
      <c r="H99" s="34" t="inlineStr">
        <is>
          <t>Hydrocortisone 1% cream</t>
        </is>
      </c>
      <c r="I99" s="33" t="inlineStr">
        <is>
          <t>1</t>
        </is>
      </c>
      <c r="J99" s="34"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35" t="n"/>
      <c r="L99" s="34" t="inlineStr">
        <is>
          <t>Superficial fungal</t>
        </is>
      </c>
      <c r="M99" s="35" t="inlineStr">
        <is>
          <t>Clinic</t>
        </is>
      </c>
      <c r="N99" s="34" t="inlineStr">
        <is>
          <t>ข้อ 113 (PLE_CC1_2561_Key.md)</t>
        </is>
      </c>
      <c r="O99" s="35" t="inlineStr">
        <is>
          <t>ข้อสอบจริง</t>
        </is>
      </c>
      <c r="P99" s="35" t="inlineStr">
        <is>
          <t>ปี 2561</t>
        </is>
      </c>
    </row>
    <row r="100" ht="13.2" customHeight="1" s="49">
      <c r="A100" s="33" t="n">
        <v>98</v>
      </c>
      <c r="B100" s="34" t="inlineStr">
        <is>
          <t>ข้อใดต่อไปถูกต้องเกี่ยวกับเกลื อน</t>
        </is>
      </c>
      <c r="C100" s="35" t="n"/>
      <c r="D100" s="34" t="inlineStr">
        <is>
          <t>เกิดจากเชื อ Malassezia furfur</t>
        </is>
      </c>
      <c r="E100" s="34" t="inlineStr">
        <is>
          <t>ถ้าอาการรุนแรง จะมีขุย แดง คัน</t>
        </is>
      </c>
      <c r="F100" s="34" t="inlineStr">
        <is>
          <t>ถ้าทดสอบด้วย 10% KOH ไปส่องกล้อง จะเห็น Long pseudohyphae</t>
        </is>
      </c>
      <c r="G100" s="34" t="inlineStr">
        <is>
          <t>ใช้ยาทา Topical selenium sulfide ในการรักษา</t>
        </is>
      </c>
      <c r="H100" s="34" t="inlineStr">
        <is>
          <t>ถ้าเป็นบ่อยๆ ควรได้รับยาป้องกัน รวมโดย Phongsathorn Phlaisaithong Rx 9 UP 4 | P a g e</t>
        </is>
      </c>
      <c r="I100" s="33" t="inlineStr">
        <is>
          <t>1</t>
        </is>
      </c>
      <c r="J100" s="34"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35" t="n"/>
      <c r="L100" s="34" t="inlineStr">
        <is>
          <t>Superficial fungal</t>
        </is>
      </c>
      <c r="M100" s="35" t="inlineStr">
        <is>
          <t>Clinic</t>
        </is>
      </c>
      <c r="N100" s="34" t="inlineStr">
        <is>
          <t>ข้อ 1 (PLE_CC1_2560 22 April Set 1.md)</t>
        </is>
      </c>
      <c r="O100" s="35" t="inlineStr">
        <is>
          <t>ข้อสอบจริง</t>
        </is>
      </c>
      <c r="P100" s="35" t="inlineStr">
        <is>
          <t>ปี 2560</t>
        </is>
      </c>
    </row>
    <row r="101" ht="13.2" customHeight="1" s="49">
      <c r="A101" s="33" t="n">
        <v>99</v>
      </c>
      <c r="B101" s="34" t="inlineStr">
        <is>
          <t>ถ้าจะใช้ยากิน ควรใช้ยารับประทานใด</t>
        </is>
      </c>
      <c r="C101" s="35" t="n"/>
      <c r="D101" s="34" t="inlineStr">
        <is>
          <t>Ketoconazole</t>
        </is>
      </c>
      <c r="E101" s="34" t="inlineStr">
        <is>
          <t>Posaconazole</t>
        </is>
      </c>
      <c r="F101" s="34" t="inlineStr">
        <is>
          <t>Miconazole</t>
        </is>
      </c>
      <c r="G101" s="34" t="inlineStr">
        <is>
          <t>Fluconazole</t>
        </is>
      </c>
      <c r="H101" s="34" t="inlineStr">
        <is>
          <t>Griseofulvin หลังจากนั นสักพักผู้ป่วยอาการไม่ดีขึ นไปพบแพทย์จ่ายยา Itraconazole ให้มารับประทาน</t>
        </is>
      </c>
      <c r="I101" s="33" t="inlineStr">
        <is>
          <t>1</t>
        </is>
      </c>
      <c r="J101" s="34"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35" t="n"/>
      <c r="L101" s="34" t="inlineStr">
        <is>
          <t>Superficial fungal</t>
        </is>
      </c>
      <c r="M101" s="35" t="inlineStr">
        <is>
          <t>Clinic</t>
        </is>
      </c>
      <c r="N101" s="34" t="inlineStr">
        <is>
          <t>ข้อ 2 (PLE_CC1_2560 22 April Set 1.md)</t>
        </is>
      </c>
      <c r="O101" s="35" t="inlineStr">
        <is>
          <t>ข้อสอบจริง</t>
        </is>
      </c>
      <c r="P101" s="35" t="inlineStr">
        <is>
          <t>ปี 2560</t>
        </is>
      </c>
    </row>
    <row r="102" ht="13.2" customHeight="1" s="49">
      <c r="A102" s="33" t="n">
        <v>100</v>
      </c>
      <c r="B102" s="34" t="inlineStr">
        <is>
          <t>กลไกการออกฤทธิ์ของยา Clotrimazole</t>
        </is>
      </c>
      <c r="C102" s="35" t="n"/>
      <c r="D102" s="34" t="inlineStr">
        <is>
          <t>ยับยั งการสังเคราะห์ Ergosterol</t>
        </is>
      </c>
      <c r="E102" s="34" t="inlineStr">
        <is>
          <t>ยับยั ง Squalene epoxidase</t>
        </is>
      </c>
      <c r="F102" s="34" t="inlineStr">
        <is>
          <t>Mitotic spindle toxicity</t>
        </is>
      </c>
      <c r="G102" s="34" t="inlineStr">
        <is>
          <t>Thymidylate synthase inhibitors</t>
        </is>
      </c>
      <c r="H102" s="34" t="inlineStr">
        <is>
          <t>ยับยั งการสร้าง Glucans</t>
        </is>
      </c>
      <c r="I102" s="33" t="inlineStr">
        <is>
          <t>1</t>
        </is>
      </c>
      <c r="J102" s="34"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35" t="n"/>
      <c r="L102" s="34" t="inlineStr">
        <is>
          <t>Superficial fungal</t>
        </is>
      </c>
      <c r="M102" s="35" t="inlineStr">
        <is>
          <t>Clinic</t>
        </is>
      </c>
      <c r="N102" s="34" t="inlineStr">
        <is>
          <t>ข้อ 7 (PLE_CC1_2560 22 April Set 1.md)</t>
        </is>
      </c>
      <c r="O102" s="35" t="inlineStr">
        <is>
          <t>ข้อสอบจริง</t>
        </is>
      </c>
      <c r="P102" s="35" t="inlineStr">
        <is>
          <t>ปี 2560</t>
        </is>
      </c>
    </row>
    <row r="103" ht="13.2" customHeight="1" s="49">
      <c r="A103" s="33" t="n">
        <v>101</v>
      </c>
      <c r="B103" s="34" t="inlineStr">
        <is>
          <t>ผื่นที่หน้าของผู้ป่วย เรียกว่าอะไร</t>
        </is>
      </c>
      <c r="C103" s="35" t="n"/>
      <c r="D103" s="34" t="inlineStr">
        <is>
          <t>Discoid rash</t>
        </is>
      </c>
      <c r="E103" s="34" t="inlineStr">
        <is>
          <t>Maculopapular rash</t>
        </is>
      </c>
      <c r="F103" s="34" t="inlineStr">
        <is>
          <t>Urticaria</t>
        </is>
      </c>
      <c r="G103" s="34" t="inlineStr">
        <is>
          <t>Malar rash</t>
        </is>
      </c>
      <c r="H103" s="34" t="inlineStr">
        <is>
          <t>Angioedema</t>
        </is>
      </c>
      <c r="I103" s="33" t="n">
        <v>4</v>
      </c>
      <c r="J103" s="34"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35" t="n"/>
      <c r="L103" s="34" t="inlineStr">
        <is>
          <t>Autoimmune &amp; SLE</t>
        </is>
      </c>
      <c r="M103" s="35" t="inlineStr">
        <is>
          <t>Clinic</t>
        </is>
      </c>
      <c r="N103" s="34" t="inlineStr">
        <is>
          <t>ข้อ 1 (PLE_CC1_2560 22 April Set 1.md)</t>
        </is>
      </c>
      <c r="O103" s="35" t="inlineStr">
        <is>
          <t>ข้อสอบจริง</t>
        </is>
      </c>
      <c r="P103" s="35" t="inlineStr">
        <is>
          <t>ปี 2560</t>
        </is>
      </c>
    </row>
    <row r="104" ht="13.2" customHeight="1" s="49">
      <c r="A104" s="33" t="n">
        <v>102</v>
      </c>
      <c r="B104" s="34"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35" t="n"/>
      <c r="D104" s="34" t="inlineStr">
        <is>
          <t>Betamethasone dipropionate 0.05%</t>
        </is>
      </c>
      <c r="E104" s="34" t="inlineStr">
        <is>
          <t>Clobetasol propionate 0.05%</t>
        </is>
      </c>
      <c r="F104" s="34" t="inlineStr">
        <is>
          <t>Dexosimethasone 0.05%</t>
        </is>
      </c>
      <c r="G104" s="34" t="inlineStr">
        <is>
          <t>Triamcinolone acetonide 0.1%</t>
        </is>
      </c>
      <c r="H104" s="34" t="inlineStr">
        <is>
          <t>Hydrocortisone acetate 0.5% รวมโดย Phongsathorn Phlaisaithong Rx 9 UP 21 | P a g e</t>
        </is>
      </c>
      <c r="I104" s="33" t="inlineStr">
        <is>
          <t>1</t>
        </is>
      </c>
      <c r="J104" s="34"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35" t="n"/>
      <c r="L104" s="34" t="inlineStr">
        <is>
          <t>Eczema &amp; Dermatitis</t>
        </is>
      </c>
      <c r="M104" s="35" t="inlineStr">
        <is>
          <t>Clinic</t>
        </is>
      </c>
      <c r="N104" s="34" t="inlineStr">
        <is>
          <t>ข้อ 3 (PLE_CC1_2560 22 April Set 1.md)</t>
        </is>
      </c>
      <c r="O104" s="35" t="inlineStr">
        <is>
          <t>ข้อสอบจริง</t>
        </is>
      </c>
      <c r="P104" s="35" t="inlineStr">
        <is>
          <t>ปี 2560</t>
        </is>
      </c>
    </row>
    <row r="105" ht="13.2" customHeight="1" s="49">
      <c r="A105" s="33" t="n">
        <v>103</v>
      </c>
      <c r="B105" s="34" t="inlineStr">
        <is>
          <t>ข้อใดต่อไปถูกต้องเกี่ยวกับเกลื้อน</t>
        </is>
      </c>
      <c r="C105" s="35" t="n"/>
      <c r="D105" s="34" t="inlineStr">
        <is>
          <t>เกิดจากเชื้อ Malassezia furfur</t>
        </is>
      </c>
      <c r="E105" s="34" t="inlineStr">
        <is>
          <t>ถ้าอาการรุนแรง จะมีขุย แดง คัน</t>
        </is>
      </c>
      <c r="F105" s="34" t="inlineStr">
        <is>
          <t>ถ้าทดสอบด้วย 10% KOH ไปส่องกล้อง จะเห็น Long pseudohyphae</t>
        </is>
      </c>
      <c r="G105" s="34" t="inlineStr">
        <is>
          <t>ใช้ยาทา Topical selenium sulfide ในการรักษา</t>
        </is>
      </c>
      <c r="H105" s="34" t="inlineStr">
        <is>
          <t>ถ้าเป็นบ่อยๆ ควรได้รับยาป้องกัน</t>
        </is>
      </c>
      <c r="I105" s="33" t="inlineStr">
        <is>
          <t>1</t>
        </is>
      </c>
      <c r="J105" s="34"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35" t="n"/>
      <c r="L105" s="34" t="inlineStr">
        <is>
          <t>Superficial fungal</t>
        </is>
      </c>
      <c r="M105" s="35" t="inlineStr">
        <is>
          <t>Clinic</t>
        </is>
      </c>
      <c r="N105" s="34" t="inlineStr">
        <is>
          <t>ข้อ 1 (PLE_CC1_2560 22 April Set 2.md)</t>
        </is>
      </c>
      <c r="O105" s="35" t="inlineStr">
        <is>
          <t>ข้อสอบจริง</t>
        </is>
      </c>
      <c r="P105" s="35" t="inlineStr">
        <is>
          <t>ปี 2560</t>
        </is>
      </c>
    </row>
    <row r="106" ht="13.2" customHeight="1" s="49">
      <c r="A106" s="33" t="n">
        <v>104</v>
      </c>
      <c r="B106" s="34" t="inlineStr">
        <is>
          <t>ค่าแลปใด Specificity สูงสุด สำหรับ SLE</t>
        </is>
      </c>
      <c r="C106" s="35" t="n"/>
      <c r="D106" s="34" t="inlineStr">
        <is>
          <t>ANA</t>
        </is>
      </c>
      <c r="E106" s="34" t="inlineStr">
        <is>
          <t>Anti-dsDNA</t>
        </is>
      </c>
      <c r="F106" s="34" t="inlineStr">
        <is>
          <t>Lupus anticoagulant</t>
        </is>
      </c>
      <c r="G106" s="34" t="inlineStr">
        <is>
          <t>ESR</t>
        </is>
      </c>
      <c r="H106" s="34" t="inlineStr">
        <is>
          <t>Cetirizine 10 mg OD</t>
        </is>
      </c>
      <c r="I106" s="33" t="n">
        <v>2</v>
      </c>
      <c r="J106" s="34"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35" t="n"/>
      <c r="L106" s="34" t="inlineStr">
        <is>
          <t>Autoimmune &amp; SLE</t>
        </is>
      </c>
      <c r="M106" s="35" t="inlineStr">
        <is>
          <t>Clinic</t>
        </is>
      </c>
      <c r="N106" s="34" t="inlineStr">
        <is>
          <t>ข้อ 2 (PLE_CC1_2560 22 April Set 2.md)</t>
        </is>
      </c>
      <c r="O106" s="35" t="inlineStr">
        <is>
          <t>ข้อสอบจริง</t>
        </is>
      </c>
      <c r="P106" s="35" t="inlineStr">
        <is>
          <t>ปี 2560</t>
        </is>
      </c>
    </row>
    <row r="107" ht="13.2" customHeight="1" s="49">
      <c r="A107" s="33" t="n">
        <v>105</v>
      </c>
      <c r="B107" s="34" t="inlineStr">
        <is>
          <t>ถ้าไม่มียา Fluocinolone acetonide 0.01% เภสัชกรจะจ่ายยาใดแทน</t>
        </is>
      </c>
      <c r="C107" s="35" t="n"/>
      <c r="D107" s="34" t="inlineStr">
        <is>
          <t>Betamethasone dipropionate 0.05%</t>
        </is>
      </c>
      <c r="E107" s="34" t="inlineStr">
        <is>
          <t>Clobetasol propionate 0.05%</t>
        </is>
      </c>
      <c r="F107" s="34" t="inlineStr">
        <is>
          <t>Dexosimethasone 0.05%</t>
        </is>
      </c>
      <c r="G107" s="34" t="inlineStr">
        <is>
          <t>Triamcinolone acetonide 0.1%</t>
        </is>
      </c>
      <c r="H107" s="34" t="inlineStr">
        <is>
          <t>Hydrocortisone acetate 0.5%</t>
        </is>
      </c>
      <c r="I107" s="33" t="inlineStr">
        <is>
          <t>1</t>
        </is>
      </c>
      <c r="J107" s="34"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35" t="n"/>
      <c r="L107" s="34" t="inlineStr">
        <is>
          <t>Superficial fungal</t>
        </is>
      </c>
      <c r="M107" s="35" t="inlineStr">
        <is>
          <t>Clinic</t>
        </is>
      </c>
      <c r="N107" s="34" t="inlineStr">
        <is>
          <t>ข้อ 3 (PLE_CC1_2560 22 April Set 2.md)</t>
        </is>
      </c>
      <c r="O107" s="35" t="inlineStr">
        <is>
          <t>ข้อสอบจริง</t>
        </is>
      </c>
      <c r="P107" s="35" t="inlineStr">
        <is>
          <t>ปี 2560</t>
        </is>
      </c>
    </row>
    <row r="108" ht="13.2" customHeight="1" s="49">
      <c r="A108" s="33" t="n">
        <v>106</v>
      </c>
      <c r="B108" s="34" t="inlineStr">
        <is>
          <t>หากให้ยา paclitaxel แล้วผู้ป่วยเกิดผื่นคัน จะมีแนวทางป้องกันอย่างไร</t>
        </is>
      </c>
      <c r="C108" s="35" t="n"/>
      <c r="D108" s="34" t="inlineStr">
        <is>
          <t>ให้สารน ้าจ้าพวกน ้าเกลือก่อนให้ยา 1-2 ชั่วโมง</t>
        </is>
      </c>
      <c r="E108" s="34" t="inlineStr">
        <is>
          <t>ให้ยาคาลาไมด์ โลชันทาเมื่อมีอาการแพ้</t>
        </is>
      </c>
      <c r="F108" s="34" t="inlineStr">
        <is>
          <t>ให้ยา dexamethasone ก่อนให้ยา 30 นาที</t>
        </is>
      </c>
      <c r="G108" s="34" t="inlineStr">
        <is>
          <t>ให้ยา famotidine ก่อนให้ยา 1 ชั่วโมง</t>
        </is>
      </c>
      <c r="H108" s="34" t="inlineStr">
        <is>
          <t>ให้เปลี่ยนตัวท้าละลายเป็น D5W เนื่องจากเกิดผลน้อยที่สุด</t>
        </is>
      </c>
      <c r="I108" s="33" t="inlineStr">
        <is>
          <t>1</t>
        </is>
      </c>
      <c r="J108" s="34"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35" t="n"/>
      <c r="L108" s="34" t="inlineStr">
        <is>
          <t>Eczema &amp; Dermatitis</t>
        </is>
      </c>
      <c r="M108" s="35" t="inlineStr">
        <is>
          <t>Clinic</t>
        </is>
      </c>
      <c r="N108" s="34" t="inlineStr">
        <is>
          <t>ข้อ 52 (PLE_CC1_2559.md)</t>
        </is>
      </c>
      <c r="O108" s="35" t="inlineStr">
        <is>
          <t>ข้อสอบจริง</t>
        </is>
      </c>
      <c r="P108" s="35" t="inlineStr">
        <is>
          <t>ปี 2559</t>
        </is>
      </c>
    </row>
    <row r="109" ht="13.2" customHeight="1" s="49">
      <c r="A109" s="33" t="n">
        <v>107</v>
      </c>
      <c r="B109" s="34"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35" t="n"/>
      <c r="D109" s="34" t="inlineStr">
        <is>
          <t>0.45 กรัม</t>
        </is>
      </c>
      <c r="E109" s="34" t="inlineStr">
        <is>
          <t>0.55 กรัม</t>
        </is>
      </c>
      <c r="F109" s="34" t="inlineStr">
        <is>
          <t>1.45 กรัม</t>
        </is>
      </c>
      <c r="G109" s="34" t="inlineStr">
        <is>
          <t>1.55 กรัม</t>
        </is>
      </c>
      <c r="H109" s="34" t="inlineStr">
        <is>
          <t>2.00 กรัม</t>
        </is>
      </c>
      <c r="I109" s="33" t="n">
        <v>4</v>
      </c>
      <c r="J109" s="34"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35" t="n"/>
      <c r="L109" s="34" t="inlineStr">
        <is>
          <t>Pharmaceutical Compounding</t>
        </is>
      </c>
      <c r="M109" s="35" t="inlineStr">
        <is>
          <t>Clinic</t>
        </is>
      </c>
      <c r="N109" s="34" t="inlineStr">
        <is>
          <t>ข้อ 66 (PLE_CC1_2559.md)</t>
        </is>
      </c>
      <c r="O109" s="35" t="inlineStr">
        <is>
          <t>ข้อสอบจริง</t>
        </is>
      </c>
      <c r="P109" s="35" t="inlineStr">
        <is>
          <t>ปี 2559</t>
        </is>
      </c>
    </row>
    <row r="110" ht="13.2" customHeight="1" s="49">
      <c r="A110" s="33" t="n">
        <v>108</v>
      </c>
      <c r="B110" s="34" t="inlineStr">
        <is>
          <t>ให้ยาใดเป็น maintenance phase</t>
        </is>
      </c>
      <c r="C110" s="35" t="n"/>
      <c r="D110" s="34" t="inlineStr">
        <is>
          <t>Amphotericin B</t>
        </is>
      </c>
      <c r="E110" s="34" t="inlineStr">
        <is>
          <t>Fluconazole</t>
        </is>
      </c>
      <c r="F110" s="34" t="inlineStr">
        <is>
          <t>Itraconazole</t>
        </is>
      </c>
      <c r="G110" s="34" t="inlineStr">
        <is>
          <t>Bactrim</t>
        </is>
      </c>
      <c r="H110" s="34" t="inlineStr">
        <is>
          <t>Griseofulvin</t>
        </is>
      </c>
      <c r="I110" s="33" t="n">
        <v>2</v>
      </c>
      <c r="J110" s="34"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35" t="n"/>
      <c r="L110" s="34" t="inlineStr">
        <is>
          <t>Infectious Diseases</t>
        </is>
      </c>
      <c r="M110" s="35" t="inlineStr">
        <is>
          <t>Clinic</t>
        </is>
      </c>
      <c r="N110" s="34" t="inlineStr">
        <is>
          <t>ข้อ 19 (PLE_CC1_2558_Key.md)</t>
        </is>
      </c>
      <c r="O110" s="35" t="inlineStr">
        <is>
          <t>ข้อสอบจริง</t>
        </is>
      </c>
      <c r="P110" s="35" t="inlineStr">
        <is>
          <t>ปี 2558</t>
        </is>
      </c>
    </row>
    <row r="111" ht="13.2" customHeight="1" s="49">
      <c r="A111" s="33" t="n">
        <v>109</v>
      </c>
      <c r="B111" s="34" t="inlineStr">
        <is>
          <t>ลักษณะอาการที่ผู้ป่วยเป็น เกิดจากเชื้ออะไร</t>
        </is>
      </c>
      <c r="C111" s="35" t="n"/>
      <c r="D111" s="34" t="inlineStr">
        <is>
          <t>Propionebacterium acnes</t>
        </is>
      </c>
      <c r="E111" s="34" t="inlineStr">
        <is>
          <t>Malassezia furfur</t>
        </is>
      </c>
      <c r="F111" s="34" t="inlineStr">
        <is>
          <t>Herpes simplex</t>
        </is>
      </c>
      <c r="G111" s="34" t="inlineStr">
        <is>
          <t>Thichophyton rubum</t>
        </is>
      </c>
      <c r="H111" s="34" t="inlineStr">
        <is>
          <t>Microsporum</t>
        </is>
      </c>
      <c r="I111" s="33" t="n">
        <v>2</v>
      </c>
      <c r="J111" s="34"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35" t="n"/>
      <c r="L111" s="34" t="inlineStr">
        <is>
          <t>Superficial fungal</t>
        </is>
      </c>
      <c r="M111" s="35" t="inlineStr">
        <is>
          <t>Clinic</t>
        </is>
      </c>
      <c r="N111" s="34" t="inlineStr">
        <is>
          <t>ข้อ 93 (PLE_CC1_2558_Key.md)</t>
        </is>
      </c>
      <c r="O111" s="35" t="inlineStr">
        <is>
          <t>ข้อสอบจริง</t>
        </is>
      </c>
      <c r="P111" s="35" t="inlineStr">
        <is>
          <t>ปี 2558</t>
        </is>
      </c>
    </row>
    <row r="112" ht="13.2" customHeight="1" s="49">
      <c r="A112" s="33" t="n">
        <v>110</v>
      </c>
      <c r="B112" s="34" t="inlineStr">
        <is>
          <t>ยาใดที่เหมาะสมสำหรับผู้ป่วย</t>
        </is>
      </c>
      <c r="C112" s="35" t="n"/>
      <c r="D112" s="34" t="inlineStr">
        <is>
          <t>Griseofulvin oral</t>
        </is>
      </c>
      <c r="E112" s="34" t="inlineStr">
        <is>
          <t>Terbinafine</t>
        </is>
      </c>
      <c r="F112" s="34" t="inlineStr">
        <is>
          <t>Ketoconazole oral</t>
        </is>
      </c>
      <c r="G112" s="34" t="inlineStr">
        <is>
          <t>Prednisolone</t>
        </is>
      </c>
      <c r="H112" s="34" t="inlineStr">
        <is>
          <t>Itraconazole capsule</t>
        </is>
      </c>
      <c r="I112" s="33" t="n">
        <v>5</v>
      </c>
      <c r="J112" s="34"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35" t="n"/>
      <c r="L112" s="34" t="inlineStr">
        <is>
          <t>Superficial fungal</t>
        </is>
      </c>
      <c r="M112" s="35" t="inlineStr">
        <is>
          <t>Clinic</t>
        </is>
      </c>
      <c r="N112" s="34" t="inlineStr">
        <is>
          <t>ข้อ 94 (PLE_CC1_2558_Key.md)</t>
        </is>
      </c>
      <c r="O112" s="35" t="inlineStr">
        <is>
          <t>ข้อสอบจริง</t>
        </is>
      </c>
      <c r="P112" s="35" t="inlineStr">
        <is>
          <t>ปี 2558</t>
        </is>
      </c>
    </row>
    <row r="113" ht="13.2" customHeight="1" s="49">
      <c r="A113" s="33" t="n">
        <v>111</v>
      </c>
      <c r="B113" s="34" t="inlineStr">
        <is>
          <t>ยาใดเป็นพิษต่อตับมากที่สุด</t>
        </is>
      </c>
      <c r="C113" s="35" t="n"/>
      <c r="D113" s="34" t="inlineStr">
        <is>
          <t>Griseofulvin oral</t>
        </is>
      </c>
      <c r="E113" s="34" t="inlineStr">
        <is>
          <t>Terbinafine</t>
        </is>
      </c>
      <c r="F113" s="34" t="inlineStr">
        <is>
          <t>Ketoconazole oral</t>
        </is>
      </c>
      <c r="G113" s="34" t="inlineStr">
        <is>
          <t>Prednisolone</t>
        </is>
      </c>
      <c r="H113" s="34" t="inlineStr">
        <is>
          <t>Itraconazole capsule</t>
        </is>
      </c>
      <c r="I113" s="33" t="n">
        <v>3</v>
      </c>
      <c r="J113" s="34"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35" t="n"/>
      <c r="L113" s="34" t="inlineStr">
        <is>
          <t>Superficial fungal</t>
        </is>
      </c>
      <c r="M113" s="35" t="inlineStr">
        <is>
          <t>Clinic</t>
        </is>
      </c>
      <c r="N113" s="34" t="inlineStr">
        <is>
          <t>ข้อ 95 (PLE_CC1_2558_Key.md)</t>
        </is>
      </c>
      <c r="O113" s="35" t="inlineStr">
        <is>
          <t>ข้อสอบจริง</t>
        </is>
      </c>
      <c r="P113" s="35" t="inlineStr">
        <is>
          <t>ปี 2558</t>
        </is>
      </c>
    </row>
    <row r="114" ht="13.2" customHeight="1" s="49">
      <c r="A114" s="33" t="n">
        <v>112</v>
      </c>
      <c r="B114" s="34" t="inlineStr">
        <is>
          <t>ข้อใดไม่เกี่ยวข้องกับการวินิจฉัย TEN</t>
        </is>
      </c>
      <c r="C114" s="35" t="n"/>
      <c r="D114" s="34" t="inlineStr">
        <is>
          <t>มีผื่นผิวหนังลอกมากกว่า 30%</t>
        </is>
      </c>
      <c r="E114" s="34" t="inlineStr">
        <is>
          <t>มีไข้ เจ็บคอ เริ่มมีผื่นแดงขึ้น</t>
        </is>
      </c>
      <c r="F114" s="34" t="inlineStr">
        <is>
          <t>ได้รับยาที่มี incidence สูงในการเกิด TEN</t>
        </is>
      </c>
      <c r="G114" s="34" t="inlineStr">
        <is>
          <t>มีแผลที่อวัยวะต่าง ๆ</t>
        </is>
      </c>
      <c r="H114" s="34" t="inlineStr">
        <is>
          <t>โรคประจำตัวมาก</t>
        </is>
      </c>
      <c r="I114" s="33" t="inlineStr">
        <is>
          <t>1</t>
        </is>
      </c>
      <c r="J114" s="34"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35" t="n"/>
      <c r="L114" s="34" t="inlineStr">
        <is>
          <t>Superficial fungal</t>
        </is>
      </c>
      <c r="M114" s="35" t="inlineStr">
        <is>
          <t>Clinic</t>
        </is>
      </c>
      <c r="N114" s="34" t="inlineStr">
        <is>
          <t>ข้อ 27 (PLE_CC1_2558_Key.md)</t>
        </is>
      </c>
      <c r="O114" s="35" t="inlineStr">
        <is>
          <t>ข้อสอบจริง</t>
        </is>
      </c>
      <c r="P114" s="35" t="inlineStr">
        <is>
          <t>ปี 2558</t>
        </is>
      </c>
    </row>
    <row r="115" ht="13.2" customHeight="1" s="49">
      <c r="A115" s="33" t="n">
        <v>113</v>
      </c>
      <c r="B115" s="34" t="inlineStr">
        <is>
          <t>ข้อใดคือปัจจัยเสี่ยงที่ทำให้เกิดโรคในผู้ป่วยรายนี้</t>
        </is>
      </c>
      <c r="C115" s="35" t="n"/>
      <c r="D115" s="34" t="inlineStr">
        <is>
          <t>การสูบบุหรี่และดื่มแอลกอฮอล์</t>
        </is>
      </c>
      <c r="E115" s="34" t="inlineStr">
        <is>
          <t>ผู้ป่วยมีประวัติเป็น Venous aneurysm</t>
        </is>
      </c>
      <c r="F115" s="34" t="inlineStr">
        <is>
          <t>ภาวะ Obesity Metabolic syndrome</t>
        </is>
      </c>
      <c r="G115" s="34" t="inlineStr">
        <is>
          <t>พันธุกรรม คนในครอบครัวมีประวัติดังกล่าว</t>
        </is>
      </c>
      <c r="H115" s="34" t="inlineStr">
        <is>
          <t>ทุกข้อเป็นปัจจัยเสี่ยงที่ทำให้เกิดโรคนี้</t>
        </is>
      </c>
      <c r="I115" s="33" t="inlineStr">
        <is>
          <t>1</t>
        </is>
      </c>
      <c r="J115" s="34"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35" t="n"/>
      <c r="L115" s="34" t="inlineStr">
        <is>
          <t>Superficial fungal</t>
        </is>
      </c>
      <c r="M115" s="35" t="inlineStr">
        <is>
          <t>Clinic</t>
        </is>
      </c>
      <c r="N115" s="34" t="inlineStr">
        <is>
          <t>ข้อ 12 (Pharmtutor_2024_Set1.md)</t>
        </is>
      </c>
      <c r="O115" s="35" t="inlineStr">
        <is>
          <t>Mock</t>
        </is>
      </c>
      <c r="P115" s="35" t="inlineStr">
        <is>
          <t>Mock Pharmtutor 2024</t>
        </is>
      </c>
    </row>
    <row r="116" ht="13.2" customHeight="1" s="49">
      <c r="A116" s="33" t="n">
        <v>114</v>
      </c>
      <c r="B116" s="34"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35" t="n"/>
      <c r="D116" s="34" t="inlineStr">
        <is>
          <t>Herpes simplex</t>
        </is>
      </c>
      <c r="E116" s="34" t="inlineStr">
        <is>
          <t>Candida albicans</t>
        </is>
      </c>
      <c r="F116" s="34" t="inlineStr">
        <is>
          <t>Herpes zoster</t>
        </is>
      </c>
      <c r="G116" s="34" t="inlineStr">
        <is>
          <t>Varicella zoster</t>
        </is>
      </c>
      <c r="H116" s="34" t="inlineStr">
        <is>
          <t>Streptococcus aureus</t>
        </is>
      </c>
      <c r="I116" s="33" t="inlineStr">
        <is>
          <t>1</t>
        </is>
      </c>
      <c r="J116" s="34"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35" t="n"/>
      <c r="L116" s="34" t="inlineStr">
        <is>
          <t>Superficial fungal</t>
        </is>
      </c>
      <c r="M116" s="35" t="inlineStr">
        <is>
          <t>Clinic</t>
        </is>
      </c>
      <c r="N116" s="34" t="inlineStr">
        <is>
          <t>ข้อ 14 (Pharmtutor_2024_Set1.md)</t>
        </is>
      </c>
      <c r="O116" s="35" t="inlineStr">
        <is>
          <t>Mock</t>
        </is>
      </c>
      <c r="P116" s="35" t="inlineStr">
        <is>
          <t>Mock Pharmtutor 2024</t>
        </is>
      </c>
    </row>
    <row r="117" ht="13.2" customHeight="1" s="49">
      <c r="A117" s="33" t="n">
        <v>115</v>
      </c>
      <c r="B117" s="34"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35" t="n"/>
      <c r="D117" s="34" t="inlineStr">
        <is>
          <t>Topical retinoic acid</t>
        </is>
      </c>
      <c r="E117" s="34" t="inlineStr">
        <is>
          <t>1% Selenium sulfide shampoo</t>
        </is>
      </c>
      <c r="F117" s="34" t="inlineStr">
        <is>
          <t>2% Ketoconazole cream</t>
        </is>
      </c>
      <c r="G117" s="34" t="inlineStr">
        <is>
          <t>Topical mupirocin</t>
        </is>
      </c>
      <c r="H117" s="34" t="inlineStr">
        <is>
          <t>Oral Ketoconazole</t>
        </is>
      </c>
      <c r="I117" s="33" t="inlineStr">
        <is>
          <t>1</t>
        </is>
      </c>
      <c r="J117" s="34"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35" t="n"/>
      <c r="L117" s="34" t="inlineStr">
        <is>
          <t>Eczema &amp; Dermatitis</t>
        </is>
      </c>
      <c r="M117" s="35" t="inlineStr">
        <is>
          <t>Clinic</t>
        </is>
      </c>
      <c r="N117" s="34" t="inlineStr">
        <is>
          <t>ข้อ 16 (Pharmtutor_2024_Set1.md)</t>
        </is>
      </c>
      <c r="O117" s="35" t="inlineStr">
        <is>
          <t>Mock</t>
        </is>
      </c>
      <c r="P117" s="35" t="inlineStr">
        <is>
          <t>Mock Pharmtutor 2024</t>
        </is>
      </c>
    </row>
    <row r="118" ht="13.2" customHeight="1" s="49">
      <c r="A118" s="33" t="n">
        <v>116</v>
      </c>
      <c r="B118" s="34"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35" t="n"/>
      <c r="D118" s="34" t="inlineStr">
        <is>
          <t>Mupirocin 2% ointment</t>
        </is>
      </c>
      <c r="E118" s="34" t="inlineStr">
        <is>
          <t>Betamethasone dipropionate 0.05% cream</t>
        </is>
      </c>
      <c r="F118" s="34" t="inlineStr">
        <is>
          <t>Clotrimazole 1% cream</t>
        </is>
      </c>
      <c r="G118" s="34" t="inlineStr">
        <is>
          <t>Hydrocortisone 1% cream</t>
        </is>
      </c>
      <c r="H118" s="34" t="inlineStr">
        <is>
          <t>Triamcinolone acetonide 0.1% cream</t>
        </is>
      </c>
      <c r="I118" s="33" t="inlineStr">
        <is>
          <t>1</t>
        </is>
      </c>
      <c r="J118" s="34"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35" t="n"/>
      <c r="L118" s="34" t="inlineStr">
        <is>
          <t>Eczema &amp; Dermatitis</t>
        </is>
      </c>
      <c r="M118" s="35" t="inlineStr">
        <is>
          <t>Clinic</t>
        </is>
      </c>
      <c r="N118" s="34" t="inlineStr">
        <is>
          <t>ข้อ 68 (Pharmtutor_2024_Set1.md)</t>
        </is>
      </c>
      <c r="O118" s="35" t="inlineStr">
        <is>
          <t>Mock</t>
        </is>
      </c>
      <c r="P118" s="35" t="inlineStr">
        <is>
          <t>Mock Pharmtutor 2024</t>
        </is>
      </c>
    </row>
    <row r="119" ht="13.2" customHeight="1" s="49">
      <c r="A119" s="33" t="n">
        <v>117</v>
      </c>
      <c r="B119" s="34" t="inlineStr">
        <is>
          <t>จาก Certificate of analysis ข้างต้น หัวใดไม่ใช่ universal test</t>
        </is>
      </c>
      <c r="C119" s="35" t="n"/>
      <c r="D119" s="34" t="inlineStr">
        <is>
          <t>Description</t>
        </is>
      </c>
      <c r="E119" s="34" t="inlineStr">
        <is>
          <t>Identification</t>
        </is>
      </c>
      <c r="F119" s="34" t="inlineStr">
        <is>
          <t>Assay</t>
        </is>
      </c>
      <c r="G119" s="34" t="inlineStr">
        <is>
          <t>Container content</t>
        </is>
      </c>
      <c r="H119" s="34" t="inlineStr">
        <is>
          <t>Antimicrobial preservatives</t>
        </is>
      </c>
      <c r="I119" s="33" t="inlineStr">
        <is>
          <t>1</t>
        </is>
      </c>
      <c r="J119" s="34"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35" t="n"/>
      <c r="L119" s="34" t="inlineStr">
        <is>
          <t>Superficial fungal</t>
        </is>
      </c>
      <c r="M119" s="35" t="inlineStr">
        <is>
          <t>Clinic</t>
        </is>
      </c>
      <c r="N119" s="34" t="inlineStr">
        <is>
          <t>ข้อ 97 (Pharmtutor_2024_Set1.md)</t>
        </is>
      </c>
      <c r="O119" s="35" t="inlineStr">
        <is>
          <t>Mock</t>
        </is>
      </c>
      <c r="P119" s="35" t="inlineStr">
        <is>
          <t>Mock Pharmtutor 2024</t>
        </is>
      </c>
    </row>
    <row r="120" ht="13.2" customHeight="1" s="49">
      <c r="A120" s="33" t="n">
        <v>118</v>
      </c>
      <c r="B120" s="34"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35" t="n"/>
      <c r="D120" s="34" t="inlineStr">
        <is>
          <t>Epidermophyton floccosum</t>
        </is>
      </c>
      <c r="E120" s="34" t="inlineStr">
        <is>
          <t>Candida albican</t>
        </is>
      </c>
      <c r="F120" s="34" t="inlineStr">
        <is>
          <t>Microsporum canis</t>
        </is>
      </c>
      <c r="G120" s="34" t="inlineStr">
        <is>
          <t>Tinea capitis</t>
        </is>
      </c>
      <c r="H120" s="34" t="inlineStr">
        <is>
          <t>Malassezia furfur</t>
        </is>
      </c>
      <c r="I120" s="33" t="n">
        <v>5</v>
      </c>
      <c r="J120" s="34"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35" t="n"/>
      <c r="L120" s="34" t="inlineStr">
        <is>
          <t>Superficial fungal</t>
        </is>
      </c>
      <c r="M120" s="35" t="inlineStr">
        <is>
          <t>Clinic</t>
        </is>
      </c>
      <c r="N120" s="34" t="inlineStr">
        <is>
          <t>ข้อ 14 (Pharmtutor_2024_Set2.md)</t>
        </is>
      </c>
      <c r="O120" s="35" t="inlineStr">
        <is>
          <t>Mock</t>
        </is>
      </c>
      <c r="P120" s="35" t="inlineStr">
        <is>
          <t>Mock Pharmtutor 2024</t>
        </is>
      </c>
    </row>
    <row r="121" ht="13.2" customHeight="1" s="49">
      <c r="A121" s="33" t="n">
        <v>119</v>
      </c>
      <c r="B121" s="34" t="inlineStr">
        <is>
          <t>ลักษณะอาการใดที่เป็น Seborrheic dermatitis</t>
        </is>
      </c>
      <c r="C121" s="35" t="n"/>
      <c r="D121" s="34" t="inlineStr">
        <is>
          <t>ผิวหนังมีลักษณะบวมแดง มีตุ่มแดงกระจาย</t>
        </is>
      </c>
      <c r="E121" s="34" t="inlineStr">
        <is>
          <t>ผิวหนังเป็นผื่นจุดราบขนาดเล็ก กระจายหรือรวมเป็นแผ่น อาจสีจางหรือเข้มกว่าผิว</t>
        </is>
      </c>
      <c r="F121" s="34" t="inlineStr">
        <is>
          <t>ผิวหนังเป็นผื่น ลักษณะเป็นวงขอบชัด อาจมีขุย มีอาการคัน</t>
        </is>
      </c>
      <c r="G121" s="34" t="inlineStr">
        <is>
          <t>ผิวหนังมีลักษณะผื่นแดง คัน มีขุยหรือสะเก็ดสีเหลือง บริเวณ T-zone</t>
        </is>
      </c>
      <c r="H121" s="34" t="inlineStr">
        <is>
          <t>ผิวหนังอักเสบก่อตัวเป็นแผ่นนูนหนา ผิวแห้ง แตก คัน ปกคลุมด้วยขุยขาว หรือขุยเงิน</t>
        </is>
      </c>
      <c r="I121" s="33" t="n">
        <v>4</v>
      </c>
      <c r="J121" s="34"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35" t="n"/>
      <c r="L121" s="34" t="inlineStr">
        <is>
          <t>Eczema &amp; Dermatitis</t>
        </is>
      </c>
      <c r="M121" s="35" t="inlineStr">
        <is>
          <t>Clinic</t>
        </is>
      </c>
      <c r="N121" s="34" t="inlineStr">
        <is>
          <t>ข้อ 17 (Pharmtutor_2024_Set2.md)</t>
        </is>
      </c>
      <c r="O121" s="35" t="inlineStr">
        <is>
          <t>Mock</t>
        </is>
      </c>
      <c r="P121" s="35" t="inlineStr">
        <is>
          <t>Mock Pharmtutor 2024</t>
        </is>
      </c>
    </row>
    <row r="122" ht="13.2" customHeight="1" s="49">
      <c r="A122" s="33" t="n">
        <v>120</v>
      </c>
      <c r="B122" s="34" t="inlineStr">
        <is>
          <t>ผู้ป่วย เพศหญิง ส่วนสูง 160 เซนติเมตร น้ำหนัก 70 กิโลกรัม รอบเอว 31 นิ้วข้อใดคือเกณฑ์วินิจฉัยโรคอ้วน (MCQ ธ.ค.</t>
        </is>
      </c>
      <c r="C122" s="35" t="n"/>
      <c r="D122" s="34" t="inlineStr">
        <is>
          <t>Terbinafine 1% cream</t>
        </is>
      </c>
      <c r="E122" s="34" t="inlineStr">
        <is>
          <t>Adapalene 0.1% gel</t>
        </is>
      </c>
      <c r="F122" s="34" t="inlineStr">
        <is>
          <t>Mupirocin 2% ointment</t>
        </is>
      </c>
      <c r="G122" s="34" t="inlineStr">
        <is>
          <t>Betamethasone dipropionate 0.05% cream</t>
        </is>
      </c>
      <c r="H122" s="34" t="inlineStr">
        <is>
          <t>Clotrimazole 1% cream</t>
        </is>
      </c>
      <c r="I122" s="33" t="inlineStr">
        <is>
          <t>1</t>
        </is>
      </c>
      <c r="J122" s="34"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5" t="n"/>
      <c r="L122" s="34" t="inlineStr">
        <is>
          <t>Superficial fungal</t>
        </is>
      </c>
      <c r="M122" s="35" t="inlineStr">
        <is>
          <t>Clinic</t>
        </is>
      </c>
      <c r="N122" s="34" t="inlineStr">
        <is>
          <t>ข้อ 73 (Pharmtutor_2024_Set2.md)</t>
        </is>
      </c>
      <c r="O122" s="35" t="inlineStr">
        <is>
          <t>Mock</t>
        </is>
      </c>
      <c r="P122" s="35" t="inlineStr">
        <is>
          <t>Mock Pharmtutor 2024</t>
        </is>
      </c>
    </row>
    <row r="123" ht="13.2" customHeight="1" s="49">
      <c r="A123" s="33" t="n">
        <v>121</v>
      </c>
      <c r="B123" s="34" t="inlineStr">
        <is>
          <t>เครื่องใดเหมาะสำหรับการทำให้แห้งในยาที่ไม่ทนความร้อน</t>
        </is>
      </c>
      <c r="C123" s="35" t="n"/>
      <c r="D123" s="34" t="inlineStr">
        <is>
          <t>Fluidized bed drier</t>
        </is>
      </c>
      <c r="E123" s="34" t="inlineStr">
        <is>
          <t>Tray drier</t>
        </is>
      </c>
      <c r="F123" s="34" t="inlineStr">
        <is>
          <t>Drum dried</t>
        </is>
      </c>
      <c r="G123" s="34" t="inlineStr">
        <is>
          <t>Cool spray dried</t>
        </is>
      </c>
      <c r="H123" s="34" t="inlineStr">
        <is>
          <t>Freeze drying</t>
        </is>
      </c>
      <c r="I123" s="33" t="inlineStr">
        <is>
          <t>1</t>
        </is>
      </c>
      <c r="J123" s="34"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35" t="n"/>
      <c r="L123" s="34" t="inlineStr">
        <is>
          <t>Superficial fungal</t>
        </is>
      </c>
      <c r="M123" s="35" t="inlineStr">
        <is>
          <t>Clinic</t>
        </is>
      </c>
      <c r="N123" s="34" t="inlineStr">
        <is>
          <t>ข้อ 117 (Pharmtutor_2024_Set2.md)</t>
        </is>
      </c>
      <c r="O123" s="35" t="inlineStr">
        <is>
          <t>Mock</t>
        </is>
      </c>
      <c r="P123" s="35" t="inlineStr">
        <is>
          <t>Mock Pharmtutor 2024</t>
        </is>
      </c>
    </row>
    <row r="124" ht="13.2" customHeight="1" s="49">
      <c r="A124" s="33" t="n">
        <v>122</v>
      </c>
      <c r="B124" s="34" t="inlineStr">
        <is>
          <t>การปฐมพยาบาลเบื้องต้นที่ถูกต้องและเหมาะสมที่สุดสำหรับผู้ป่วยที่ถูกน้ำร้อนลวกคือข้อใด</t>
        </is>
      </c>
      <c r="C124" s="35" t="n"/>
      <c r="D124" s="34" t="inlineStr">
        <is>
          <t>ล้างแผลด้วยน้ำสะอาดอุณหภูมิห้องหรือน้ำเย็นทันทีอย่างน้อย 10-20 นาที</t>
        </is>
      </c>
      <c r="E124" s="34" t="inlineStr">
        <is>
          <t>ใช้ยาสีฟันชโลมบนแผลเพื่อลดความร้อน</t>
        </is>
      </c>
      <c r="F124" s="34" t="inlineStr">
        <is>
          <t>ราดแผลด้วยน้ำมันมะกอกหรือน้ำมันพืช</t>
        </is>
      </c>
      <c r="G124" s="34" t="inlineStr">
        <is>
          <t>ล้างด้วยน้ำเย็นจัดสลับกับน้ำอุ่นจัด</t>
        </is>
      </c>
      <c r="H124" s="34" t="inlineStr">
        <is>
          <t>เจาะตุ่มน้ำพองออกเพื่อระบายความร้อน</t>
        </is>
      </c>
      <c r="I124" s="33" t="n">
        <v>1</v>
      </c>
      <c r="J124"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35" t="n"/>
      <c r="L124" s="34" t="inlineStr">
        <is>
          <t>Wound</t>
        </is>
      </c>
      <c r="M124" s="35" t="inlineStr">
        <is>
          <t>Clinic</t>
        </is>
      </c>
      <c r="N124" s="34" t="inlineStr">
        <is>
          <t>ข้อ 1 (PLE_CC1_2557.md)</t>
        </is>
      </c>
      <c r="O124" s="35" t="inlineStr">
        <is>
          <t>ข้อสอบจริง</t>
        </is>
      </c>
      <c r="P124" s="35" t="inlineStr">
        <is>
          <t>ปี 2557</t>
        </is>
      </c>
    </row>
    <row r="125" ht="13.2" customHeight="1" s="49">
      <c r="A125" s="33" t="n">
        <v>123</v>
      </c>
      <c r="B125" s="34"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125" s="35" t="n"/>
      <c r="D125" s="34" t="inlineStr">
        <is>
          <t>Anaphylaxis</t>
        </is>
      </c>
      <c r="E125" s="34" t="inlineStr">
        <is>
          <t>Angioedema</t>
        </is>
      </c>
      <c r="F125" s="34" t="inlineStr">
        <is>
          <t>Urticaria</t>
        </is>
      </c>
      <c r="G125" s="34" t="inlineStr">
        <is>
          <t>Septic shock</t>
        </is>
      </c>
      <c r="H125" s="34" t="inlineStr">
        <is>
          <t>Red man syndrome</t>
        </is>
      </c>
      <c r="I125" s="33" t="n">
        <v>1</v>
      </c>
      <c r="J125" s="34" t="inlineStr">
        <is>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is>
      </c>
      <c r="K125" s="35" t="n"/>
      <c r="L125" s="34" t="inlineStr">
        <is>
          <t>Urticaria &amp; Angioedema</t>
        </is>
      </c>
      <c r="M125" s="35" t="inlineStr">
        <is>
          <t>Clinic</t>
        </is>
      </c>
      <c r="N125" s="34" t="inlineStr">
        <is>
          <t>ข้อ 78 (PLE_CC1_2557.md)</t>
        </is>
      </c>
      <c r="O125" s="35" t="inlineStr">
        <is>
          <t>ข้อสอบจริง</t>
        </is>
      </c>
      <c r="P125" s="35" t="inlineStr">
        <is>
          <t>ปี 2557</t>
        </is>
      </c>
    </row>
    <row r="126" ht="13.2" customHeight="1" s="49">
      <c r="A126" s="33" t="n">
        <v>124</v>
      </c>
      <c r="B126" s="34" t="inlineStr">
        <is>
          <t>ข้อใดผิดเกี่ยวกับลักษณะของโรค DU</t>
        </is>
      </c>
      <c r="C126" s="35" t="n"/>
      <c r="D126" s="34" t="inlineStr">
        <is>
          <t>มักปวดเวลากลางคืน</t>
        </is>
      </c>
      <c r="E126" s="34" t="inlineStr">
        <is>
          <t>ยาลดกรดสามารถลดอาการได้</t>
        </is>
      </c>
      <c r="F126" s="34" t="inlineStr">
        <is>
          <t>ถ่ายเป็นเลือดสด</t>
        </is>
      </c>
      <c r="G126" s="34" t="inlineStr">
        <is>
          <t>อาการปวดบรรเทาลงเมื่อทานอาหาร</t>
        </is>
      </c>
      <c r="H126" s="34" t="inlineStr">
        <is>
          <t>ผู้ป่วยมักมีน ้าหนักเพิ่มขึ้น คณะเภสัชศาสตร์ มหาวิทยาลัยเชียงใหม่ Rx 44 CMU</t>
        </is>
      </c>
      <c r="I126" s="33" t="inlineStr">
        <is>
          <t>1</t>
        </is>
      </c>
      <c r="J126" s="34"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35" t="n"/>
      <c r="L126" s="34" t="inlineStr">
        <is>
          <t>Superficial fungal</t>
        </is>
      </c>
      <c r="M126" s="35" t="inlineStr">
        <is>
          <t>Clinic</t>
        </is>
      </c>
      <c r="N126" s="34" t="inlineStr">
        <is>
          <t>ข้อ 53 (PLE_CC1_2555 Day 1.md)</t>
        </is>
      </c>
      <c r="O126" s="35" t="inlineStr">
        <is>
          <t>ข้อสอบจริง</t>
        </is>
      </c>
      <c r="P126" s="35" t="inlineStr">
        <is>
          <t>ปี 2555</t>
        </is>
      </c>
    </row>
    <row r="127" ht="13.2" customHeight="1" s="49">
      <c r="A127" s="33" t="n">
        <v>125</v>
      </c>
      <c r="B127" s="34" t="inlineStr">
        <is>
          <t>อาการที่ผู้ป่วยเป็นสัมพันธ์กับข้อใด</t>
        </is>
      </c>
      <c r="C127" s="35" t="n"/>
      <c r="D127" s="34" t="inlineStr">
        <is>
          <t>Contact dermatitis</t>
        </is>
      </c>
      <c r="E127" s="34" t="inlineStr">
        <is>
          <t>Eczema</t>
        </is>
      </c>
      <c r="F127" s="34" t="inlineStr">
        <is>
          <t>Allergy</t>
        </is>
      </c>
      <c r="G127" s="34" t="inlineStr">
        <is>
          <t>Tenia vesicolor</t>
        </is>
      </c>
      <c r="H127" s="34" t="inlineStr">
        <is>
          <t>Rosase ……</t>
        </is>
      </c>
      <c r="I127" s="33" t="inlineStr">
        <is>
          <t>1</t>
        </is>
      </c>
      <c r="J127" s="34"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35" t="n"/>
      <c r="L127" s="34" t="inlineStr">
        <is>
          <t>Superficial fungal</t>
        </is>
      </c>
      <c r="M127" s="35" t="inlineStr">
        <is>
          <t>Clinic</t>
        </is>
      </c>
      <c r="N127" s="34" t="inlineStr">
        <is>
          <t>ข้อ 61 (PLE_CC1_2555 Day 1.md)</t>
        </is>
      </c>
      <c r="O127" s="35" t="inlineStr">
        <is>
          <t>ข้อสอบจริง</t>
        </is>
      </c>
      <c r="P127" s="35" t="inlineStr">
        <is>
          <t>ปี 2555</t>
        </is>
      </c>
    </row>
    <row r="128" ht="13.2" customHeight="1" s="49">
      <c r="A128" s="33" t="n">
        <v>126</v>
      </c>
      <c r="B128" s="34" t="inlineStr">
        <is>
          <t>ยาที่ผู้ป่วยควรได้รับจากอาการดังกล่าวคือข้อใด</t>
        </is>
      </c>
      <c r="C128" s="35" t="n"/>
      <c r="D128" s="34" t="inlineStr">
        <is>
          <t>Clotrimazole</t>
        </is>
      </c>
      <c r="E128" s="34" t="inlineStr">
        <is>
          <t>Acyclovir</t>
        </is>
      </c>
      <c r="F128" s="34" t="inlineStr">
        <is>
          <t>Topical steroids</t>
        </is>
      </c>
      <c r="G128" s="34" t="inlineStr">
        <is>
          <t>Ketoconazole</t>
        </is>
      </c>
      <c r="H128" s="34" t="inlineStr">
        <is>
          <t>…………….</t>
        </is>
      </c>
      <c r="I128" s="33" t="inlineStr">
        <is>
          <t>1</t>
        </is>
      </c>
      <c r="J128" s="34"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35" t="n"/>
      <c r="L128" s="34" t="inlineStr">
        <is>
          <t>Superficial fungal</t>
        </is>
      </c>
      <c r="M128" s="35" t="inlineStr">
        <is>
          <t>Clinic</t>
        </is>
      </c>
      <c r="N128" s="34" t="inlineStr">
        <is>
          <t>ข้อ 62 (PLE_CC1_2555 Day 1.md)</t>
        </is>
      </c>
      <c r="O128" s="35" t="inlineStr">
        <is>
          <t>ข้อสอบจริง</t>
        </is>
      </c>
      <c r="P128" s="35" t="inlineStr">
        <is>
          <t>ปี 2555</t>
        </is>
      </c>
    </row>
    <row r="129" ht="13.2" customHeight="1" s="49">
      <c r="A129" s="33" t="n">
        <v>127</v>
      </c>
      <c r="B129" s="34"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129" s="35" t="n"/>
      <c r="D129" s="34" t="inlineStr">
        <is>
          <t>Minocycline</t>
        </is>
      </c>
      <c r="E129" s="34" t="inlineStr">
        <is>
          <t>Ketoconazole</t>
        </is>
      </c>
      <c r="F129" s="34" t="inlineStr">
        <is>
          <t>Triamcinolone</t>
        </is>
      </c>
      <c r="G129" s="34" t="inlineStr">
        <is>
          <t>Adapalene</t>
        </is>
      </c>
      <c r="H129" s="34" t="inlineStr">
        <is>
          <t>Cetirizine</t>
        </is>
      </c>
      <c r="I129" s="33" t="n">
        <v>1</v>
      </c>
      <c r="J129" s="34" t="inlineStr">
        <is>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is>
      </c>
      <c r="K129" s="35" t="n"/>
      <c r="L129" s="34" t="inlineStr">
        <is>
          <t>Acne</t>
        </is>
      </c>
      <c r="M129" s="35" t="inlineStr">
        <is>
          <t>Clinic</t>
        </is>
      </c>
      <c r="N129" s="34" t="inlineStr">
        <is>
          <t>ข้อ 4 (PLE_CC1_2555 Day 2.md)</t>
        </is>
      </c>
      <c r="O129" s="35" t="inlineStr">
        <is>
          <t>ข้อสอบจริง</t>
        </is>
      </c>
      <c r="P129" s="35" t="inlineStr">
        <is>
          <t>ปี 2555</t>
        </is>
      </c>
    </row>
    <row r="130" ht="13.2" customHeight="1" s="49">
      <c r="A130" s="33" t="n">
        <v>128</v>
      </c>
      <c r="B130" s="34"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130" s="35" t="n"/>
      <c r="D130" s="34" t="inlineStr">
        <is>
          <t>Severe Cutaneous Adverse Reactions (SCARs / SJS-TEN)</t>
        </is>
      </c>
      <c r="E130" s="34" t="inlineStr">
        <is>
          <t>Common cold</t>
        </is>
      </c>
      <c r="F130" s="34" t="inlineStr">
        <is>
          <t>Drug-induced urticaria</t>
        </is>
      </c>
      <c r="G130" s="34" t="inlineStr">
        <is>
          <t>Gouty flare</t>
        </is>
      </c>
      <c r="H130" s="34" t="inlineStr">
        <is>
          <t>Hypersensitivity pneumonitis</t>
        </is>
      </c>
      <c r="I130" s="33" t="n">
        <v>1</v>
      </c>
      <c r="J130" s="34" t="inlineStr">
        <is>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is>
      </c>
      <c r="K130" s="35" t="n"/>
      <c r="L130" s="34" t="inlineStr">
        <is>
          <t>ADR &amp; Allergy</t>
        </is>
      </c>
      <c r="M130" s="35" t="inlineStr">
        <is>
          <t>Clinic</t>
        </is>
      </c>
      <c r="N130" s="34" t="inlineStr">
        <is>
          <t>ข้อ 5 (PLE_CC1_2555 Day 2.md)</t>
        </is>
      </c>
      <c r="O130" s="35" t="inlineStr">
        <is>
          <t>ข้อสอบจริง</t>
        </is>
      </c>
      <c r="P130" s="35" t="inlineStr">
        <is>
          <t>ปี 2555</t>
        </is>
      </c>
    </row>
    <row r="131" ht="13.2" customHeight="1" s="49">
      <c r="A131" s="33" t="n">
        <v>129</v>
      </c>
      <c r="B131" s="34" t="inlineStr">
        <is>
          <t>ขั้นแรกควรให้การรักษาโดยวิธีใดที่เหมาะสมที่สุด</t>
        </is>
      </c>
      <c r="C131" s="35" t="n"/>
      <c r="D131" s="34" t="inlineStr">
        <is>
          <t>Isotretinoin 10 mg OD</t>
        </is>
      </c>
      <c r="E131" s="34" t="inlineStr">
        <is>
          <t>Terbinafine 1% cream</t>
        </is>
      </c>
      <c r="F131" s="34" t="inlineStr">
        <is>
          <t>Adapalene 0.1% gel</t>
        </is>
      </c>
      <c r="G131" s="34" t="inlineStr">
        <is>
          <t>Mupirocin 2% ointment</t>
        </is>
      </c>
      <c r="H131" s="34" t="inlineStr">
        <is>
          <t>Betamethasone dipropionate 0.05% cream</t>
        </is>
      </c>
      <c r="I131" s="33" t="inlineStr">
        <is>
          <t>1</t>
        </is>
      </c>
      <c r="J131"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5" t="n"/>
      <c r="L131" s="34" t="inlineStr">
        <is>
          <t>Superficial fungal</t>
        </is>
      </c>
      <c r="M131" s="35" t="inlineStr">
        <is>
          <t>Clinic</t>
        </is>
      </c>
      <c r="N131" s="34" t="inlineStr">
        <is>
          <t>ข้อ 1 (PLE_CC1_2554 SET2.md)</t>
        </is>
      </c>
      <c r="O131" s="35" t="inlineStr">
        <is>
          <t>ข้อสอบจริง</t>
        </is>
      </c>
      <c r="P131" s="35" t="inlineStr">
        <is>
          <t>ปี 2554</t>
        </is>
      </c>
    </row>
    <row r="132" ht="13.2" customHeight="1" s="49">
      <c r="A132" s="33" t="n">
        <v>130</v>
      </c>
      <c r="B132" s="34" t="inlineStr">
        <is>
          <t>การปฐมพยาบาลเบื้องต้นที่ถูกต้องเมื่อถูกความร้อนลวก (Minor burn) คือข้อใด</t>
        </is>
      </c>
      <c r="C132" s="35" t="n"/>
      <c r="D132" s="34" t="inlineStr">
        <is>
          <t>ทายาสีฟันชโลมบนแผล</t>
        </is>
      </c>
      <c r="E132" s="34" t="inlineStr">
        <is>
          <t>ประคบด้วยความร้อน</t>
        </is>
      </c>
      <c r="F132" s="34" t="inlineStr">
        <is>
          <t>ล้างหรือประคบด้วยน้ำเย็น/น้ำสะอาดอุณหภูมิห้อง</t>
        </is>
      </c>
      <c r="G132" s="34" t="inlineStr">
        <is>
          <t>ราดด้วยน้ำปลาหรือน้ำมันพืช</t>
        </is>
      </c>
      <c r="H132" s="34" t="inlineStr">
        <is>
          <t>เจาะตุ่มน้ำพองออกทันที</t>
        </is>
      </c>
      <c r="I132" s="33" t="n">
        <v>3</v>
      </c>
      <c r="J132" s="34"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35" t="n"/>
      <c r="L132" s="34" t="inlineStr">
        <is>
          <t>Wound</t>
        </is>
      </c>
      <c r="M132" s="35" t="inlineStr">
        <is>
          <t>Clinic</t>
        </is>
      </c>
      <c r="N132" s="34" t="inlineStr">
        <is>
          <t>ข้อ 1 (PLE_CC1_2554 SET2.md)</t>
        </is>
      </c>
      <c r="O132" s="35" t="inlineStr">
        <is>
          <t>ข้อสอบจริง</t>
        </is>
      </c>
      <c r="P132" s="35" t="inlineStr">
        <is>
          <t>ปี 2554</t>
        </is>
      </c>
    </row>
    <row r="133" ht="13.2" customHeight="1" s="49">
      <c r="A133" s="33" t="n">
        <v>131</v>
      </c>
      <c r="B133" s="34" t="inlineStr">
        <is>
          <t>ควรใช้น้ำยาชนิดใดในการล้างทำความสะอาดแผลเปิดหรือแผลไฟไหม้ที่ไม่ทำให้ระคายเคืองเนื้อเยื่อ</t>
        </is>
      </c>
      <c r="C133" s="35" t="n"/>
      <c r="D133" s="34" t="inlineStr">
        <is>
          <t>Normal Saline Solution (0.9% NSS)</t>
        </is>
      </c>
      <c r="E133" s="34" t="inlineStr">
        <is>
          <t>Alcohol 70%</t>
        </is>
      </c>
      <c r="F133" s="34" t="inlineStr">
        <is>
          <t>Alcohol 95%</t>
        </is>
      </c>
      <c r="G133" s="34" t="inlineStr">
        <is>
          <t>Hydrogen peroxide 3%</t>
        </is>
      </c>
      <c r="H133" s="34" t="inlineStr">
        <is>
          <t>Povidone-iodine 10% solution เข้มข้น</t>
        </is>
      </c>
      <c r="I133" s="33" t="n">
        <v>1</v>
      </c>
      <c r="J133" s="34"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35" t="n"/>
      <c r="L133" s="34" t="inlineStr">
        <is>
          <t>Wound</t>
        </is>
      </c>
      <c r="M133" s="35" t="inlineStr">
        <is>
          <t>Clinic</t>
        </is>
      </c>
      <c r="N133" s="34" t="inlineStr">
        <is>
          <t>ข้อ 3 (PLE_CC1_2554 SET2.md)</t>
        </is>
      </c>
      <c r="O133" s="35" t="inlineStr">
        <is>
          <t>ข้อสอบจริง</t>
        </is>
      </c>
      <c r="P133" s="35" t="inlineStr">
        <is>
          <t>ปี 2554</t>
        </is>
      </c>
    </row>
    <row r="134" ht="13.2" customHeight="1" s="49">
      <c r="A134" s="33" t="n">
        <v>132</v>
      </c>
      <c r="B134" s="34" t="inlineStr">
        <is>
          <t>ผู้ป่วยมีตุ่มน้ำใสเกิดขึ้นเรียงตัวตามแนวเส้นประสาท (Dermatome) ร่วมกับมีอาการปวดแสบปวดร้อน ผู้ป่วยเป็นโรคใด</t>
        </is>
      </c>
      <c r="C134" s="35" t="n"/>
      <c r="D134" s="34" t="inlineStr">
        <is>
          <t>Herpes zoster (งูสวัด)</t>
        </is>
      </c>
      <c r="E134" s="34" t="inlineStr">
        <is>
          <t>Herpes simplex (เริม)</t>
        </is>
      </c>
      <c r="F134" s="34" t="inlineStr">
        <is>
          <t>Varicella (อีสุกอีใส)</t>
        </is>
      </c>
      <c r="G134" s="34" t="inlineStr">
        <is>
          <t>Impetigo (แผลพุพอง)</t>
        </is>
      </c>
      <c r="H134" s="34" t="inlineStr">
        <is>
          <t>Contact dermatitis</t>
        </is>
      </c>
      <c r="I134" s="33" t="n">
        <v>1</v>
      </c>
      <c r="J134" s="34"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35" t="n"/>
      <c r="L134" s="34" t="inlineStr">
        <is>
          <t>Herpes &amp; Zoster</t>
        </is>
      </c>
      <c r="M134" s="35" t="inlineStr">
        <is>
          <t>Clinic</t>
        </is>
      </c>
      <c r="N134" s="34" t="inlineStr">
        <is>
          <t>ข้อ 1 (PLE_CC1_2554 SET2.md)</t>
        </is>
      </c>
      <c r="O134" s="35" t="inlineStr">
        <is>
          <t>ข้อสอบจริง</t>
        </is>
      </c>
      <c r="P134" s="35" t="inlineStr">
        <is>
          <t>ปี 2554</t>
        </is>
      </c>
    </row>
    <row r="135" ht="13.2" customHeight="1" s="49">
      <c r="A135" s="33" t="n">
        <v>133</v>
      </c>
      <c r="B135" s="34" t="inlineStr">
        <is>
          <t>โรคงูสวัด (Herpes zoster) เกิดจากการกำเริบของเชื้อไวรัสชนิดใด</t>
        </is>
      </c>
      <c r="C135" s="35" t="n"/>
      <c r="D135" s="34" t="inlineStr">
        <is>
          <t>Human Papilloma Virus</t>
        </is>
      </c>
      <c r="E135" s="34" t="inlineStr">
        <is>
          <t>Malassezia furfur</t>
        </is>
      </c>
      <c r="F135" s="34" t="inlineStr">
        <is>
          <t>Varicella zoster virus (VZV)</t>
        </is>
      </c>
      <c r="G135" s="34" t="inlineStr">
        <is>
          <t>Candida albicans</t>
        </is>
      </c>
      <c r="H135" s="34" t="inlineStr">
        <is>
          <t>Herpes simplex virus type 2</t>
        </is>
      </c>
      <c r="I135" s="33" t="n">
        <v>3</v>
      </c>
      <c r="J135" s="34"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35" t="n"/>
      <c r="L135" s="34" t="inlineStr">
        <is>
          <t>Herpes &amp; Zoster</t>
        </is>
      </c>
      <c r="M135" s="35" t="inlineStr">
        <is>
          <t>Clinic</t>
        </is>
      </c>
      <c r="N135" s="34" t="inlineStr">
        <is>
          <t>ข้อ 2 (PLE_CC1_2554 SET2.md)</t>
        </is>
      </c>
      <c r="O135" s="35" t="inlineStr">
        <is>
          <t>ข้อสอบจริง</t>
        </is>
      </c>
      <c r="P135" s="35" t="inlineStr">
        <is>
          <t>ปี 2554</t>
        </is>
      </c>
    </row>
    <row r="136" ht="13.2" customHeight="1" s="49">
      <c r="A136" s="33" t="n">
        <v>134</v>
      </c>
      <c r="B136" s="34" t="inlineStr">
        <is>
          <t>การรักษาโรคงูสวัดด้วยยาต้านไวรัสชนิดรับประทาน ข้อใดกล่าวถูกต้องที่สุด</t>
        </is>
      </c>
      <c r="C136" s="35" t="n"/>
      <c r="D136" s="34" t="inlineStr">
        <is>
          <t>หากเป็นไม่มาก ทาเฉพาะยาทาภายนอกอย่างเดียวก็เพียงพอ</t>
        </is>
      </c>
      <c r="E136" s="34" t="inlineStr">
        <is>
          <t>ควรเริ่มรับประทานยาต้านไวรัสภายใน 72 ชั่วโมงหลังเกิดผื่นตุ่มน้ำ</t>
        </is>
      </c>
      <c r="F136" s="34" t="inlineStr">
        <is>
          <t>นำสมุนไพรสดหรือกระเทียมมาพอกบริเวณแผลเพื่อฆ่าเชื้อ</t>
        </is>
      </c>
      <c r="G136" s="34" t="inlineStr">
        <is>
          <t>ให้รับประทานยาต้านไวรัสเฉพาะเมื่อตุ่มน้ำแตกแห้งเป็นสะเก็ดแล้ว</t>
        </is>
      </c>
      <c r="H136" s="34" t="inlineStr">
        <is>
          <t>ให้ยาปฏิชีวนะ Cloxacillin เป็นยาหลักตัวแรกเสมอ</t>
        </is>
      </c>
      <c r="I136" s="33" t="n">
        <v>2</v>
      </c>
      <c r="J136" s="34"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35" t="n"/>
      <c r="L136" s="34" t="inlineStr">
        <is>
          <t>Herpes &amp; Zoster</t>
        </is>
      </c>
      <c r="M136" s="35" t="inlineStr">
        <is>
          <t>Clinic</t>
        </is>
      </c>
      <c r="N136" s="34" t="inlineStr">
        <is>
          <t>ข้อ 4 (PLE_CC1_2554 SET2.md)</t>
        </is>
      </c>
      <c r="O136" s="35" t="inlineStr">
        <is>
          <t>ข้อสอบจริง</t>
        </is>
      </c>
      <c r="P136" s="35" t="inlineStr">
        <is>
          <t>ปี 2554</t>
        </is>
      </c>
    </row>
    <row r="137" ht="13.2" customHeight="1" s="49">
      <c r="A137" s="33" t="n">
        <v>135</v>
      </c>
      <c r="B137" s="34" t="inlineStr">
        <is>
          <t>ข้อใดไม่ถูกต้องเกี่ยวกับเชื้อ Varicella zoster virus (VZV) และโรคงูสวัด</t>
        </is>
      </c>
      <c r="C137" s="35" t="n"/>
      <c r="D137" s="34" t="inlineStr">
        <is>
          <t>โรคงูสวัดเป็นแล้วร่างกายจะมีภูมิคุ้มกันถาวรและไม่สามารถกลับเป็นซ้ำได้อีก</t>
        </is>
      </c>
      <c r="E137" s="34" t="inlineStr">
        <is>
          <t>การติดเชื้อ VZV ครั้งแรกจะแสดงอาการเป็นโรคอีสุกอีใส (Chickenpox)</t>
        </is>
      </c>
      <c r="F137" s="34" t="inlineStr">
        <is>
          <t>หลังหายจากอีสุกอีใส เชื้อจะแฝงตัวอยู่ที่ปมประสาทรับความรู้สึก (Dorsal root ganglia)</t>
        </is>
      </c>
      <c r="G137" s="34" t="inlineStr">
        <is>
          <t>เชื้อสามารถแพร่กระจายไปยังผู้ที่ไม่เคยเป็นอีสุกอีใสมาก่อนได้จากการสัมผัสตุ่มน้ำ</t>
        </is>
      </c>
      <c r="H137" s="34" t="inlineStr">
        <is>
          <t>ผู้สูงอายุหรือผู้มีภูมิคุ้มกันต่ำมีความเสี่ยงต่อการเกิดงูสวัดสูงขึ้น</t>
        </is>
      </c>
      <c r="I137" s="33" t="n">
        <v>1</v>
      </c>
      <c r="J137" s="34"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35" t="n"/>
      <c r="L137" s="34" t="inlineStr">
        <is>
          <t>Herpes &amp; Zoster</t>
        </is>
      </c>
      <c r="M137" s="35" t="inlineStr">
        <is>
          <t>Clinic</t>
        </is>
      </c>
      <c r="N137" s="34" t="inlineStr">
        <is>
          <t>ข้อ 5 (PLE_CC1_2554 SET2.md)</t>
        </is>
      </c>
      <c r="O137" s="35" t="inlineStr">
        <is>
          <t>ข้อสอบจริง</t>
        </is>
      </c>
      <c r="P137" s="35" t="inlineStr">
        <is>
          <t>ปี 2554</t>
        </is>
      </c>
    </row>
    <row r="138" ht="13.2" customHeight="1" s="49">
      <c r="A138" s="33" t="n">
        <v>136</v>
      </c>
      <c r="B138" s="34" t="inlineStr">
        <is>
          <t>กรณีใดจัดเป็นยาผิดมาตรฐานตามพระราชบัญญัติยา พ.ศ. 2510</t>
        </is>
      </c>
      <c r="C138" s="35" t="n"/>
      <c r="D138" s="34" t="inlineStr">
        <is>
          <t>ยาที่มีการแสดงวันหมดอายุบนฉลากไม่ชัดเจน</t>
        </is>
      </c>
      <c r="E138" s="34" t="inlineStr">
        <is>
          <t>ยาที่ตรวจวิเคราะห์ปริมาณตัวยาสำคัญได้ 87% ของเกณฑ์ที่กำหนดในทะเบียนตำรับยา</t>
        </is>
      </c>
      <c r="F138" s="34" t="inlineStr">
        <is>
          <t>ยาที่มีการนำชื่อทางการค้าอื่นมาสวมแทน</t>
        </is>
      </c>
      <c r="G138" s="34" t="inlineStr">
        <is>
          <t>ยาที่มีส่วนผสมของสารต้องห้ามที่เป็นอันตรายร้ายแรง</t>
        </is>
      </c>
      <c r="H138" s="34" t="inlineStr">
        <is>
          <t>ยาที่ผลิตจากโรงงานที่ยังไม่ผ่านเกณฑ์ GMP</t>
        </is>
      </c>
      <c r="I138" s="33" t="n">
        <v>2</v>
      </c>
      <c r="J138" s="34"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35" t="n"/>
      <c r="L138" s="34" t="inlineStr">
        <is>
          <t>Regulatory &amp; Quality</t>
        </is>
      </c>
      <c r="M138" s="35" t="inlineStr">
        <is>
          <t>Clinic</t>
        </is>
      </c>
      <c r="N138" s="34" t="inlineStr">
        <is>
          <t>ข้อ 7 (PLE_CC1_2554 SET2.md)</t>
        </is>
      </c>
      <c r="O138" s="35" t="inlineStr">
        <is>
          <t>ข้อสอบจริง</t>
        </is>
      </c>
      <c r="P138" s="35" t="inlineStr">
        <is>
          <t>ปี 2554</t>
        </is>
      </c>
    </row>
    <row r="139" ht="13.2" customHeight="1" s="49">
      <c r="A139" s="33" t="n">
        <v>137</v>
      </c>
      <c r="B139" s="34" t="inlineStr">
        <is>
          <t>ผู้ป่วยแผลไฟไหม้ระยะต่อมามีตุ่มน้ำแตกและแผลเปิดออก สารละลายใดเหมาะสมที่สุดในการล้างทำความสะอาดแผล</t>
        </is>
      </c>
      <c r="C139" s="35" t="n"/>
      <c r="D139" s="34" t="inlineStr">
        <is>
          <t>Normal Saline Solution (0.9% NSS)</t>
        </is>
      </c>
      <c r="E139" s="34" t="inlineStr">
        <is>
          <t>Alcohol 70%</t>
        </is>
      </c>
      <c r="F139" s="34" t="inlineStr">
        <is>
          <t>Alcohol 95%</t>
        </is>
      </c>
      <c r="G139" s="34" t="inlineStr">
        <is>
          <t>น้ำยาบ้วนปากผสมสารฆ่าเชื้อ</t>
        </is>
      </c>
      <c r="H139" s="34" t="inlineStr">
        <is>
          <t>น้ำสบู่เข้มข้น</t>
        </is>
      </c>
      <c r="I139" s="33" t="n">
        <v>1</v>
      </c>
      <c r="J139" s="34"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35" t="n"/>
      <c r="L139" s="34" t="inlineStr">
        <is>
          <t>Wound</t>
        </is>
      </c>
      <c r="M139" s="35" t="inlineStr">
        <is>
          <t>Clinic</t>
        </is>
      </c>
      <c r="N139" s="34" t="inlineStr">
        <is>
          <t>ข้อ 22 (PLE_CC1_2554 SET2.md)</t>
        </is>
      </c>
      <c r="O139" s="35" t="inlineStr">
        <is>
          <t>ข้อสอบจริง</t>
        </is>
      </c>
      <c r="P139" s="35" t="inlineStr">
        <is>
          <t>ปี 2554</t>
        </is>
      </c>
    </row>
    <row r="140" ht="13.2" customHeight="1" s="49">
      <c r="A140" s="33" t="n">
        <v>138</v>
      </c>
      <c r="B140" s="34" t="inlineStr">
        <is>
          <t>เอกสารประกอบการเรียน เรื่อง Thyriod disorder ของอาจารย์วรนุช แสงเจริญ</t>
        </is>
      </c>
      <c r="C140" s="35" t="n"/>
      <c r="D140" s="34" t="inlineStr">
        <is>
          <t>Cetirizine 10 mg OD</t>
        </is>
      </c>
      <c r="E140" s="34" t="inlineStr">
        <is>
          <t>Isotretinoin 10 mg OD</t>
        </is>
      </c>
      <c r="F140" s="34" t="inlineStr">
        <is>
          <t>Terbinafine 1% cream</t>
        </is>
      </c>
      <c r="G140" s="34" t="inlineStr">
        <is>
          <t>Adapalene 0.1% gel</t>
        </is>
      </c>
      <c r="H140" s="34" t="inlineStr">
        <is>
          <t>Mupirocin 2% ointment</t>
        </is>
      </c>
      <c r="I140" s="33" t="inlineStr">
        <is>
          <t>1</t>
        </is>
      </c>
      <c r="J140" s="34"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35" t="n"/>
      <c r="L140" s="34" t="inlineStr">
        <is>
          <t>Superficial fungal</t>
        </is>
      </c>
      <c r="M140" s="35" t="inlineStr">
        <is>
          <t>Clinic</t>
        </is>
      </c>
      <c r="N140" s="34" t="inlineStr">
        <is>
          <t>ข้อ 1 (PLE_CC1_2554 SET2.md)</t>
        </is>
      </c>
      <c r="O140" s="35" t="inlineStr">
        <is>
          <t>ข้อสอบจริง</t>
        </is>
      </c>
      <c r="P140" s="35" t="inlineStr">
        <is>
          <t>ปี 2554</t>
        </is>
      </c>
    </row>
    <row r="141" ht="13.2" customHeight="1" s="49">
      <c r="A141" s="33" t="n">
        <v>139</v>
      </c>
      <c r="B141" s="34" t="inlineStr">
        <is>
          <t>ข้อใดคือลักษณะทางคลินิกที่เด่นและจำเพาะที่สุดของโรคงูสวัด (Herpes zoster)</t>
        </is>
      </c>
      <c r="C141" s="35" t="n"/>
      <c r="D141" s="34" t="inlineStr">
        <is>
          <t>ตุ่มน้ำใสบนฐานแดง กระจายทั่วบริเวณริมฝีปาก</t>
        </is>
      </c>
      <c r="E141" s="34" t="inlineStr">
        <is>
          <t>ตุ่มน้ำใสบนฐานแดง บริเวณอวัยวะเพศ</t>
        </is>
      </c>
      <c r="F141" s="34" t="inlineStr">
        <is>
          <t>ผื่นลมพิษนูนแดงคัน กระจายทั่วลำตัว</t>
        </is>
      </c>
      <c r="G141" s="34" t="inlineStr">
        <is>
          <t>ปื้นแดงหนามีสะเก็ดสีขาวเงิน ขูดแล้วมีจุดเลือดออก</t>
        </is>
      </c>
      <c r="H141" s="34" t="inlineStr">
        <is>
          <t>ตุ่มน้ำใสรวมกลุ่มเรียงตัวเป็นแนวยาวตามแนวเส้นประสาทข้างใดข้างหนึ่ง (Dermatomal pattern)</t>
        </is>
      </c>
      <c r="I141" s="33" t="n">
        <v>5</v>
      </c>
      <c r="J141" s="34"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[NEED_REVIEW]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35" t="n"/>
      <c r="L141" s="34" t="inlineStr">
        <is>
          <t>Herpes &amp; Zoster</t>
        </is>
      </c>
      <c r="M141" s="35" t="inlineStr">
        <is>
          <t>Clinic</t>
        </is>
      </c>
      <c r="N141" s="34" t="inlineStr">
        <is>
          <t>ข้อ 3 (PLE_CC1_2554 SET2.md)</t>
        </is>
      </c>
      <c r="O141" s="35" t="inlineStr">
        <is>
          <t>ข้อสอบจริง</t>
        </is>
      </c>
      <c r="P141" s="35" t="inlineStr">
        <is>
          <t>ปี 2554</t>
        </is>
      </c>
    </row>
    <row r="142" ht="13.2" customHeight="1" s="49">
      <c r="A142" s="33" t="n">
        <v>140</v>
      </c>
      <c r="B142" s="34" t="inlineStr">
        <is>
          <t>คำแนะนำในการใช้ครีมกันแดด (Sunscreen) ร่วมกับยารักษาสิวที่มีฤทธิ์ทำให้ผิวไวต่อแสง ข้อใดถูกต้องที่สุด</t>
        </is>
      </c>
      <c r="C142" s="35" t="n"/>
      <c r="D142" s="34" t="inlineStr">
        <is>
          <t>ทาครีมกันแดดที่มีค่า SPF 30 ขึ้นไปและ PA+++ ก่อนออกแดดอย่างน้อย 15-30 นาที</t>
        </is>
      </c>
      <c r="E142" s="34" t="inlineStr">
        <is>
          <t>ทาเฉพาะวันที่แดดจัดเท่านั้น วันที่ฟ้าครึ้มไม่ต้องทา</t>
        </is>
      </c>
      <c r="F142" s="34" t="inlineStr">
        <is>
          <t>ทาครีมกันแดดทับทันทีโดยไม่ต้องรอให้ยารักษาสิวซึมสู่ผิว</t>
        </is>
      </c>
      <c r="G142" s="34" t="inlineStr">
        <is>
          <t>เลือกใช้ครีมกันแดดชนิดที่มีความมันสูงเพื่อเพิ่มความชุ่มชื้นแก่ผิวที่เป็นสิว</t>
        </is>
      </c>
      <c r="H142" s="34" t="inlineStr">
        <is>
          <t>การทาครีมกันแดดเพียงครั้งเดียวในตอนเช้าสามารถปกป้องผิวได้ตลอดทั้งวันแม้เหงื่อออกมาก</t>
        </is>
      </c>
      <c r="I142" s="33" t="n">
        <v>1</v>
      </c>
      <c r="J142" s="34"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35" t="n"/>
      <c r="L142" s="34" t="inlineStr">
        <is>
          <t>Acne</t>
        </is>
      </c>
      <c r="M142" s="35" t="inlineStr">
        <is>
          <t>Clinic</t>
        </is>
      </c>
      <c r="N142" s="34" t="inlineStr">
        <is>
          <t>ข้อ 1 (PLE_CC1_2533.md)</t>
        </is>
      </c>
      <c r="O142" s="35" t="inlineStr">
        <is>
          <t>ข้อสอบจริง</t>
        </is>
      </c>
      <c r="P142" s="35" t="inlineStr">
        <is>
          <t>ปี 2533</t>
        </is>
      </c>
    </row>
    <row r="143" ht="13.2" customHeight="1" s="49">
      <c r="A143" s="33" t="n">
        <v>141</v>
      </c>
      <c r="B143" s="34" t="inlineStr">
        <is>
          <t>คำแนะนำที่ถูกต้องสำหรับผู้ป่วยที่เริ่มใช้ยาทารักษาสิวกลุ่ม Topical Retinoids (เช่น Tretinoin หรือ Adapalene) คือข้อใด</t>
        </is>
      </c>
      <c r="C143" s="35" t="n"/>
      <c r="D143" s="34" t="inlineStr">
        <is>
          <t>ทายาบางๆ ทั่วใบหน้าก่อนนอน และทาครีมกันแดดในตอนเช้าอย่างสม่ำเสมอ</t>
        </is>
      </c>
      <c r="E143" s="34" t="inlineStr">
        <is>
          <t>ทายาหนาๆ เฉพาะบริเวณหัวสิววันละ 3-4 ครั้งเพื่อให้สิวยุบเร็ว</t>
        </is>
      </c>
      <c r="F143" s="34" t="inlineStr">
        <is>
          <t>ทายาทันทีหลังล้างหน้าเสร็จขณะที่ผิวยังเปียกชื้นเพื่อเพิ่มการดูดซึม</t>
        </is>
      </c>
      <c r="G143" s="34" t="inlineStr">
        <is>
          <t>หยุดใช้ยาทันทีหากพบว่ามีสิวเห่อเพิ่มขึ้นเล็กน้อยในช่วง 2 สัปดาห์แรก</t>
        </is>
      </c>
      <c r="H143" s="34" t="inlineStr">
        <is>
          <t>สามารถทาร่วมกับ Benzoyl peroxide ในเวลาเดียวกันโดยไม่ต้องเว้นช่วงเวลา</t>
        </is>
      </c>
      <c r="I143" s="33" t="n">
        <v>1</v>
      </c>
      <c r="J143" s="34"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35" t="n"/>
      <c r="L143" s="34" t="inlineStr">
        <is>
          <t>Acne</t>
        </is>
      </c>
      <c r="M143" s="35" t="inlineStr">
        <is>
          <t>Clinic</t>
        </is>
      </c>
      <c r="N143" s="34" t="inlineStr">
        <is>
          <t>ข้อ 2 (PLE_CC1_2533.md)</t>
        </is>
      </c>
      <c r="O143" s="35" t="inlineStr">
        <is>
          <t>ข้อสอบจริง</t>
        </is>
      </c>
      <c r="P143" s="35" t="inlineStr">
        <is>
          <t>ปี 2533</t>
        </is>
      </c>
    </row>
    <row r="144" ht="13.2" customHeight="1" s="49">
      <c r="A144" s="33" t="n">
        <v>142</v>
      </c>
      <c r="B144" s="34"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44" s="35" t="n"/>
      <c r="D144" s="34" t="inlineStr">
        <is>
          <t>เพิ่ม Oral Doxycycline ร่วมกับ Topical BPO</t>
        </is>
      </c>
      <c r="E144" s="34" t="inlineStr">
        <is>
          <t>เปลี่ยนเป็น Topical Retinoid ชนิดเดียว</t>
        </is>
      </c>
      <c r="F144" s="34" t="inlineStr">
        <is>
          <t>ให้ Oral Isotretinoin ทันที</t>
        </is>
      </c>
      <c r="G144" s="34" t="inlineStr">
        <is>
          <t>หยุดยาทั้งหมดแล้วล้างหน้าด้วยสบู่</t>
        </is>
      </c>
      <c r="H144" s="34" t="inlineStr">
        <is>
          <t>ทา Topical Clindamycin เดี่ยวๆ</t>
        </is>
      </c>
      <c r="I144" s="33" t="n">
        <v>1</v>
      </c>
      <c r="J144" s="34" t="inlineStr">
        <is>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is>
      </c>
      <c r="K144" s="35" t="n"/>
      <c r="L144" s="34" t="inlineStr">
        <is>
          <t>Acne</t>
        </is>
      </c>
      <c r="M144" s="35" t="inlineStr">
        <is>
          <t>Clinic</t>
        </is>
      </c>
      <c r="N144" s="34" t="inlineStr">
        <is>
          <t>ข้อ 2 (PLE_CC1_2533.md)</t>
        </is>
      </c>
      <c r="O144" s="35" t="inlineStr">
        <is>
          <t>ข้อสอบจริง</t>
        </is>
      </c>
      <c r="P144" s="35" t="inlineStr">
        <is>
          <t>ปี 2533</t>
        </is>
      </c>
    </row>
    <row r="145" ht="13.2" customHeight="1" s="49">
      <c r="A145" s="33" t="n">
        <v>143</v>
      </c>
      <c r="B145" s="34"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35" t="n"/>
      <c r="D145" s="34" t="inlineStr">
        <is>
          <t>Isotretinoin 10 mg OD</t>
        </is>
      </c>
      <c r="E145" s="34" t="inlineStr">
        <is>
          <t>Terbinafine 1% cream</t>
        </is>
      </c>
      <c r="F145" s="34" t="inlineStr">
        <is>
          <t>Adapalene 0.1% gel</t>
        </is>
      </c>
      <c r="G145" s="34" t="inlineStr">
        <is>
          <t>Mupirocin 2% ointment</t>
        </is>
      </c>
      <c r="H145" s="34" t="inlineStr">
        <is>
          <t>Betamethasone dipropionate 0.05% cream</t>
        </is>
      </c>
      <c r="I145" s="33" t="inlineStr">
        <is>
          <t>1</t>
        </is>
      </c>
      <c r="J145" s="34"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35" t="n"/>
      <c r="L145" s="34" t="inlineStr">
        <is>
          <t>Acne</t>
        </is>
      </c>
      <c r="M145" s="35" t="inlineStr">
        <is>
          <t>Clinic</t>
        </is>
      </c>
      <c r="N145" s="34" t="inlineStr">
        <is>
          <t>ข้อ 5 (PLE_CC1_2533.md)</t>
        </is>
      </c>
      <c r="O145" s="35" t="inlineStr">
        <is>
          <t>ข้อสอบจริง</t>
        </is>
      </c>
      <c r="P145" s="35" t="inlineStr">
        <is>
          <t>ปี 2533</t>
        </is>
      </c>
    </row>
    <row r="146" ht="13.2" customHeight="1" s="49">
      <c r="A146" s="33" t="n">
        <v>144</v>
      </c>
      <c r="B146" s="34" t="inlineStr">
        <is>
          <t>ระงับการเจริญของเชื้อแบคทีเรียต้นเหตุสิว</t>
        </is>
      </c>
      <c r="C146" s="35" t="n"/>
      <c r="D146" s="34" t="inlineStr">
        <is>
          <t>Mupirocin 2% ointment</t>
        </is>
      </c>
      <c r="E146" s="34" t="inlineStr">
        <is>
          <t>Betamethasone dipropionate 0.05% cream</t>
        </is>
      </c>
      <c r="F146" s="34" t="inlineStr">
        <is>
          <t>Clotrimazole 1% cream</t>
        </is>
      </c>
      <c r="G146" s="34" t="inlineStr">
        <is>
          <t>Hydrocortisone 1% cream</t>
        </is>
      </c>
      <c r="H146" s="34" t="inlineStr">
        <is>
          <t>Triamcinolone acetonide 0.1% cream</t>
        </is>
      </c>
      <c r="I146" s="33" t="inlineStr">
        <is>
          <t>1</t>
        </is>
      </c>
      <c r="J146" s="34"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35" t="n"/>
      <c r="L146" s="34" t="inlineStr">
        <is>
          <t>Acne</t>
        </is>
      </c>
      <c r="M146" s="35" t="inlineStr">
        <is>
          <t>Clinic</t>
        </is>
      </c>
      <c r="N146" s="34" t="inlineStr">
        <is>
          <t>ข้อ 1 (PLE_CC1_2533.md)</t>
        </is>
      </c>
      <c r="O146" s="35" t="inlineStr">
        <is>
          <t>ข้อสอบจริง</t>
        </is>
      </c>
      <c r="P146" s="35" t="inlineStr">
        <is>
          <t>ปี 2533</t>
        </is>
      </c>
    </row>
    <row r="147" ht="13.2" customHeight="1" s="49">
      <c r="A147" s="33" t="n">
        <v>145</v>
      </c>
      <c r="B147" s="34" t="inlineStr">
        <is>
          <t>ข้อใดต่อไปนี้ไม่ใช่หนึ่งใน 4 ปัจจัยหลักในการเกิดพยาธิกำเนิดของสิว (Pathogenesis of Acne vulgaris)</t>
        </is>
      </c>
      <c r="C147" s="35" t="n"/>
      <c r="D147" s="34" t="inlineStr">
        <is>
          <t>การสร้างสารไขมัน (Sebum) มากผิดปกติ</t>
        </is>
      </c>
      <c r="E147" s="34" t="inlineStr">
        <is>
          <t>การอุดตันของรูขุมขนจาก Abnormal follicular keratinization</t>
        </is>
      </c>
      <c r="F147" s="34" t="inlineStr">
        <is>
          <t>การเพิ่มจำนวนของเชื้อรา Candida albicans ในรูขุมขน</t>
        </is>
      </c>
      <c r="G147" s="34" t="inlineStr">
        <is>
          <t>การเจริญและเพิ่มจำนวนของ Cutibacterium acnes</t>
        </is>
      </c>
      <c r="H147" s="34" t="inlineStr">
        <is>
          <t>กระบวนการตอบสนองต่อการอักเสบ (Inflammation)</t>
        </is>
      </c>
      <c r="I147" s="33" t="n">
        <v>3</v>
      </c>
      <c r="J147" s="34"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35" t="n"/>
      <c r="L147" s="34" t="inlineStr">
        <is>
          <t>Acne</t>
        </is>
      </c>
      <c r="M147" s="35" t="inlineStr">
        <is>
          <t>Clinic</t>
        </is>
      </c>
      <c r="N147" s="34" t="inlineStr">
        <is>
          <t>ข้อ 7 (PLE_CC1_Practice_Exam.md)</t>
        </is>
      </c>
      <c r="O147" s="35" t="inlineStr">
        <is>
          <t>Mock</t>
        </is>
      </c>
      <c r="P147" s="35" t="inlineStr">
        <is>
          <t>Mock สภาเภสัชฯ Practice</t>
        </is>
      </c>
    </row>
    <row r="148" ht="13.2" customHeight="1" s="49">
      <c r="A148" s="33" t="n">
        <v>146</v>
      </c>
      <c r="B148" s="34" t="inlineStr">
        <is>
          <t>ข้อใดคือคำแนะนำในการใช้ยาพ่น corticosteroid DPI</t>
        </is>
      </c>
      <c r="C148" s="35" t="n"/>
      <c r="D148" s="34" t="inlineStr">
        <is>
          <t>เขย่าขวดก่อนใช้</t>
        </is>
      </c>
      <c r="E148" s="34" t="inlineStr">
        <is>
          <t>เงยหน้าขึ้นสูงขณะพ่นยา</t>
        </is>
      </c>
      <c r="F148" s="34" t="inlineStr">
        <is>
          <t>หลังพ่นยา ให้กลั้วปาก และคอด้วยน้ำแล้วบ้วนทิ้ง</t>
        </is>
      </c>
      <c r="G148" s="34" t="inlineStr">
        <is>
          <t>หลังพ่นยา ให้ดื่มน้ำตามมากๆ</t>
        </is>
      </c>
      <c r="H148" s="34" t="inlineStr">
        <is>
          <t>หลังพ่นยา ให้ล้างน้ำทำความสะอาดเครื่องพ่นยาทุกครั้ง</t>
        </is>
      </c>
      <c r="I148" s="33" t="inlineStr">
        <is>
          <t>1</t>
        </is>
      </c>
      <c r="J148" s="34"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35" t="n"/>
      <c r="L148" s="34" t="inlineStr">
        <is>
          <t>Superficial fungal</t>
        </is>
      </c>
      <c r="M148" s="35" t="inlineStr">
        <is>
          <t>Clinic</t>
        </is>
      </c>
      <c r="N148" s="34" t="inlineStr">
        <is>
          <t>ข้อ 21 (PLE_CC1_Practice_Exam.md)</t>
        </is>
      </c>
      <c r="O148" s="35" t="inlineStr">
        <is>
          <t>Mock</t>
        </is>
      </c>
      <c r="P148" s="35" t="inlineStr">
        <is>
          <t>Mock สภาเภสัชฯ Practice</t>
        </is>
      </c>
    </row>
    <row r="149" ht="13.2" customHeight="1" s="49">
      <c r="A149" s="33" t="n">
        <v>147</v>
      </c>
      <c r="B149" s="34" t="inlineStr">
        <is>
          <t>หมู่ฟังก์ชันใดบนโครงสร้างของ corticosteroid ที่ไม่จำเป็นต่อการจับกับ glucocorticoid receptor</t>
        </is>
      </c>
      <c r="C149" s="35" t="n"/>
      <c r="D149" s="34" t="inlineStr">
        <is>
          <t>3-carbonyl</t>
        </is>
      </c>
      <c r="E149" s="34" t="inlineStr">
        <is>
          <t>Double bond ตำแหน่งที่ 4-5</t>
        </is>
      </c>
      <c r="F149" s="34" t="inlineStr">
        <is>
          <t>9-methyl</t>
        </is>
      </c>
      <c r="G149" s="34" t="inlineStr">
        <is>
          <t>Oxygen atom ตำแหน่งที่ 11</t>
        </is>
      </c>
      <c r="H149" s="34" t="inlineStr">
        <is>
          <t>17-beta ketone-side chain</t>
        </is>
      </c>
      <c r="I149" s="33" t="inlineStr">
        <is>
          <t>1</t>
        </is>
      </c>
      <c r="J149" s="34"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35" t="n"/>
      <c r="L149" s="34" t="inlineStr">
        <is>
          <t>Superficial fungal</t>
        </is>
      </c>
      <c r="M149" s="35" t="inlineStr">
        <is>
          <t>Clinic</t>
        </is>
      </c>
      <c r="N149" s="34" t="inlineStr">
        <is>
          <t>ข้อ 22 (PLE_CC1_Practice_Exam.md)</t>
        </is>
      </c>
      <c r="O149" s="35" t="inlineStr">
        <is>
          <t>Mock</t>
        </is>
      </c>
      <c r="P149" s="35" t="inlineStr">
        <is>
          <t>Mock สภาเภสัชฯ Practice</t>
        </is>
      </c>
    </row>
    <row r="150" ht="13.2" customHeight="1" s="49">
      <c r="A150" s="33" t="n">
        <v>148</v>
      </c>
      <c r="B150" s="34" t="inlineStr">
        <is>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is>
      </c>
      <c r="C150" s="35" t="n"/>
      <c r="D150" s="34" t="inlineStr">
        <is>
          <t>Hydrocortisone (Steroid)</t>
        </is>
      </c>
      <c r="E150" s="34" t="inlineStr">
        <is>
          <t>Zinc oxide (Astringent/Protectant)</t>
        </is>
      </c>
      <c r="F150" s="34" t="inlineStr">
        <is>
          <t>Benzocaine (Local anesthetic)</t>
        </is>
      </c>
      <c r="G150" s="34" t="inlineStr">
        <is>
          <t>Aesculin (Venotonic agent)</t>
        </is>
      </c>
      <c r="H150" s="34" t="inlineStr">
        <is>
          <t>Suppository base</t>
        </is>
      </c>
      <c r="I150" s="33" t="n">
        <v>1</v>
      </c>
      <c r="J150" s="34"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35" t="n"/>
      <c r="L150" s="34" t="inlineStr">
        <is>
          <t>Transdermal &amp; Topical</t>
        </is>
      </c>
      <c r="M150" s="35" t="inlineStr">
        <is>
          <t>Clinic</t>
        </is>
      </c>
      <c r="N150" s="34" t="inlineStr">
        <is>
          <t>ข้อ 2 (PLE_CC1_Practice_Exam.md)</t>
        </is>
      </c>
      <c r="O150" s="35" t="inlineStr">
        <is>
          <t>Mock</t>
        </is>
      </c>
      <c r="P150" s="35" t="inlineStr">
        <is>
          <t>Mock สภาเภสัชฯ Practice</t>
        </is>
      </c>
    </row>
    <row r="151" ht="13.2" customHeight="1" s="49">
      <c r="A151" s="33" t="n">
        <v>149</v>
      </c>
      <c r="B151" s="34" t="inlineStr">
        <is>
          <t>โรคผิวหนัง โดย ฝ่ายวิชาการ สโมสรนักศึกษาคณะเภสัชศาสตร์ มหาวิทยาลัยอุบลราชธานี ป๊2560</t>
        </is>
      </c>
      <c r="C151" s="35" t="n"/>
      <c r="D151" s="34" t="inlineStr">
        <is>
          <t>Betamethasone dipropionate 0.05% cream</t>
        </is>
      </c>
      <c r="E151" s="34" t="inlineStr">
        <is>
          <t>Clotrimazole 1% cream</t>
        </is>
      </c>
      <c r="F151" s="34" t="inlineStr">
        <is>
          <t>Hydrocortisone 1% cream</t>
        </is>
      </c>
      <c r="G151" s="34" t="inlineStr">
        <is>
          <t>Triamcinolone acetonide 0.1% cream</t>
        </is>
      </c>
      <c r="H151" s="34" t="inlineStr">
        <is>
          <t>Clobetasol propionate 0.05% cream</t>
        </is>
      </c>
      <c r="I151" s="33" t="inlineStr">
        <is>
          <t>1</t>
        </is>
      </c>
      <c r="J151"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35" t="n"/>
      <c r="L151" s="34" t="inlineStr">
        <is>
          <t>Superficial fungal</t>
        </is>
      </c>
      <c r="M151" s="35" t="inlineStr">
        <is>
          <t>Clinic</t>
        </is>
      </c>
      <c r="N151" s="34" t="inlineStr">
        <is>
          <t>ข้อ 7 (PLE_CC1_Practice_Exam.md)</t>
        </is>
      </c>
      <c r="O151" s="35" t="inlineStr">
        <is>
          <t>Mock</t>
        </is>
      </c>
      <c r="P151" s="35" t="inlineStr">
        <is>
          <t>Mock สภาเภสัชฯ Practice</t>
        </is>
      </c>
    </row>
    <row r="152" ht="13.2" customHeight="1" s="49">
      <c r="A152" s="33" t="n">
        <v>150</v>
      </c>
      <c r="B152" s="34"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35" t="n"/>
      <c r="D152" s="34" t="inlineStr">
        <is>
          <t>Contact dermatitis</t>
        </is>
      </c>
      <c r="E152" s="34" t="inlineStr">
        <is>
          <t>Atopic dermatitis</t>
        </is>
      </c>
      <c r="F152" s="34" t="inlineStr">
        <is>
          <t>Seborrheic dermatitis</t>
        </is>
      </c>
      <c r="G152" s="34" t="inlineStr">
        <is>
          <t>Dandruff</t>
        </is>
      </c>
      <c r="H152" s="34" t="inlineStr">
        <is>
          <t>Scalp psoriasis</t>
        </is>
      </c>
      <c r="I152" s="33" t="n">
        <v>3</v>
      </c>
      <c r="J152" s="34"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35" t="n"/>
      <c r="L152" s="34" t="inlineStr">
        <is>
          <t>Eczema &amp; Dermatitis</t>
        </is>
      </c>
      <c r="M152" s="35" t="inlineStr">
        <is>
          <t>Clinic</t>
        </is>
      </c>
      <c r="N152" s="34" t="inlineStr">
        <is>
          <t>ข้อ 1 (PLE_CC1_Practice_Exam.md)</t>
        </is>
      </c>
      <c r="O152" s="35" t="inlineStr">
        <is>
          <t>Mock</t>
        </is>
      </c>
      <c r="P152" s="35" t="inlineStr">
        <is>
          <t>Mock สภาเภสัชฯ Practice</t>
        </is>
      </c>
    </row>
    <row r="153" ht="13.2" customHeight="1" s="49">
      <c r="A153" s="33" t="n">
        <v>151</v>
      </c>
      <c r="B153" s="34" t="inlineStr">
        <is>
          <t>ยาที่เหมาะสมสำหรับการรักษาของผู้ป่วยรายนี้คือยาใด</t>
        </is>
      </c>
      <c r="C153" s="35" t="n"/>
      <c r="D153" s="34" t="inlineStr">
        <is>
          <t>Ketoconazole 2% foam ฟอกบริเวณที่เป็น 2 ครั้งต่อสัปดาห์</t>
        </is>
      </c>
      <c r="E153" s="34" t="inlineStr">
        <is>
          <t>Tacrolimus 0.1% ointment ทาบริเวณที่เป็น 2 ครั้งต่อสัปดาห์</t>
        </is>
      </c>
      <c r="F153" s="34" t="inlineStr">
        <is>
          <t>Betamethasone dipropionate 0.05% ointment ทาบริเวณที่เป็นวันละ 2-4 ครั้ง เป็นเวลา 2 สัปดาห์</t>
        </is>
      </c>
      <c r="G153" s="34" t="inlineStr">
        <is>
          <t>รับประทานยา Itraconazole ขนาด 200 มิลลิกรัมต่อวัน เป็นเวลา 1 เดือน</t>
        </is>
      </c>
      <c r="H153" s="34" t="inlineStr">
        <is>
          <t>รับประทานยา Methotrexate ขนาด 7.5-15 มิลลิกรัมต่อสัปดาห์</t>
        </is>
      </c>
      <c r="I153" s="33" t="n">
        <v>1</v>
      </c>
      <c r="J153" s="34"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35" t="n"/>
      <c r="L153" s="34" t="inlineStr">
        <is>
          <t>Eczema &amp; Dermatitis</t>
        </is>
      </c>
      <c r="M153" s="35" t="inlineStr">
        <is>
          <t>Clinic</t>
        </is>
      </c>
      <c r="N153" s="34" t="inlineStr">
        <is>
          <t>ข้อ 3 (PLE_CC1_Practice_Exam.md)</t>
        </is>
      </c>
      <c r="O153" s="35" t="inlineStr">
        <is>
          <t>Mock</t>
        </is>
      </c>
      <c r="P153" s="35" t="inlineStr">
        <is>
          <t>Mock สภาเภสัชฯ Practice</t>
        </is>
      </c>
    </row>
    <row r="154" ht="13.2" customHeight="1" s="49">
      <c r="A154" s="33" t="n">
        <v>152</v>
      </c>
      <c r="B154" s="34"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35" t="n"/>
      <c r="D154" s="34" t="inlineStr">
        <is>
          <t>Acyclovir 200 มิลลิกรัม รับประทานวันละ 5 ครั้ง เป็นเวลา 10 วัน</t>
        </is>
      </c>
      <c r="E154" s="34" t="inlineStr">
        <is>
          <t>Acyclovir 400 มิลลิกรัม รับประทานวันละ 3 ครั้ง เป็นเวลา 10 วัน</t>
        </is>
      </c>
      <c r="F154" s="34" t="inlineStr">
        <is>
          <t>Famicyclovir 500 มิลลิกรัม รับประทานวันละ 3 ครั้ง เป็นเวลา 10 วัน</t>
        </is>
      </c>
      <c r="G154" s="34" t="inlineStr">
        <is>
          <t>Valacyclovir 1000 มิลลิกรัม รับประทานวันละ 2 ครั้ง เป็นเวลา 10 วัน</t>
        </is>
      </c>
      <c r="H154" s="34" t="inlineStr">
        <is>
          <t>ยาทา Acyclovir โดยทาทุกๆ 2 ชั่วโมง เป็นเวลา 4 วัน</t>
        </is>
      </c>
      <c r="I154" s="33" t="inlineStr">
        <is>
          <t>1</t>
        </is>
      </c>
      <c r="J154" s="34"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35" t="n"/>
      <c r="L154" s="34" t="inlineStr">
        <is>
          <t>Superficial fungal</t>
        </is>
      </c>
      <c r="M154" s="35" t="inlineStr">
        <is>
          <t>Clinic</t>
        </is>
      </c>
      <c r="N154" s="34" t="inlineStr">
        <is>
          <t>ข้อ 4 (PLE_CC1_Practice_Exam.md)</t>
        </is>
      </c>
      <c r="O154" s="35" t="inlineStr">
        <is>
          <t>Mock</t>
        </is>
      </c>
      <c r="P154" s="35" t="inlineStr">
        <is>
          <t>Mock สภาเภสัชฯ Practice</t>
        </is>
      </c>
    </row>
    <row r="155" ht="13.2" customHeight="1" s="49">
      <c r="A155" s="33" t="n">
        <v>153</v>
      </c>
      <c r="B155" s="34"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35" t="n"/>
      <c r="D155" s="34" t="inlineStr">
        <is>
          <t>Oral Isotretinoin</t>
        </is>
      </c>
      <c r="E155" s="34" t="inlineStr">
        <is>
          <t>Oral Doxycycline ร่วมกับทา topical retinoid</t>
        </is>
      </c>
      <c r="F155" s="34" t="inlineStr">
        <is>
          <t>Oral Doxycycline ร่วมกับทา Benzoyl peroxide 5% และ clindamycin gel</t>
        </is>
      </c>
      <c r="G155" s="34" t="inlineStr">
        <is>
          <t>Oral Doxycycline ร่วมกับทา topical retinoid และ Benzoyl peroxide 5%</t>
        </is>
      </c>
      <c r="H155" s="34" t="inlineStr">
        <is>
          <t>Oral Doxycycline ร่วมกับทา topical retinoid และ Benzoyl peroxide 5% และ clindamycin gel</t>
        </is>
      </c>
      <c r="I155" s="33" t="n">
        <v>2</v>
      </c>
      <c r="J155" s="34"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35" t="n"/>
      <c r="L155" s="34" t="inlineStr">
        <is>
          <t>Acne</t>
        </is>
      </c>
      <c r="M155" s="35" t="inlineStr">
        <is>
          <t>Clinic</t>
        </is>
      </c>
      <c r="N155" s="34" t="inlineStr">
        <is>
          <t>ข้อ 6 (PLE_CC1_Practice_Exam.md)</t>
        </is>
      </c>
      <c r="O155" s="35" t="inlineStr">
        <is>
          <t>Mock</t>
        </is>
      </c>
      <c r="P155" s="35" t="inlineStr">
        <is>
          <t>Mock สภาเภสัชฯ Practice</t>
        </is>
      </c>
    </row>
    <row r="156" ht="13.2" customHeight="1" s="49">
      <c r="A156" s="33" t="n">
        <v>154</v>
      </c>
      <c r="B156" s="34"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35" t="n"/>
      <c r="D156" s="34" t="inlineStr">
        <is>
          <t>Methotrexate</t>
        </is>
      </c>
      <c r="E156" s="34" t="inlineStr">
        <is>
          <t>Phototherapy</t>
        </is>
      </c>
      <c r="F156" s="34" t="inlineStr">
        <is>
          <t>Emollient</t>
        </is>
      </c>
      <c r="G156" s="34" t="inlineStr">
        <is>
          <t>Cyclosporine</t>
        </is>
      </c>
      <c r="H156" s="34" t="inlineStr">
        <is>
          <t>Coal tar</t>
        </is>
      </c>
      <c r="I156" s="33" t="inlineStr">
        <is>
          <t>1</t>
        </is>
      </c>
      <c r="J156" s="34"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35" t="n"/>
      <c r="L156" s="34" t="inlineStr">
        <is>
          <t>Eczema &amp; Dermatitis</t>
        </is>
      </c>
      <c r="M156" s="35" t="inlineStr">
        <is>
          <t>Clinic</t>
        </is>
      </c>
      <c r="N156" s="34" t="inlineStr">
        <is>
          <t>ข้อ 7 (PLE_CC1_Practice_Exam.md)</t>
        </is>
      </c>
      <c r="O156" s="35" t="inlineStr">
        <is>
          <t>Mock</t>
        </is>
      </c>
      <c r="P156" s="35" t="inlineStr">
        <is>
          <t>Mock สภาเภสัชฯ Practice</t>
        </is>
      </c>
    </row>
    <row r="157" ht="13.2" customHeight="1" s="49">
      <c r="A157" s="33" t="n">
        <v>155</v>
      </c>
      <c r="B157" s="34"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35" t="n"/>
      <c r="D157" s="34" t="inlineStr">
        <is>
          <t>Dermatophytosis</t>
        </is>
      </c>
      <c r="E157" s="34" t="inlineStr">
        <is>
          <t>Warts</t>
        </is>
      </c>
      <c r="F157" s="34" t="inlineStr">
        <is>
          <t>Corn and callus</t>
        </is>
      </c>
      <c r="G157" s="34" t="inlineStr">
        <is>
          <t>Pityriasis versicolor</t>
        </is>
      </c>
      <c r="H157" s="34" t="inlineStr">
        <is>
          <t>SLE</t>
        </is>
      </c>
      <c r="I157" s="33" t="n">
        <v>4</v>
      </c>
      <c r="J157" s="34"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35" t="n"/>
      <c r="L157" s="34" t="inlineStr">
        <is>
          <t>Superficial fungal</t>
        </is>
      </c>
      <c r="M157" s="35" t="inlineStr">
        <is>
          <t>Clinic</t>
        </is>
      </c>
      <c r="N157" s="34" t="inlineStr">
        <is>
          <t>ข้อ 10 (PLE_CC1_Practice_Exam.md)</t>
        </is>
      </c>
      <c r="O157" s="35" t="inlineStr">
        <is>
          <t>Mock</t>
        </is>
      </c>
      <c r="P157" s="35" t="inlineStr">
        <is>
          <t>Mock สภาเภสัชฯ Practice</t>
        </is>
      </c>
    </row>
    <row r="158" ht="13.2" customHeight="1" s="49">
      <c r="A158" s="33" t="n">
        <v>156</v>
      </c>
      <c r="B158" s="34" t="inlineStr">
        <is>
          <t>จากการวินิจฉัยในข้อก่อนหน้า จงเลือกใช้ยาให้เหมาะสมกับโรคของผู้ป่วย</t>
        </is>
      </c>
      <c r="C158" s="35" t="n"/>
      <c r="D158" s="34" t="inlineStr">
        <is>
          <t>Oral Griseofulvin 500 มิลลิกรัมต่อวัน ติดต่อกัน 6-8 สัปดาห์</t>
        </is>
      </c>
      <c r="E158" s="34" t="inlineStr">
        <is>
          <t>Oral Terbinafine 250 มิลลิกรัมต่อวัน ติดต่อกัน 14 วัน</t>
        </is>
      </c>
      <c r="F158" s="34" t="inlineStr">
        <is>
          <t>2.5% Selenium sulfide shampoo ฟอกตัวทิ้งไว้ 15 นาที วันละครั้ง 2-4 สัปดาห์</t>
        </is>
      </c>
      <c r="G158" s="34" t="inlineStr">
        <is>
          <t>Oral Ketoconazole 200 มิลลิกรัมต่อวัน เป็นเวลา 10-14 วัน</t>
        </is>
      </c>
      <c r="H158" s="34" t="inlineStr">
        <is>
          <t>Oral Ketoconazole 200 mg OD ร่วมกับ Selenium sulfide shampoo</t>
        </is>
      </c>
      <c r="I158" s="33" t="n">
        <v>3</v>
      </c>
      <c r="J158" s="34"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35" t="n"/>
      <c r="L158" s="34" t="inlineStr">
        <is>
          <t>Superficial fungal</t>
        </is>
      </c>
      <c r="M158" s="35" t="inlineStr">
        <is>
          <t>Clinic</t>
        </is>
      </c>
      <c r="N158" s="34" t="inlineStr">
        <is>
          <t>ข้อ 11 (PLE_CC1_Practice_Exam.md)</t>
        </is>
      </c>
      <c r="O158" s="35" t="inlineStr">
        <is>
          <t>Mock</t>
        </is>
      </c>
      <c r="P158" s="35" t="inlineStr">
        <is>
          <t>Mock สภาเภสัชฯ Practice</t>
        </is>
      </c>
    </row>
    <row r="159" ht="13.2" customHeight="1" s="49">
      <c r="A159" s="33" t="n">
        <v>157</v>
      </c>
      <c r="B159" s="34"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35" t="n"/>
      <c r="D159" s="34" t="inlineStr">
        <is>
          <t>Corticosteroids</t>
        </is>
      </c>
      <c r="E159" s="34" t="inlineStr">
        <is>
          <t>Hydroquinone</t>
        </is>
      </c>
      <c r="F159" s="34" t="inlineStr">
        <is>
          <t>Azelaic acid</t>
        </is>
      </c>
      <c r="G159" s="34" t="inlineStr">
        <is>
          <t>Tretinoin</t>
        </is>
      </c>
      <c r="H159" s="34" t="inlineStr">
        <is>
          <t>Isopropylcatechol</t>
        </is>
      </c>
      <c r="I159" s="33" t="n">
        <v>2</v>
      </c>
      <c r="J159" s="34"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35" t="n"/>
      <c r="L159" s="34" t="inlineStr">
        <is>
          <t>Pigmentary &amp; Cosmetic</t>
        </is>
      </c>
      <c r="M159" s="35" t="inlineStr">
        <is>
          <t>Clinic</t>
        </is>
      </c>
      <c r="N159" s="34" t="inlineStr">
        <is>
          <t>ข้อ 24 (PLE_CC1_Practice_Exam.md)</t>
        </is>
      </c>
      <c r="O159" s="35" t="inlineStr">
        <is>
          <t>Mock</t>
        </is>
      </c>
      <c r="P159" s="35" t="inlineStr">
        <is>
          <t>Mock สภาเภสัชฯ Practice</t>
        </is>
      </c>
    </row>
    <row r="160" ht="13.2" customHeight="1" s="49">
      <c r="A160" s="33" t="n">
        <v>158</v>
      </c>
      <c r="B160" s="34"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35" t="n"/>
      <c r="D160" s="34" t="inlineStr">
        <is>
          <t>Scabies</t>
        </is>
      </c>
      <c r="E160" s="34" t="inlineStr">
        <is>
          <t>Lice</t>
        </is>
      </c>
      <c r="F160" s="34" t="inlineStr">
        <is>
          <t>Pediculosis pubis</t>
        </is>
      </c>
      <c r="G160" s="34" t="inlineStr">
        <is>
          <t>Eczema</t>
        </is>
      </c>
      <c r="H160" s="34" t="inlineStr">
        <is>
          <t>Chicken pox</t>
        </is>
      </c>
      <c r="I160" s="33" t="n">
        <v>1</v>
      </c>
      <c r="J160" s="34"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35" t="n"/>
      <c r="L160" s="34" t="inlineStr">
        <is>
          <t>Parasitic &amp; Infestation</t>
        </is>
      </c>
      <c r="M160" s="35" t="inlineStr">
        <is>
          <t>Clinic</t>
        </is>
      </c>
      <c r="N160" s="34" t="inlineStr">
        <is>
          <t>ข้อ 28 (PLE_CC1_Practice_Exam.md)</t>
        </is>
      </c>
      <c r="O160" s="35" t="inlineStr">
        <is>
          <t>Mock</t>
        </is>
      </c>
      <c r="P160" s="35" t="inlineStr">
        <is>
          <t>Mock สภาเภสัชฯ Practice</t>
        </is>
      </c>
    </row>
    <row r="161" ht="13.2" customHeight="1" s="49">
      <c r="A161" s="33" t="n">
        <v>159</v>
      </c>
      <c r="B161" s="34" t="inlineStr">
        <is>
          <t>จากข้อ 28. ผู้ป่วยรายนี้ควรได้รับการรักษาอย่างไร</t>
        </is>
      </c>
      <c r="C161" s="35" t="n"/>
      <c r="D161" s="34" t="inlineStr">
        <is>
          <t>Acyclovir</t>
        </is>
      </c>
      <c r="E161" s="34" t="inlineStr">
        <is>
          <t>Triamcinolone</t>
        </is>
      </c>
      <c r="F161" s="34" t="inlineStr">
        <is>
          <t>Benzyl benzoate 25% lotion</t>
        </is>
      </c>
      <c r="G161" s="34" t="inlineStr">
        <is>
          <t>Malathion shampoo</t>
        </is>
      </c>
      <c r="H161" s="34" t="inlineStr">
        <is>
          <t>Pyretrin shampoo</t>
        </is>
      </c>
      <c r="I161" s="33" t="n">
        <v>3</v>
      </c>
      <c r="J161" s="34"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35" t="n"/>
      <c r="L161" s="34" t="inlineStr">
        <is>
          <t>Parasitic &amp; Infestation</t>
        </is>
      </c>
      <c r="M161" s="35" t="inlineStr">
        <is>
          <t>Clinic</t>
        </is>
      </c>
      <c r="N161" s="34" t="inlineStr">
        <is>
          <t>ข้อ 29 (PLE_CC1_Practice_Exam.md)</t>
        </is>
      </c>
      <c r="O161" s="35" t="inlineStr">
        <is>
          <t>Mock</t>
        </is>
      </c>
      <c r="P161" s="35" t="inlineStr">
        <is>
          <t>Mock สภาเภสัชฯ Practice</t>
        </is>
      </c>
    </row>
    <row r="162" ht="13.2" customHeight="1" s="49">
      <c r="A162" s="33" t="n">
        <v>160</v>
      </c>
      <c r="B162" s="34" t="inlineStr">
        <is>
          <t>ข้อใดถูกต้องเกี่ยวกับการเลือกใช้ยาทาเพื่อรักษาโรคผิวหนัง</t>
        </is>
      </c>
      <c r="C162" s="35" t="n"/>
      <c r="D162" s="34" t="inlineStr">
        <is>
          <t>ยาพื้นที่มีสารลอกขุยจะเพิ่มการดูดซึมของตัวยา</t>
        </is>
      </c>
      <c r="E162" s="34" t="inlineStr">
        <is>
          <t>ควรใช้ topical corticosteroid อย่างต่อเนื่องนาน 4-8 สัปดาห์</t>
        </is>
      </c>
      <c r="F162" s="34" t="inlineStr">
        <is>
          <t>ควรใช้ topical corticosteroid ที่มีความแรงสูงก่อนจึงค่อยใช้ความแรงต่ำ</t>
        </is>
      </c>
      <c r="G162" s="34" t="inlineStr">
        <is>
          <t>ยาพื้นที่เป็นขี้ผึ้ง ควรใช้กับผิวหนังอักเสบที่มีน้ำเหลืองซึมเพื่อดูดซับน้ำเหลือง</t>
        </is>
      </c>
      <c r="H162" s="34" t="inlineStr">
        <is>
          <t>ยาพื้นที่มีแอลกอฮอล์ผสมอยู่ควรใช้กับแผลเปิดสดเพื่อฆ่าเชื้อ</t>
        </is>
      </c>
      <c r="I162" s="33" t="n">
        <v>1</v>
      </c>
      <c r="J162" s="34"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35" t="n"/>
      <c r="L162" s="34" t="inlineStr">
        <is>
          <t>Transdermal &amp; Topical</t>
        </is>
      </c>
      <c r="M162" s="35" t="inlineStr">
        <is>
          <t>Clinic</t>
        </is>
      </c>
      <c r="N162" s="34" t="inlineStr">
        <is>
          <t>ข้อ 32 (PLE_CC1_Practice_Exam.md)</t>
        </is>
      </c>
      <c r="O162" s="35" t="inlineStr">
        <is>
          <t>Mock</t>
        </is>
      </c>
      <c r="P162" s="35" t="inlineStr">
        <is>
          <t>Mock สภาเภสัชฯ Practice</t>
        </is>
      </c>
    </row>
    <row r="163" ht="13.2" customHeight="1" s="49">
      <c r="A163" s="33" t="n">
        <v>161</v>
      </c>
      <c r="B163" s="34"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35" t="n"/>
      <c r="D163" s="34" t="inlineStr">
        <is>
          <t>Exfoliative dermatitis</t>
        </is>
      </c>
      <c r="E163" s="34" t="inlineStr">
        <is>
          <t>AGEP</t>
        </is>
      </c>
      <c r="F163" s="34" t="inlineStr">
        <is>
          <t>DRESS</t>
        </is>
      </c>
      <c r="G163" s="34" t="inlineStr">
        <is>
          <t>SJS</t>
        </is>
      </c>
      <c r="H163" s="34" t="inlineStr">
        <is>
          <t>TEN</t>
        </is>
      </c>
      <c r="I163" s="33" t="n">
        <v>3</v>
      </c>
      <c r="J163" s="34"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35" t="n"/>
      <c r="L163" s="34" t="inlineStr">
        <is>
          <t>ADR &amp; Allergy</t>
        </is>
      </c>
      <c r="M163" s="35" t="inlineStr">
        <is>
          <t>Clinic</t>
        </is>
      </c>
      <c r="N163" s="34" t="inlineStr">
        <is>
          <t>ข้อ 34 (PLE_CC1_Practice_Exam.md)</t>
        </is>
      </c>
      <c r="O163" s="35" t="inlineStr">
        <is>
          <t>Mock</t>
        </is>
      </c>
      <c r="P163" s="35" t="inlineStr">
        <is>
          <t>Mock สภาเภสัชฯ Practice</t>
        </is>
      </c>
    </row>
    <row r="164" ht="13.2" customHeight="1" s="49">
      <c r="A164" s="33" t="n">
        <v>162</v>
      </c>
      <c r="B164" s="34" t="inlineStr">
        <is>
          <t>เชื้อไวรัสในข้อใดก่อให้เกิดอาการดังกล่าว</t>
        </is>
      </c>
      <c r="C164" s="35" t="n"/>
      <c r="D164" s="34" t="inlineStr">
        <is>
          <t>Human corona virus</t>
        </is>
      </c>
      <c r="E164" s="34" t="inlineStr">
        <is>
          <t>Human papilloma virus</t>
        </is>
      </c>
      <c r="F164" s="34" t="inlineStr">
        <is>
          <t>Human herpes virus 4</t>
        </is>
      </c>
      <c r="G164" s="34" t="inlineStr">
        <is>
          <t>Adenovirus</t>
        </is>
      </c>
      <c r="H164" s="34" t="inlineStr">
        <is>
          <t>Cytomegalovirus</t>
        </is>
      </c>
      <c r="I164" s="33" t="n">
        <v>2</v>
      </c>
      <c r="J164" s="34"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35" t="n"/>
      <c r="L164" s="34" t="inlineStr">
        <is>
          <t>Viral Skin Infection</t>
        </is>
      </c>
      <c r="M164" s="35" t="inlineStr">
        <is>
          <t>Clinic</t>
        </is>
      </c>
      <c r="N164" s="34" t="inlineStr">
        <is>
          <t>ข้อ 39 (PLE_CC1_Practice_Exam.md)</t>
        </is>
      </c>
      <c r="O164" s="35" t="inlineStr">
        <is>
          <t>Mock</t>
        </is>
      </c>
      <c r="P164" s="35" t="inlineStr">
        <is>
          <t>Mock สภาเภสัชฯ Practice</t>
        </is>
      </c>
    </row>
    <row r="165" ht="13.2" customHeight="1" s="49">
      <c r="A165" s="33" t="n">
        <v>163</v>
      </c>
      <c r="B165" s="34" t="inlineStr">
        <is>
          <t>ข้อใดกล่าวไม่ถูกต้องเกี่ยวกับการใช้ยารักษาสิว</t>
        </is>
      </c>
      <c r="C165" s="35" t="n"/>
      <c r="D165" s="34" t="inlineStr">
        <is>
          <t>หากเป็นสิวระดับ mild สามารถใช้ topical retinoid ในการรักษาเพียงตัวเดียวได้</t>
        </is>
      </c>
      <c r="E165" s="34" t="inlineStr">
        <is>
          <t>หากเป็นสิวระดับ mild สามารถใช้ benzoyl peroxide ในการรักษาเพียงตัวเดียวได้</t>
        </is>
      </c>
      <c r="F165" s="34" t="inlineStr">
        <is>
          <t>Oral isotretinoid ใช้สำหรับ Severe acne เท่านั้น และห้ามใช้ในหญิงตั้งครรภ์</t>
        </is>
      </c>
      <c r="G165" s="34" t="inlineStr">
        <is>
          <t>Oral antibiotic ไม่สามารถใช้ในการรักษาสิวเพียงตัวเดียวได้</t>
        </is>
      </c>
      <c r="H165" s="34" t="inlineStr">
        <is>
          <t>Benzoyl peroxide และ topical retinoid สามารถทาติดต่อกันได้ทันที เพื่อการรักษาที่มีประสิทธิภาพ</t>
        </is>
      </c>
      <c r="I165" s="33" t="n">
        <v>5</v>
      </c>
      <c r="J165" s="34"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35" t="n"/>
      <c r="L165" s="34" t="inlineStr">
        <is>
          <t>Acne</t>
        </is>
      </c>
      <c r="M165" s="35" t="inlineStr">
        <is>
          <t>Clinic</t>
        </is>
      </c>
      <c r="N165" s="34" t="inlineStr">
        <is>
          <t>ข้อ 40 (PLE_CC1_Practice_Exam.md)</t>
        </is>
      </c>
      <c r="O165" s="35" t="inlineStr">
        <is>
          <t>Mock</t>
        </is>
      </c>
      <c r="P165" s="35" t="inlineStr">
        <is>
          <t>Mock สภาเภสัชฯ Practice</t>
        </is>
      </c>
    </row>
    <row r="166" ht="13.2" customHeight="1" s="49">
      <c r="A166" s="33" t="n">
        <v>164</v>
      </c>
      <c r="B166" s="34" t="inlineStr">
        <is>
          <t>โรคระบบภูมิคุ้มกัน โดย นักศึกษาเภสัชศาสตร์ชั้นป๊ที่ 4 รุ่นที่ 22 มหาวิทยาลัยนเรศวร</t>
        </is>
      </c>
      <c r="C166" s="35" t="n"/>
      <c r="D166" s="34" t="inlineStr">
        <is>
          <t>ข้อใดต่อไปนี้ไม่ถูกต้องเกี่ยวกับการใช้ยากลุ่ม Glucocorticoid</t>
        </is>
      </c>
      <c r="E166" s="34" t="inlineStr">
        <is>
          <t>ระวังการในผู้ป่วยโรคเบาหวาน เพราะมีฤทธิ์เพิ่มระดับน้ำตาลในเลือด</t>
        </is>
      </c>
      <c r="F166" s="34" t="inlineStr">
        <is>
          <t>ทำให้เกิด Cushing ’syndrome เช่น moon face, hirsutism, buffalo hump, weight loss, Easy bruising เป็นต้น</t>
        </is>
      </c>
      <c r="G166" s="34" t="inlineStr">
        <is>
          <t>ระหว่างได้ยาแนะนำให้รับประทานอาหารที่มีแคลเซียมสูง</t>
        </is>
      </c>
      <c r="H166" s="34" t="inlineStr">
        <is>
          <t>ห้ามใช้ในผู้ป่วยที่ติดเชื้อ Herpes simplex</t>
        </is>
      </c>
      <c r="I166" s="33" t="inlineStr">
        <is>
          <t>1</t>
        </is>
      </c>
      <c r="J166" s="34"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35" t="n"/>
      <c r="L166" s="34" t="inlineStr">
        <is>
          <t>Superficial fungal</t>
        </is>
      </c>
      <c r="M166" s="35" t="inlineStr">
        <is>
          <t>Clinic</t>
        </is>
      </c>
      <c r="N166" s="34" t="inlineStr">
        <is>
          <t>ข้อ 11 (PLE_CC1_Practice_Exam.md)</t>
        </is>
      </c>
      <c r="O166" s="35" t="inlineStr">
        <is>
          <t>Mock</t>
        </is>
      </c>
      <c r="P166" s="35" t="inlineStr">
        <is>
          <t>Mock สภาเภสัชฯ Practice</t>
        </is>
      </c>
    </row>
    <row r="167" ht="13.2" customHeight="1" s="49">
      <c r="A167" s="33" t="n">
        <v>165</v>
      </c>
      <c r="B167" s="34"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35" t="n"/>
      <c r="D167" s="34" t="inlineStr">
        <is>
          <t>Chlorpheniramine 4 mg PO TID</t>
        </is>
      </c>
      <c r="E167" s="34" t="inlineStr">
        <is>
          <t>Loratadine 10 mg PO OD</t>
        </is>
      </c>
      <c r="F167" s="34" t="inlineStr">
        <is>
          <t>Fexofenadine 180 mg PO OD</t>
        </is>
      </c>
      <c r="G167" s="34" t="inlineStr">
        <is>
          <t>Cetirizine 10 mg PO OD</t>
        </is>
      </c>
      <c r="H167" s="34" t="inlineStr">
        <is>
          <t>Fluticasone furoate nasal spray 2 sprays each nostril OD</t>
        </is>
      </c>
      <c r="I167" s="33" t="n">
        <v>4</v>
      </c>
      <c r="J167" s="34"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67" s="35" t="n"/>
      <c r="L167" s="34" t="inlineStr">
        <is>
          <t>Superficial fungal</t>
        </is>
      </c>
      <c r="M167" s="35" t="inlineStr">
        <is>
          <t>Clinic</t>
        </is>
      </c>
      <c r="N167" s="34" t="inlineStr">
        <is>
          <t>ข้อ 24 (PLE_CC1_Practice_Exam.md)</t>
        </is>
      </c>
      <c r="O167" s="35" t="inlineStr">
        <is>
          <t>Mock</t>
        </is>
      </c>
      <c r="P167" s="35" t="inlineStr">
        <is>
          <t>Mock สภาเภสัชฯ Practice</t>
        </is>
      </c>
    </row>
    <row r="168" ht="13.2" customHeight="1" s="49">
      <c r="A168" s="33" t="n">
        <v>166</v>
      </c>
      <c r="B168" s="34"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35" t="n"/>
      <c r="D168" s="34" t="inlineStr">
        <is>
          <t>IgA</t>
        </is>
      </c>
      <c r="E168" s="34" t="inlineStr">
        <is>
          <t>IgD</t>
        </is>
      </c>
      <c r="F168" s="34" t="inlineStr">
        <is>
          <t>IgE</t>
        </is>
      </c>
      <c r="G168" s="34" t="inlineStr">
        <is>
          <t>IgG</t>
        </is>
      </c>
      <c r="H168" s="34" t="inlineStr">
        <is>
          <t>IgM</t>
        </is>
      </c>
      <c r="I168" s="33" t="n">
        <v>3</v>
      </c>
      <c r="J168" s="34"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35" t="n"/>
      <c r="L168" s="34" t="inlineStr">
        <is>
          <t>ADR &amp; Allergy</t>
        </is>
      </c>
      <c r="M168" s="35" t="inlineStr">
        <is>
          <t>Clinic</t>
        </is>
      </c>
      <c r="N168" s="34" t="inlineStr">
        <is>
          <t>ข้อ 31 (PLE_CC1_Practice_Exam.md)</t>
        </is>
      </c>
      <c r="O168" s="35" t="inlineStr">
        <is>
          <t>Mock</t>
        </is>
      </c>
      <c r="P168" s="35" t="inlineStr">
        <is>
          <t>Mock สภาเภสัชฯ Practice</t>
        </is>
      </c>
    </row>
    <row r="169" ht="13.2" customHeight="1" s="49">
      <c r="A169" s="33" t="n">
        <v>167</v>
      </c>
      <c r="B169" s="34"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35" t="n"/>
      <c r="D169" s="34" t="inlineStr">
        <is>
          <t>หยุดยากลุ่มเสี่ยงทันที</t>
        </is>
      </c>
      <c r="E169" s="34" t="inlineStr">
        <is>
          <t>ให้ยาสเตียรอยด์ในระยะแรกที่ยังมีการดำเนินไปของผื่น</t>
        </is>
      </c>
      <c r="F169" s="34" t="inlineStr">
        <is>
          <t>ออกบัตรแพ้ยากลุ่มเสี่ยง</t>
        </is>
      </c>
      <c r="G169" s="34" t="inlineStr">
        <is>
          <t>ทำ rechallenge ในผู้ป่วยรายนี้</t>
        </is>
      </c>
      <c r="H169" s="34" t="inlineStr">
        <is>
          <t>ตรวจนับเม็ดเลือด ตรวจการทำงานของไต</t>
        </is>
      </c>
      <c r="I169" s="33" t="n">
        <v>4</v>
      </c>
      <c r="J169" s="34"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35" t="n"/>
      <c r="L169" s="34" t="inlineStr">
        <is>
          <t>ADR &amp; Allergy</t>
        </is>
      </c>
      <c r="M169" s="35" t="inlineStr">
        <is>
          <t>Clinic</t>
        </is>
      </c>
      <c r="N169" s="34" t="inlineStr">
        <is>
          <t>ข้อ 33 (PLE_CC1_Practice_Exam.md)</t>
        </is>
      </c>
      <c r="O169" s="35" t="inlineStr">
        <is>
          <t>Mock</t>
        </is>
      </c>
      <c r="P169" s="35" t="inlineStr">
        <is>
          <t>Mock สภาเภสัชฯ Practice</t>
        </is>
      </c>
    </row>
    <row r="170" ht="13.2" customHeight="1" s="49">
      <c r="A170" s="33" t="n">
        <v>168</v>
      </c>
      <c r="B170" s="34" t="inlineStr">
        <is>
          <t>รูปแบบยาเตรียมทาเฉพาะที่ชนิดใดต่อไปนี้ไม่เหมาะสมอย่างยิ่งสำหรับใช้ทาบริเวณผิวหนังที่มีขนดกหรือหนังศีรษะ</t>
        </is>
      </c>
      <c r="C170" s="35" t="n"/>
      <c r="D170" s="34" t="inlineStr">
        <is>
          <t>Ointment (ขี้ผึ้ง)</t>
        </is>
      </c>
      <c r="E170" s="34" t="inlineStr">
        <is>
          <t>Lotion (โลชั่น)</t>
        </is>
      </c>
      <c r="F170" s="34" t="inlineStr">
        <is>
          <t>Gel (เจล)</t>
        </is>
      </c>
      <c r="G170" s="34" t="inlineStr">
        <is>
          <t>Solution (สารละลายใส)</t>
        </is>
      </c>
      <c r="H170" s="34" t="inlineStr">
        <is>
          <t>Foam (โฟม)</t>
        </is>
      </c>
      <c r="I170" s="33" t="n">
        <v>1</v>
      </c>
      <c r="J170" s="34"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35" t="n"/>
      <c r="L170" s="34" t="inlineStr">
        <is>
          <t>Transdermal &amp; Topical</t>
        </is>
      </c>
      <c r="M170" s="35" t="inlineStr">
        <is>
          <t>Clinic</t>
        </is>
      </c>
      <c r="N170" s="34" t="inlineStr">
        <is>
          <t>ข้อ 3 (PLE_CC1_Practice_Exam.md)</t>
        </is>
      </c>
      <c r="O170" s="35" t="inlineStr">
        <is>
          <t>Mock</t>
        </is>
      </c>
      <c r="P170" s="35" t="inlineStr">
        <is>
          <t>Mock สภาเภสัชฯ Practice</t>
        </is>
      </c>
    </row>
    <row r="171" ht="13.2" customHeight="1" s="49">
      <c r="A171" s="33" t="n">
        <v>169</v>
      </c>
      <c r="B171" s="34"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35" t="n"/>
      <c r="D171" s="34" t="inlineStr">
        <is>
          <t>ได้ เพราะเป็นยาอันตราย</t>
        </is>
      </c>
      <c r="E171" s="34" t="inlineStr">
        <is>
          <t>ได้ เพราะเป็นยาควบคุมพิเศษที่เคยได้รับการสั่งใช้ยาจากแพทย์มาแล้ว</t>
        </is>
      </c>
      <c r="F171" s="34" t="inlineStr">
        <is>
          <t>ไม่ได้ เพราะเป็นยาควบคุมพิเศษ ต้องมีใบสั่งใช้ยาโดยแพทย์ประกอบการจ่ายทุกครั้ง</t>
        </is>
      </c>
      <c r="G171" s="34" t="inlineStr">
        <is>
          <t>ไม่ได้ เพราะเป็นยาควบคุมพิเศษ ที่ขายได้เฉพาะในคลินิกแพทย์เท่านั้น</t>
        </is>
      </c>
      <c r="H171" s="34" t="inlineStr">
        <is>
          <t>ไม่ได้ เพราะเป็นยาควบคุมพิเศษ ที่ขายได้ในโรงพยาบาลเท่านั้น</t>
        </is>
      </c>
      <c r="I171" s="33" t="inlineStr">
        <is>
          <t>1</t>
        </is>
      </c>
      <c r="J171" s="34"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35" t="n"/>
      <c r="L171" s="34" t="inlineStr">
        <is>
          <t>Acne</t>
        </is>
      </c>
      <c r="M171" s="35" t="inlineStr">
        <is>
          <t>Clinic</t>
        </is>
      </c>
      <c r="N171" s="34" t="inlineStr">
        <is>
          <t>ข้อ 35 (PLE_CC1_Practice_Exam.md)</t>
        </is>
      </c>
      <c r="O171" s="35" t="inlineStr">
        <is>
          <t>Mock</t>
        </is>
      </c>
      <c r="P171" s="35" t="inlineStr">
        <is>
          <t>Mock สภาเภสัชฯ Practice</t>
        </is>
      </c>
    </row>
    <row r="172" ht="13.2" customHeight="1" s="49">
      <c r="A172" s="33" t="n">
        <v>170</v>
      </c>
      <c r="B172" s="34" t="inlineStr">
        <is>
          <t>คำแนะนำการใช้ Capsaicin gel สำหรับบรรเทาอาการปวดปลายประสาท ข้อใดถูกต้องที่สุด</t>
        </is>
      </c>
      <c r="C172" s="35" t="n"/>
      <c r="D172" s="34" t="inlineStr">
        <is>
          <t>ต้องทาติดต่อกันสม่ำเสมออย่างน้อย 2-4 สัปดาห์ จึงจะเห็นผลบรรเทาปวดเต็มที่จากการหมดไปของ Substance P</t>
        </is>
      </c>
      <c r="E172" s="34" t="inlineStr">
        <is>
          <t>ควรทาถูนวดอย่างรุนแรงและประคบร้อนทับทันทีเพื่อเพิ่มการดูดซึม</t>
        </is>
      </c>
      <c r="F172" s="34" t="inlineStr">
        <is>
          <t>หากรู้สึกแสบร้อนในวันแรกๆ ให้หยุดยาทันทีเพราะแสดงว่าแพ้ยา</t>
        </is>
      </c>
      <c r="G172" s="34" t="inlineStr">
        <is>
          <t>สามารถทาบริเวณแผลสดหรือเยื่อบุตาได้โดยไม่อันตราย</t>
        </is>
      </c>
      <c r="H172" s="34" t="inlineStr">
        <is>
          <t>ควรล้างมือด้วยน้ำอุ่นจัดทันทีหลังทายาโดยไม่ต้องใช้สบู่</t>
        </is>
      </c>
      <c r="I172" s="33" t="n">
        <v>1</v>
      </c>
      <c r="J172" s="34"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35" t="n"/>
      <c r="L172" s="34" t="inlineStr">
        <is>
          <t>Transdermal &amp; Topical</t>
        </is>
      </c>
      <c r="M172" s="35" t="inlineStr">
        <is>
          <t>Clinic</t>
        </is>
      </c>
      <c r="N172" s="34" t="inlineStr">
        <is>
          <t>ข้อ 4 (PLE_CC1_Key_Rx20_UBU.md)</t>
        </is>
      </c>
      <c r="O172" s="35" t="inlineStr">
        <is>
          <t>Mock</t>
        </is>
      </c>
      <c r="P172" s="35" t="inlineStr">
        <is>
          <t>Mock Rx20 UBU</t>
        </is>
      </c>
    </row>
    <row r="173" ht="13.2" customHeight="1" s="49">
      <c r="A173" s="33" t="n">
        <v>171</v>
      </c>
      <c r="B173" s="34" t="inlineStr">
        <is>
          <t>ไม่มี Emulsifier ในตำรับ</t>
        </is>
      </c>
      <c r="C173" s="35" t="n"/>
      <c r="D173" s="34" t="inlineStr">
        <is>
          <t>Isotretinoin 10 mg OD</t>
        </is>
      </c>
      <c r="E173" s="34" t="inlineStr">
        <is>
          <t>Terbinafine 1% cream</t>
        </is>
      </c>
      <c r="F173" s="34" t="inlineStr">
        <is>
          <t>Adapalene 0.1% gel</t>
        </is>
      </c>
      <c r="G173" s="34" t="inlineStr">
        <is>
          <t>Mupirocin 2% ointment</t>
        </is>
      </c>
      <c r="H173" s="34" t="inlineStr">
        <is>
          <t>Betamethasone dipropionate 0.05% cream</t>
        </is>
      </c>
      <c r="I173" s="33" t="inlineStr">
        <is>
          <t>1</t>
        </is>
      </c>
      <c r="J173"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35" t="n"/>
      <c r="L173" s="34" t="inlineStr">
        <is>
          <t>Superficial fungal</t>
        </is>
      </c>
      <c r="M173" s="35" t="inlineStr">
        <is>
          <t>Clinic</t>
        </is>
      </c>
      <c r="N173" s="34" t="inlineStr">
        <is>
          <t>ข้อ 4 (PLE_CC1_Key_Rx20_UBU.md)</t>
        </is>
      </c>
      <c r="O173" s="35" t="inlineStr">
        <is>
          <t>Mock</t>
        </is>
      </c>
      <c r="P173" s="35" t="inlineStr">
        <is>
          <t>Mock Rx20 UBU</t>
        </is>
      </c>
    </row>
    <row r="174" ht="13.2" customHeight="1" s="49">
      <c r="A174" s="33" t="n">
        <v>172</v>
      </c>
      <c r="B174" s="34" t="inlineStr">
        <is>
          <t>ควรเลือกยาใดให้ผู้ป่วยรายนี้เป็นทางเลือกแรก</t>
        </is>
      </c>
      <c r="C174" s="35" t="n"/>
      <c r="D174" s="34" t="inlineStr">
        <is>
          <t>Mupirocin 2% ointment</t>
        </is>
      </c>
      <c r="E174" s="34" t="inlineStr">
        <is>
          <t>Betamethasone dipropionate 0.05% cream</t>
        </is>
      </c>
      <c r="F174" s="34" t="inlineStr">
        <is>
          <t>Clotrimazole 1% cream</t>
        </is>
      </c>
      <c r="G174" s="34" t="inlineStr">
        <is>
          <t>Hydrocortisone 1% cream</t>
        </is>
      </c>
      <c r="H174" s="34" t="inlineStr">
        <is>
          <t>Triamcinolone acetonide 0.1% cream</t>
        </is>
      </c>
      <c r="I174" s="33" t="inlineStr">
        <is>
          <t>1</t>
        </is>
      </c>
      <c r="J174" s="34"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35" t="n"/>
      <c r="L174" s="34" t="inlineStr">
        <is>
          <t>Superficial fungal</t>
        </is>
      </c>
      <c r="M174" s="35" t="inlineStr">
        <is>
          <t>Clinic</t>
        </is>
      </c>
      <c r="N174" s="34" t="inlineStr">
        <is>
          <t>ข้อ 62 (PLE_CC1_Key_Rx20_UBU.md)</t>
        </is>
      </c>
      <c r="O174" s="35" t="inlineStr">
        <is>
          <t>Mock</t>
        </is>
      </c>
      <c r="P174" s="35" t="inlineStr">
        <is>
          <t>Mock Rx20 UBU</t>
        </is>
      </c>
    </row>
    <row r="175" ht="13.2" customHeight="1" s="49">
      <c r="A175" s="33" t="n">
        <v>173</v>
      </c>
      <c r="B175" s="34" t="inlineStr">
        <is>
          <t>รอยโรคสิวชนิดใดต่อไปนี้จัดอยู่ในกลุ่มสิวไม่อักเสบ (Non-inflammatory acne)</t>
        </is>
      </c>
      <c r="C175" s="35" t="n"/>
      <c r="D175" s="34" t="inlineStr">
        <is>
          <t>Open and closed comedones (สิวหัวดำและสิวหัวขาว)</t>
        </is>
      </c>
      <c r="E175" s="34" t="inlineStr">
        <is>
          <t>Erythematous papules (ตุ่มนูนแดง)</t>
        </is>
      </c>
      <c r="F175" s="34" t="inlineStr">
        <is>
          <t>Pustules (ตุ่มหนอง)</t>
        </is>
      </c>
      <c r="G175" s="34" t="inlineStr">
        <is>
          <t>Cysts (ถุงซีสต์ใต้ผิวหนัง)</t>
        </is>
      </c>
      <c r="H175" s="34" t="inlineStr">
        <is>
          <t>Nodules (ตุ่มก้อนไตลึก)</t>
        </is>
      </c>
      <c r="I175" s="33" t="n">
        <v>1</v>
      </c>
      <c r="J175" s="34"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35" t="n"/>
      <c r="L175" s="34" t="inlineStr">
        <is>
          <t>Acne</t>
        </is>
      </c>
      <c r="M175" s="35" t="inlineStr">
        <is>
          <t>Clinic</t>
        </is>
      </c>
      <c r="N175" s="34" t="inlineStr">
        <is>
          <t>ข้อ 2 (PLE_CC1_Key_Rx20_UBU.md)</t>
        </is>
      </c>
      <c r="O175" s="35" t="inlineStr">
        <is>
          <t>Mock</t>
        </is>
      </c>
      <c r="P175" s="35" t="inlineStr">
        <is>
          <t>Mock Rx20 UBU</t>
        </is>
      </c>
    </row>
    <row r="176" ht="13.2" customHeight="1" s="49">
      <c r="A176" s="33" t="n">
        <v>174</v>
      </c>
      <c r="B176" s="34" t="inlineStr">
        <is>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is>
      </c>
      <c r="C176" s="35" t="n"/>
      <c r="D176" s="34" t="inlineStr">
        <is>
          <t>Oral Isotretinoin</t>
        </is>
      </c>
      <c r="E176" s="34" t="inlineStr">
        <is>
          <t>Oral Tetracycline</t>
        </is>
      </c>
      <c r="F176" s="34" t="inlineStr">
        <is>
          <t>Oral Erythromycin</t>
        </is>
      </c>
      <c r="G176" s="34" t="inlineStr">
        <is>
          <t>Oral Prednisolone</t>
        </is>
      </c>
      <c r="H176" s="34" t="inlineStr">
        <is>
          <t>Oral Metronidazole</t>
        </is>
      </c>
      <c r="I176" s="33" t="n">
        <v>1</v>
      </c>
      <c r="J176" s="34" t="inlineStr">
        <is>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is>
      </c>
      <c r="K176" s="35" t="n"/>
      <c r="L176" s="34" t="inlineStr">
        <is>
          <t>Acne</t>
        </is>
      </c>
      <c r="M176" s="35" t="inlineStr">
        <is>
          <t>Clinic</t>
        </is>
      </c>
      <c r="N176" s="34" t="inlineStr">
        <is>
          <t>ข้อ 4 (PLE_CC1_Key_Rx20_UBU.md)</t>
        </is>
      </c>
      <c r="O176" s="35" t="inlineStr">
        <is>
          <t>Mock</t>
        </is>
      </c>
      <c r="P176" s="35" t="inlineStr">
        <is>
          <t>Mock Rx20 UBU</t>
        </is>
      </c>
    </row>
    <row r="177" ht="13.2" customHeight="1" s="49">
      <c r="A177" s="33" t="n">
        <v>175</v>
      </c>
      <c r="B177" s="34" t="inlineStr">
        <is>
          <t>ข้อใดกล่าวถูกต้องเกี่ยวกับคุณสมบัติทางเภสัชวิทยาของ Benzoyl peroxide ในการรักษาสิว</t>
        </is>
      </c>
      <c r="C177" s="35" t="n"/>
      <c r="D177" s="34" t="inlineStr">
        <is>
          <t>ปล่อย Free oxygen radicals ฆ่าเชื้อ C. acnes และไม่ก่อให้เกิดการดื้อยาของเชื้อ</t>
        </is>
      </c>
      <c r="E177" s="34" t="inlineStr">
        <is>
          <t>ออกฤทธิ์ลดการผลิตไขมันจากต่อมไขมันโดยตรง (Antisebum)</t>
        </is>
      </c>
      <c r="F177" s="34" t="inlineStr">
        <is>
          <t>ทำให้เกิดเชื้อแบคทีเรียดื้อยาได้ง่ายหากใช้ต่อเนื่องเกิน 4 สัปดาห์</t>
        </is>
      </c>
      <c r="G177" s="34" t="inlineStr">
        <is>
          <t>มีฤทธิ์ยับยั้งการสร้างเม็ดสีเมลานินอย่างถาวร</t>
        </is>
      </c>
      <c r="H177" s="34" t="inlineStr">
        <is>
          <t>ไม่ก่อให้เกิดอาการระคายเคือง แสบ แดง หรือผิวแห้งลอก</t>
        </is>
      </c>
      <c r="I177" s="33" t="n">
        <v>1</v>
      </c>
      <c r="J177" s="34"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35" t="n"/>
      <c r="L177" s="34" t="inlineStr">
        <is>
          <t>Acne</t>
        </is>
      </c>
      <c r="M177" s="35" t="inlineStr">
        <is>
          <t>Clinic</t>
        </is>
      </c>
      <c r="N177" s="34" t="inlineStr">
        <is>
          <t>ข้อ 5 (PLE_CC1_Key_Rx20_UBU.md)</t>
        </is>
      </c>
      <c r="O177" s="35" t="inlineStr">
        <is>
          <t>Mock</t>
        </is>
      </c>
      <c r="P177" s="35" t="inlineStr">
        <is>
          <t>Mock Rx20 UBU</t>
        </is>
      </c>
    </row>
    <row r="178" ht="13.2" customHeight="1" s="49">
      <c r="A178" s="33" t="n">
        <v>176</v>
      </c>
      <c r="B178" s="34" t="inlineStr">
        <is>
          <t>P. acne ดื้อเป็นปัญหาสำคัญ</t>
        </is>
      </c>
      <c r="C178" s="35" t="n"/>
      <c r="D178" s="34" t="inlineStr">
        <is>
          <t>Terbinafine 1% cream</t>
        </is>
      </c>
      <c r="E178" s="34" t="inlineStr">
        <is>
          <t>Adapalene 0.1% gel</t>
        </is>
      </c>
      <c r="F178" s="34" t="inlineStr">
        <is>
          <t>Mupirocin 2% ointment</t>
        </is>
      </c>
      <c r="G178" s="34" t="inlineStr">
        <is>
          <t>Betamethasone dipropionate 0.05% cream</t>
        </is>
      </c>
      <c r="H178" s="34" t="inlineStr">
        <is>
          <t>Clotrimazole 1% cream</t>
        </is>
      </c>
      <c r="I178" s="33" t="inlineStr">
        <is>
          <t>1</t>
        </is>
      </c>
      <c r="J178" s="34"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35" t="n"/>
      <c r="L178" s="34" t="inlineStr">
        <is>
          <t>Acne</t>
        </is>
      </c>
      <c r="M178" s="35" t="inlineStr">
        <is>
          <t>Clinic</t>
        </is>
      </c>
      <c r="N178" s="34" t="inlineStr">
        <is>
          <t>ข้อ 4 (PLE_CC1_Key_Rx20_UBU.md)</t>
        </is>
      </c>
      <c r="O178" s="35" t="inlineStr">
        <is>
          <t>Mock</t>
        </is>
      </c>
      <c r="P178" s="35" t="inlineStr">
        <is>
          <t>Mock Rx20 UBU</t>
        </is>
      </c>
    </row>
    <row r="179" ht="13.2" customHeight="1" s="49">
      <c r="A179" s="33" t="n">
        <v>177</v>
      </c>
      <c r="B179" s="34" t="inlineStr">
        <is>
          <t>ควรเลือกใช้ยาใดในการรักษา จึงจะเหมาะสมที่สุด</t>
        </is>
      </c>
      <c r="C179" s="35" t="n"/>
      <c r="D179" s="34" t="inlineStr">
        <is>
          <t>Betamethasone dipropionate 0.05% cream</t>
        </is>
      </c>
      <c r="E179" s="34" t="inlineStr">
        <is>
          <t>Clotrimazole 1% cream</t>
        </is>
      </c>
      <c r="F179" s="34" t="inlineStr">
        <is>
          <t>Hydrocortisone 1% cream</t>
        </is>
      </c>
      <c r="G179" s="34" t="inlineStr">
        <is>
          <t>Triamcinolone acetonide 0.1% cream</t>
        </is>
      </c>
      <c r="H179" s="34" t="inlineStr">
        <is>
          <t>Clobetasol propionate 0.05% cream</t>
        </is>
      </c>
      <c r="I179" s="33" t="inlineStr">
        <is>
          <t>1</t>
        </is>
      </c>
      <c r="J179"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35" t="n"/>
      <c r="L179" s="34" t="inlineStr">
        <is>
          <t>Superficial fungal</t>
        </is>
      </c>
      <c r="M179" s="35" t="inlineStr">
        <is>
          <t>Clinic</t>
        </is>
      </c>
      <c r="N179" s="34" t="inlineStr">
        <is>
          <t>ข้อ 90 (PLE_CC1_Key_Rx20_UBU.md)</t>
        </is>
      </c>
      <c r="O179" s="35" t="inlineStr">
        <is>
          <t>Mock</t>
        </is>
      </c>
      <c r="P179" s="35" t="inlineStr">
        <is>
          <t>Mock Rx20 UBU</t>
        </is>
      </c>
    </row>
    <row r="180" ht="13.2" customHeight="1" s="49">
      <c r="A180" s="33" t="n">
        <v>178</v>
      </c>
      <c r="B180" s="34" t="inlineStr">
        <is>
          <t>หากผู้ป่วยได้รับยาต้านเชื้อรา Ketoconazole ชนิดรับประทาน คำแนะนำและการเฝ้าระวังที่สำคัญที่สุดคือข้อใด</t>
        </is>
      </c>
      <c r="C180" s="35" t="n"/>
      <c r="D180" s="34" t="inlineStr">
        <is>
          <t>เฝ้าระวังอาการพิษต่อตับ (Hepatotoxicity) เช่น คลื่นไส้ อ่อนเพลีย ตัวเหลืองตาเหลือง และตรวจการทำงานของตับ (LFTs)</t>
        </is>
      </c>
      <c r="E180" s="34" t="inlineStr">
        <is>
          <t>ควรรับประทานร่วมกับยาลดกรด Omeprazole เพื่อป้องกันการระคายเคืองกระเพาะอาหาร</t>
        </is>
      </c>
      <c r="F180" s="34" t="inlineStr">
        <is>
          <t>ยานี้ไม่มีปฏิกิริยาระหว่างยาผ่านเอนไซม์ CYP450 สามารถทานร่วมกับยาทุกชนิดได้ปลอดภัย</t>
        </is>
      </c>
      <c r="G180" s="34" t="inlineStr">
        <is>
          <t>แนะนำให้รับประทานยาวันละ 4 ครั้งก่อนอาหารเพื่อเพิ่มการดูดซึม</t>
        </is>
      </c>
      <c r="H180" s="34" t="inlineStr">
        <is>
          <t>หากลืมรับประทานยา ให้เพิ่มขนาดยาเป็นสองเท่าในมื้อถัดไปทันที</t>
        </is>
      </c>
      <c r="I180" s="33" t="n">
        <v>1</v>
      </c>
      <c r="J180"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35" t="n"/>
      <c r="L180" s="34" t="inlineStr">
        <is>
          <t>Superficial fungal</t>
        </is>
      </c>
      <c r="M180" s="35" t="inlineStr">
        <is>
          <t>Clinic</t>
        </is>
      </c>
      <c r="N180" s="34" t="inlineStr">
        <is>
          <t>ข้อ 91 (PLE_CC1_Key_Rx20_UBU.md)</t>
        </is>
      </c>
      <c r="O180" s="35" t="inlineStr">
        <is>
          <t>Mock</t>
        </is>
      </c>
      <c r="P180" s="35" t="inlineStr">
        <is>
          <t>Mock Rx20 UBU</t>
        </is>
      </c>
    </row>
    <row r="181" ht="13.2" customHeight="1" s="49">
      <c r="A181" s="33" t="n">
        <v>179</v>
      </c>
      <c r="B181" s="34" t="inlineStr">
        <is>
          <t>ถ้าผู้ป่วยได้รับ Ketoconazole ร่วมด้วย จะเกิดอะไรขึ้น</t>
        </is>
      </c>
      <c r="C181" s="35" t="n"/>
      <c r="D181" s="34" t="inlineStr">
        <is>
          <t>Benzoyl peroxide 2.5% gel</t>
        </is>
      </c>
      <c r="E181" s="34" t="inlineStr">
        <is>
          <t>Acyclovir 5% cream</t>
        </is>
      </c>
      <c r="F181" s="34" t="inlineStr">
        <is>
          <t>Silver sulfadiazine 1% cream</t>
        </is>
      </c>
      <c r="G181" s="34" t="inlineStr">
        <is>
          <t>Cetirizine 10 mg OD</t>
        </is>
      </c>
      <c r="H181" s="34" t="inlineStr">
        <is>
          <t>Isotretinoin 10 mg OD</t>
        </is>
      </c>
      <c r="I181" s="33" t="inlineStr">
        <is>
          <t>1</t>
        </is>
      </c>
      <c r="J181" s="34"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35" t="n"/>
      <c r="L181" s="34" t="inlineStr">
        <is>
          <t>Superficial fungal</t>
        </is>
      </c>
      <c r="M181" s="35" t="inlineStr">
        <is>
          <t>Clinic</t>
        </is>
      </c>
      <c r="N181" s="34" t="inlineStr">
        <is>
          <t>ข้อ 4 (PLE_CC1_Key_Rx20_UBU.md)</t>
        </is>
      </c>
      <c r="O181" s="35" t="inlineStr">
        <is>
          <t>Mock</t>
        </is>
      </c>
      <c r="P181" s="35" t="inlineStr">
        <is>
          <t>Mock Rx20 UBU</t>
        </is>
      </c>
    </row>
    <row r="182" ht="13.2" customHeight="1" s="49">
      <c r="A182" s="33" t="n">
        <v>180</v>
      </c>
      <c r="B182" s="34" t="inlineStr">
        <is>
          <t>คำแนะนำใดเหมาะสมในผู้ป่วยรายนี้</t>
        </is>
      </c>
      <c r="C182" s="35" t="n"/>
      <c r="D182" s="34" t="inlineStr">
        <is>
          <t>ควรรับประทานยาคุมเพื่อป้องกันการตั้งครรภ์ทารกวิรูป</t>
        </is>
      </c>
      <c r="E182" s="34" t="inlineStr">
        <is>
          <t>ระหว่างที่กินยานี้ หลีกเลี่ยงรังสี UV</t>
        </is>
      </c>
      <c r="F182" s="34" t="inlineStr">
        <is>
          <t>ควรกินยาก่อนอาหารเช้า-ก่อนนอน</t>
        </is>
      </c>
      <c r="G182" s="34" t="inlineStr">
        <is>
          <t>อาจทำให้ผิวหนัง-เล็บเปลี่ยนสี</t>
        </is>
      </c>
      <c r="H182" s="34" t="inlineStr">
        <is>
          <t>ถ้ามีอาการไข้ เจ็บคอ และมีผื่นขึ้นควรไปพบแพทย์ คำอธิบาย carbamazepine -- HLAB 1502 -- SJS</t>
        </is>
      </c>
      <c r="I182" s="33" t="inlineStr">
        <is>
          <t>5</t>
        </is>
      </c>
      <c r="J182" s="34"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35" t="n"/>
      <c r="L182" s="34" t="inlineStr">
        <is>
          <t>Superficial fungal</t>
        </is>
      </c>
      <c r="M182" s="35" t="inlineStr">
        <is>
          <t>Clinic</t>
        </is>
      </c>
      <c r="N182" s="34" t="inlineStr">
        <is>
          <t>ข้อ 1 (PLE_CC1_Key_Rx20_UBU.md)</t>
        </is>
      </c>
      <c r="O182" s="35" t="inlineStr">
        <is>
          <t>Mock</t>
        </is>
      </c>
      <c r="P182" s="35" t="inlineStr">
        <is>
          <t>Mock Rx20 UBU</t>
        </is>
      </c>
    </row>
    <row r="183" ht="13.2" customHeight="1" s="49">
      <c r="A183" s="33" t="n">
        <v>181</v>
      </c>
      <c r="B183" s="34" t="inlineStr">
        <is>
          <t>ผู้ป่วยเป็นโรคอะไร</t>
        </is>
      </c>
      <c r="C183" s="35" t="n"/>
      <c r="D183" s="34" t="inlineStr">
        <is>
          <t>Impetigo</t>
        </is>
      </c>
      <c r="E183" s="34" t="inlineStr">
        <is>
          <t>Eczema</t>
        </is>
      </c>
      <c r="F183" s="34" t="inlineStr">
        <is>
          <t>Folliculitis</t>
        </is>
      </c>
      <c r="G183" s="34" t="inlineStr">
        <is>
          <t>Rosacea</t>
        </is>
      </c>
      <c r="H183" s="34" t="inlineStr">
        <is>
          <t>Tinea corporis</t>
        </is>
      </c>
      <c r="I183" s="33" t="inlineStr">
        <is>
          <t>2</t>
        </is>
      </c>
      <c r="J183" s="34"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35" t="n"/>
      <c r="L183" s="34" t="inlineStr">
        <is>
          <t>Superficial fungal</t>
        </is>
      </c>
      <c r="M183" s="35" t="inlineStr">
        <is>
          <t>Clinic</t>
        </is>
      </c>
      <c r="N183" s="34" t="inlineStr">
        <is>
          <t>ข้อ 1 (PLE_CC1_Key_Rx20_UBU.md)</t>
        </is>
      </c>
      <c r="O183" s="35" t="inlineStr">
        <is>
          <t>Mock</t>
        </is>
      </c>
      <c r="P183" s="35" t="inlineStr">
        <is>
          <t>Mock Rx20 UBU</t>
        </is>
      </c>
    </row>
    <row r="184" ht="13.2" customHeight="1" s="49">
      <c r="A184" s="33" t="n">
        <v>182</v>
      </c>
      <c r="B184" s="34" t="inlineStr">
        <is>
          <t>ยาต้านเชื้อราในข้อใดมีกลไกการออกฤทธิ์โดยยับยั้งการสังเคราะห์ DNA และ RNA ของเซลล์เชื้อรา</t>
        </is>
      </c>
      <c r="C184" s="35" t="n"/>
      <c r="D184" s="34" t="inlineStr">
        <is>
          <t>Flucytosine (5-FC)</t>
        </is>
      </c>
      <c r="E184" s="34" t="inlineStr">
        <is>
          <t>Ketoconazole</t>
        </is>
      </c>
      <c r="F184" s="34" t="inlineStr">
        <is>
          <t>Terbinafine</t>
        </is>
      </c>
      <c r="G184" s="34" t="inlineStr">
        <is>
          <t>Amphotericin B</t>
        </is>
      </c>
      <c r="H184" s="34" t="inlineStr">
        <is>
          <t>Caspofungin</t>
        </is>
      </c>
      <c r="I184" s="33" t="n">
        <v>1</v>
      </c>
      <c r="J184" s="34"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35" t="n"/>
      <c r="L184" s="34" t="inlineStr">
        <is>
          <t>Antifungals</t>
        </is>
      </c>
      <c r="M184" s="35" t="inlineStr">
        <is>
          <t>Clinic</t>
        </is>
      </c>
      <c r="N184" s="34" t="inlineStr">
        <is>
          <t>ข้อ 5 (PLE_CC1_Key_Rx20_UBU.md)</t>
        </is>
      </c>
      <c r="O184" s="35" t="inlineStr">
        <is>
          <t>Mock</t>
        </is>
      </c>
      <c r="P184" s="35" t="inlineStr">
        <is>
          <t>Mock Rx20 UBU</t>
        </is>
      </c>
    </row>
    <row r="185" ht="13.2" customHeight="1" s="49">
      <c r="A185" s="33" t="n">
        <v>183</v>
      </c>
      <c r="B185" s="34" t="inlineStr">
        <is>
          <t>ผู้ป่วยโรคผิวหนังอักเสบ Eczema ทายาสเตียรอยด์ความแรงปานกลางมา 5 วันแล้วอาการยังไม่ดีขึ้น ควรปรับเปลี่ยนการรักษาอย่างไร</t>
        </is>
      </c>
      <c r="C185" s="35" t="n"/>
      <c r="D185" s="34" t="inlineStr">
        <is>
          <t>พิจารณาเพิ่มความแรงของ Topical Corticosteroid เป็น Potent agent ระยะสั้น หรือใช้ Topical Calcineurin Inhibitor</t>
        </is>
      </c>
      <c r="E185" s="34" t="inlineStr">
        <is>
          <t>เปลี่ยนไปใช้ยาฆ่าเชื้อรา Ketoconazole 2% cream ทาทันที</t>
        </is>
      </c>
      <c r="F185" s="34" t="inlineStr">
        <is>
          <t>ให้รับประทานยาปฏิชีวนะ Doxycycline 100 mg วันละ 2 ครั้ง</t>
        </is>
      </c>
      <c r="G185" s="34" t="inlineStr">
        <is>
          <t>หยุดทายาทุกชนิดแล้วล้างแผลด้วยแอลกอฮอล์ 70%</t>
        </is>
      </c>
      <c r="H185" s="34" t="inlineStr">
        <is>
          <t>เปลี่ยนไปทา Benzoyl peroxide 5% gel เช้า-เย็น</t>
        </is>
      </c>
      <c r="I185" s="33" t="n">
        <v>1</v>
      </c>
      <c r="J185" s="34"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35" t="n"/>
      <c r="L185" s="34" t="inlineStr">
        <is>
          <t>Eczema &amp; Dermatitis</t>
        </is>
      </c>
      <c r="M185" s="35" t="inlineStr">
        <is>
          <t>Clinic</t>
        </is>
      </c>
      <c r="N185" s="34" t="inlineStr">
        <is>
          <t>ข้อ 6 (PLE_CC1_Key_Rx20_UBU.md)</t>
        </is>
      </c>
      <c r="O185" s="35" t="inlineStr">
        <is>
          <t>Mock</t>
        </is>
      </c>
      <c r="P185" s="35" t="inlineStr">
        <is>
          <t>Mock Rx20 UBU</t>
        </is>
      </c>
    </row>
    <row r="186" ht="13.2" customHeight="1" s="49">
      <c r="A186" s="33" t="n">
        <v>184</v>
      </c>
      <c r="B186" s="34" t="inlineStr">
        <is>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is>
      </c>
      <c r="C186" s="35" t="n"/>
      <c r="D186" s="34" t="inlineStr">
        <is>
          <t>Auspitz sign</t>
        </is>
      </c>
      <c r="E186" s="34" t="inlineStr">
        <is>
          <t>Koebner phenomenon</t>
        </is>
      </c>
      <c r="F186" s="34" t="inlineStr">
        <is>
          <t>Nikolsky sign</t>
        </is>
      </c>
      <c r="G186" s="34" t="inlineStr">
        <is>
          <t>Darier sign</t>
        </is>
      </c>
      <c r="H186" s="34" t="inlineStr">
        <is>
          <t>Hutchinson sign</t>
        </is>
      </c>
      <c r="I186" s="33" t="n">
        <v>1</v>
      </c>
      <c r="J186" s="34" t="inlineStr">
        <is>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is>
      </c>
      <c r="K186" s="35" t="n"/>
      <c r="L186" s="34" t="inlineStr">
        <is>
          <t>Psoriasis</t>
        </is>
      </c>
      <c r="M186" s="35" t="inlineStr">
        <is>
          <t>Clinic</t>
        </is>
      </c>
      <c r="N186" s="34" t="inlineStr">
        <is>
          <t>ข้อ 92 (PLE_CC1_Key_Rx20_UBU.md)</t>
        </is>
      </c>
      <c r="O186" s="35" t="inlineStr">
        <is>
          <t>Mock</t>
        </is>
      </c>
      <c r="P186" s="35" t="inlineStr">
        <is>
          <t>Mock Rx20 UBU</t>
        </is>
      </c>
    </row>
    <row r="187" ht="13.2" customHeight="1" s="49">
      <c r="A187" s="33" t="n">
        <v>185</v>
      </c>
      <c r="B187" s="34" t="inlineStr">
        <is>
          <t>Ketoconazole shampoo</t>
        </is>
      </c>
      <c r="C187" s="35" t="n"/>
      <c r="D187" s="34" t="inlineStr">
        <is>
          <t>Isotretinoin 10 mg OD</t>
        </is>
      </c>
      <c r="E187" s="34" t="inlineStr">
        <is>
          <t>Terbinafine 1% cream</t>
        </is>
      </c>
      <c r="F187" s="34" t="inlineStr">
        <is>
          <t>Adapalene 0.1% gel</t>
        </is>
      </c>
      <c r="G187" s="34" t="inlineStr">
        <is>
          <t>Mupirocin 2% ointment</t>
        </is>
      </c>
      <c r="H187" s="34" t="inlineStr">
        <is>
          <t>Betamethasone dipropionate 0.05% cream</t>
        </is>
      </c>
      <c r="I187" s="33" t="inlineStr">
        <is>
          <t>1</t>
        </is>
      </c>
      <c r="J187"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35" t="n"/>
      <c r="L187" s="34" t="inlineStr">
        <is>
          <t>Superficial fungal</t>
        </is>
      </c>
      <c r="M187" s="35" t="inlineStr">
        <is>
          <t>Clinic</t>
        </is>
      </c>
      <c r="N187" s="34" t="inlineStr">
        <is>
          <t>ข้อ 4 (PLE_CC1_Key_Rx20_UBU.md)</t>
        </is>
      </c>
      <c r="O187" s="35" t="inlineStr">
        <is>
          <t>Mock</t>
        </is>
      </c>
      <c r="P187" s="35" t="inlineStr">
        <is>
          <t>Mock Rx20 UBU</t>
        </is>
      </c>
    </row>
    <row r="188" ht="13.2" customHeight="1" s="49">
      <c r="A188" s="33" t="n">
        <v>186</v>
      </c>
      <c r="B188" s="34" t="inlineStr">
        <is>
          <t>กลไกยา topical steroid</t>
        </is>
      </c>
      <c r="C188" s="35" t="n"/>
      <c r="D188" s="34" t="inlineStr">
        <is>
          <t>Mupirocin 2% ointment</t>
        </is>
      </c>
      <c r="E188" s="34" t="inlineStr">
        <is>
          <t>Betamethasone dipropionate 0.05% cream</t>
        </is>
      </c>
      <c r="F188" s="34" t="inlineStr">
        <is>
          <t>Clotrimazole 1% cream</t>
        </is>
      </c>
      <c r="G188" s="34" t="inlineStr">
        <is>
          <t>Hydrocortisone 1% cream</t>
        </is>
      </c>
      <c r="H188" s="34" t="inlineStr">
        <is>
          <t>Triamcinolone acetonide 0.1% cream</t>
        </is>
      </c>
      <c r="I188" s="33" t="inlineStr">
        <is>
          <t>1</t>
        </is>
      </c>
      <c r="J188" s="34"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35" t="n"/>
      <c r="L188" s="34" t="inlineStr">
        <is>
          <t>Eczema &amp; Dermatitis</t>
        </is>
      </c>
      <c r="M188" s="35" t="inlineStr">
        <is>
          <t>Clinic</t>
        </is>
      </c>
      <c r="N188" s="34" t="inlineStr">
        <is>
          <t>ข้อ 97 (PLE_CC1_Key_Rx20_UBU.md)</t>
        </is>
      </c>
      <c r="O188" s="35" t="inlineStr">
        <is>
          <t>Mock</t>
        </is>
      </c>
      <c r="P188" s="35" t="inlineStr">
        <is>
          <t>Mock Rx20 UBU</t>
        </is>
      </c>
    </row>
    <row r="189" ht="13.2" customHeight="1" s="49">
      <c r="A189" s="33" t="n">
        <v>187</v>
      </c>
      <c r="B189" s="34" t="inlineStr">
        <is>
          <t>ข้อใดเป็นคำแนะนำที่ถูกต้องสำหรับผู้ป่วยที่เป็นสิวอักเสบระดับปานกลาง</t>
        </is>
      </c>
      <c r="C189" s="35" t="n"/>
      <c r="D189" s="34" t="inlineStr">
        <is>
          <t>หลีกเลี่ยงการบีบแกะสิว และล้างหน้าด้วยผลิตภัณฑ์สูตรอ่อนโยนวันละไม่เกิน 2 ครั้ง</t>
        </is>
      </c>
      <c r="E189" s="34" t="inlineStr">
        <is>
          <t>ควรขัดถูใบหน้าแรงๆ ทุกวันเพื่อขจัดสิ่งอุดตันในรูขุมขน</t>
        </is>
      </c>
      <c r="F189" s="34" t="inlineStr">
        <is>
          <t>งดการทาครีมกันแดดเพราะจะทำให้รูขุมขนอุดตันเสมอ</t>
        </is>
      </c>
      <c r="G189" s="34" t="inlineStr">
        <is>
          <t>หากใช้ยาทาแล้วมีอาการแสบลอก ให้ทายาปริมาณมากขึ้นเพื่อให้ผิวปรับตัว</t>
        </is>
      </c>
      <c r="H189" s="34" t="inlineStr">
        <is>
          <t>หยุดยาทันทีเมื่อตุ่มสิวยุบลงโดยไม่ต้องทายาป้องกันการเกิดซ้ำ</t>
        </is>
      </c>
      <c r="I189" s="33" t="n">
        <v>1</v>
      </c>
      <c r="J189" s="34"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35" t="n"/>
      <c r="L189" s="34" t="inlineStr">
        <is>
          <t>Acne</t>
        </is>
      </c>
      <c r="M189" s="35" t="inlineStr">
        <is>
          <t>Clinic</t>
        </is>
      </c>
      <c r="N189" s="34" t="inlineStr">
        <is>
          <t>ข้อ 5 (PLE_CC1_Key_Rx20_UBU.md)</t>
        </is>
      </c>
      <c r="O189" s="35" t="inlineStr">
        <is>
          <t>Mock</t>
        </is>
      </c>
      <c r="P189" s="35" t="inlineStr">
        <is>
          <t>Mock Rx20 UBU</t>
        </is>
      </c>
    </row>
    <row r="190" ht="13.2" customHeight="1" s="49">
      <c r="A190" s="33" t="n">
        <v>188</v>
      </c>
      <c r="B190" s="34"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35" t="n"/>
      <c r="D190" s="34" t="inlineStr">
        <is>
          <t>Ketoconazole 2% shampoo</t>
        </is>
      </c>
      <c r="E190" s="34" t="inlineStr">
        <is>
          <t>Benzoyl peroxide 2.5% gel</t>
        </is>
      </c>
      <c r="F190" s="34" t="inlineStr">
        <is>
          <t>Acyclovir 5% cream</t>
        </is>
      </c>
      <c r="G190" s="34" t="inlineStr">
        <is>
          <t>Silver sulfadiazine 1% cream</t>
        </is>
      </c>
      <c r="H190" s="34" t="inlineStr">
        <is>
          <t>Cetirizine 10 mg OD</t>
        </is>
      </c>
      <c r="I190" s="33" t="inlineStr">
        <is>
          <t>1</t>
        </is>
      </c>
      <c r="J190" s="34"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35" t="n"/>
      <c r="L190" s="34" t="inlineStr">
        <is>
          <t>Acne</t>
        </is>
      </c>
      <c r="M190" s="35" t="inlineStr">
        <is>
          <t>Clinic</t>
        </is>
      </c>
      <c r="N190" s="34" t="inlineStr">
        <is>
          <t>ข้อ 5 (PLE_CC1_Key_Rx20_UBU.md)</t>
        </is>
      </c>
      <c r="O190" s="35" t="inlineStr">
        <is>
          <t>Mock</t>
        </is>
      </c>
      <c r="P190" s="35" t="inlineStr">
        <is>
          <t>Mock Rx20 UBU</t>
        </is>
      </c>
    </row>
    <row r="191" ht="13.2" customHeight="1" s="49">
      <c r="A191" s="33" t="n">
        <v>189</v>
      </c>
      <c r="B191" s="34" t="inlineStr">
        <is>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is>
      </c>
      <c r="C191" s="35" t="n"/>
      <c r="D191" s="34" t="inlineStr">
        <is>
          <t>Nystatin oral suspension</t>
        </is>
      </c>
      <c r="E191" s="34" t="inlineStr">
        <is>
          <t>Acyclovir tablet</t>
        </is>
      </c>
      <c r="F191" s="34" t="inlineStr">
        <is>
          <t>Metronidazole gel</t>
        </is>
      </c>
      <c r="G191" s="34" t="inlineStr">
        <is>
          <t>Amoxicillin dry syrup</t>
        </is>
      </c>
      <c r="H191" s="34" t="inlineStr">
        <is>
          <t>Hydrocortisone oral paste</t>
        </is>
      </c>
      <c r="I191" s="33" t="n">
        <v>1</v>
      </c>
      <c r="J191" s="34" t="inlineStr">
        <is>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is>
      </c>
      <c r="K191" s="35" t="n"/>
      <c r="L191" s="34" t="inlineStr">
        <is>
          <t>Superficial fungal</t>
        </is>
      </c>
      <c r="M191" s="35" t="inlineStr">
        <is>
          <t>Clinic</t>
        </is>
      </c>
      <c r="N191" s="34" t="inlineStr">
        <is>
          <t>ข้อ 2 (PLE_CC1_Key_Rx20_UBU.md)</t>
        </is>
      </c>
      <c r="O191" s="35" t="inlineStr">
        <is>
          <t>Mock</t>
        </is>
      </c>
      <c r="P191" s="35" t="inlineStr">
        <is>
          <t>Mock Rx20 UBU</t>
        </is>
      </c>
    </row>
    <row r="192" ht="13.2" customHeight="1" s="49">
      <c r="A192" s="33" t="n">
        <v>190</v>
      </c>
      <c r="B192" s="34" t="inlineStr">
        <is>
          <t>ยาในข้อใดไม่สามารถนำมาใช้รักษาโรคกลากได้</t>
        </is>
      </c>
      <c r="C192" s="35" t="n"/>
      <c r="D192" s="34" t="inlineStr">
        <is>
          <t>Terbinafine 1% cream</t>
        </is>
      </c>
      <c r="E192" s="34" t="inlineStr">
        <is>
          <t>Adapalene 0.1% gel</t>
        </is>
      </c>
      <c r="F192" s="34" t="inlineStr">
        <is>
          <t>Mupirocin 2% ointment</t>
        </is>
      </c>
      <c r="G192" s="34" t="inlineStr">
        <is>
          <t>Betamethasone dipropionate 0.05% cream</t>
        </is>
      </c>
      <c r="H192" s="34" t="inlineStr">
        <is>
          <t>Clotrimazole 1% cream</t>
        </is>
      </c>
      <c r="I192" s="33" t="inlineStr">
        <is>
          <t>1</t>
        </is>
      </c>
      <c r="J192" s="34"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35" t="n"/>
      <c r="L192" s="34" t="inlineStr">
        <is>
          <t>Superficial fungal</t>
        </is>
      </c>
      <c r="M192" s="35" t="inlineStr">
        <is>
          <t>Clinic</t>
        </is>
      </c>
      <c r="N192" s="34" t="inlineStr">
        <is>
          <t>ข้อ 54 (PLE_CC1_Key_Rx20_UBU.md)</t>
        </is>
      </c>
      <c r="O192" s="35" t="inlineStr">
        <is>
          <t>Mock</t>
        </is>
      </c>
      <c r="P192" s="35" t="inlineStr">
        <is>
          <t>Mock Rx20 UBU</t>
        </is>
      </c>
    </row>
    <row r="193" ht="13.2" customHeight="1" s="49">
      <c r="A193" s="33" t="n">
        <v>191</v>
      </c>
      <c r="B193" s="34" t="inlineStr">
        <is>
          <t>ถ้าหากเพื่อนเป็นเกลื้อนยาในข้อใดใช้ไม่ได้ผล</t>
        </is>
      </c>
      <c r="C193" s="35" t="n"/>
      <c r="D193" s="34" t="inlineStr">
        <is>
          <t>Betamethasone dipropionate 0.05% cream</t>
        </is>
      </c>
      <c r="E193" s="34" t="inlineStr">
        <is>
          <t>Clotrimazole 1% cream</t>
        </is>
      </c>
      <c r="F193" s="34" t="inlineStr">
        <is>
          <t>Hydrocortisone 1% cream</t>
        </is>
      </c>
      <c r="G193" s="34" t="inlineStr">
        <is>
          <t>Triamcinolone acetonide 0.1% cream</t>
        </is>
      </c>
      <c r="H193" s="34" t="inlineStr">
        <is>
          <t>Clobetasol propionate 0.05% cream</t>
        </is>
      </c>
      <c r="I193" s="33" t="inlineStr">
        <is>
          <t>1</t>
        </is>
      </c>
      <c r="J193"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35" t="n"/>
      <c r="L193" s="34" t="inlineStr">
        <is>
          <t>Superficial fungal</t>
        </is>
      </c>
      <c r="M193" s="35" t="inlineStr">
        <is>
          <t>Clinic</t>
        </is>
      </c>
      <c r="N193" s="34" t="inlineStr">
        <is>
          <t>ข้อ 55 (PLE_CC1_Key_Rx20_UBU.md)</t>
        </is>
      </c>
      <c r="O193" s="35" t="inlineStr">
        <is>
          <t>Mock</t>
        </is>
      </c>
      <c r="P193" s="35" t="inlineStr">
        <is>
          <t>Mock Rx20 UBU</t>
        </is>
      </c>
    </row>
    <row r="194" ht="13.2" customHeight="1" s="49">
      <c r="A194" s="33" t="n">
        <v>192</v>
      </c>
      <c r="B194" s="34" t="inlineStr">
        <is>
          <t>ชั้นผิวหนังชั้นใดที่มีบทบาทเป็น Main barrier / Rate-limiting barrier ในการควบคุมการดูดซึมของยาทาเข้าสู่ผิวหนัง</t>
        </is>
      </c>
      <c r="C194" s="35" t="n"/>
      <c r="D194" s="34" t="inlineStr">
        <is>
          <t>Stratum corneum</t>
        </is>
      </c>
      <c r="E194" s="34" t="inlineStr">
        <is>
          <t>Stratum lucidum</t>
        </is>
      </c>
      <c r="F194" s="34" t="inlineStr">
        <is>
          <t>Stratum granulosum</t>
        </is>
      </c>
      <c r="G194" s="34" t="inlineStr">
        <is>
          <t>Stratum spinosum</t>
        </is>
      </c>
      <c r="H194" s="34" t="inlineStr">
        <is>
          <t>Dermis</t>
        </is>
      </c>
      <c r="I194" s="33" t="n">
        <v>1</v>
      </c>
      <c r="J194"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35" t="n"/>
      <c r="L194" s="34" t="inlineStr">
        <is>
          <t>Transdermal &amp; Topical</t>
        </is>
      </c>
      <c r="M194" s="35" t="inlineStr">
        <is>
          <t>Clinic</t>
        </is>
      </c>
      <c r="N194" s="34" t="inlineStr">
        <is>
          <t>ข้อ 67 (PLE_CC1_Key_Rx20_UBU.md)</t>
        </is>
      </c>
      <c r="O194" s="35" t="inlineStr">
        <is>
          <t>Mock</t>
        </is>
      </c>
      <c r="P194" s="35" t="inlineStr">
        <is>
          <t>Mock Rx20 UBU</t>
        </is>
      </c>
    </row>
    <row r="195" ht="13.2" customHeight="1" s="49">
      <c r="A195" s="33" t="n">
        <v>193</v>
      </c>
      <c r="B195" s="34" t="inlineStr">
        <is>
          <t>ชั้นผิวหนังชั้นใดที่มีบทบาทสำคัญที่สุดในการขัดขวางและจำกัดอัตราการดูดซึมยาผ่านผิวหนัง (Rate-limiting barrier / Major barrier)</t>
        </is>
      </c>
      <c r="C195" s="35" t="n"/>
      <c r="D195" s="34" t="inlineStr">
        <is>
          <t>Stratum corneum</t>
        </is>
      </c>
      <c r="E195" s="34" t="inlineStr">
        <is>
          <t>Stratum spinosum</t>
        </is>
      </c>
      <c r="F195" s="34" t="inlineStr">
        <is>
          <t>Stratum granulosum</t>
        </is>
      </c>
      <c r="G195" s="34" t="inlineStr">
        <is>
          <t>Stratum basale</t>
        </is>
      </c>
      <c r="H195" s="34" t="inlineStr">
        <is>
          <t>Dermis layer</t>
        </is>
      </c>
      <c r="I195" s="33" t="n">
        <v>1</v>
      </c>
      <c r="J195" s="34" t="inlineStr">
        <is>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is>
      </c>
      <c r="K195" s="35" t="n"/>
      <c r="L195" s="34" t="inlineStr">
        <is>
          <t>Transdermal &amp; Topical</t>
        </is>
      </c>
      <c r="M195" s="35" t="inlineStr">
        <is>
          <t>Clinic</t>
        </is>
      </c>
      <c r="N195" s="34" t="inlineStr">
        <is>
          <t>ข้อ 84 (PLE_CC1_Key_Rx20_UBU.md)</t>
        </is>
      </c>
      <c r="O195" s="35" t="inlineStr">
        <is>
          <t>Mock</t>
        </is>
      </c>
      <c r="P195" s="35" t="inlineStr">
        <is>
          <t>Mock Rx20 UBU</t>
        </is>
      </c>
    </row>
    <row r="196" ht="13.2" customHeight="1" s="49">
      <c r="A196" s="33" t="n">
        <v>194</v>
      </c>
      <c r="B196" s="34" t="inlineStr">
        <is>
          <t>การปฐมพยาบาลเบื้องต$นที่เหมาะสมที่สุดสำหรับผู$ป&amp;วยรายนี้คือข$อใด</t>
        </is>
      </c>
      <c r="C196" s="35" t="n"/>
      <c r="D196" s="34" t="inlineStr">
        <is>
          <t>ใช$ยาสีฟ[นทา</t>
        </is>
      </c>
      <c r="E196" s="34" t="inlineStr">
        <is>
          <t>ราดด$วยน้ำมันมะกอก</t>
        </is>
      </c>
      <c r="F196" s="34" t="inlineStr">
        <is>
          <t>ล$างด$วยน้ำเย็น</t>
        </is>
      </c>
      <c r="G196" s="34" t="inlineStr">
        <is>
          <t>ล$างด$วยนำเย็นสลับกับน้ำอุGน</t>
        </is>
      </c>
      <c r="H196" s="34" t="inlineStr">
        <is>
          <t>ล$างด$วยน้ำอุGน</t>
        </is>
      </c>
      <c r="I196" s="33" t="n">
        <v>3</v>
      </c>
      <c r="J196" s="34"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35" t="n"/>
      <c r="L196" s="34" t="inlineStr">
        <is>
          <t>Wound</t>
        </is>
      </c>
      <c r="M196" s="35" t="inlineStr">
        <is>
          <t>Clinic</t>
        </is>
      </c>
      <c r="N196" s="34" t="inlineStr">
        <is>
          <t>ข้อ 1 (PLE_CC1_Key_Rx20_UBU.md)</t>
        </is>
      </c>
      <c r="O196" s="35" t="inlineStr">
        <is>
          <t>Mock</t>
        </is>
      </c>
      <c r="P196" s="35" t="inlineStr">
        <is>
          <t>Mock Rx20 UBU</t>
        </is>
      </c>
    </row>
    <row r="197" ht="13.2" customHeight="1" s="49">
      <c r="A197" s="33" t="n">
        <v>195</v>
      </c>
      <c r="B197" s="34" t="inlineStr">
        <is>
          <t>ตGอมาตุGมน้ำแตก ผู$ป&amp;วยควรทำความสะอาดแผลด$วยสารตGอไปนี้ ยกเว$นข$อใด</t>
        </is>
      </c>
      <c r="C197" s="35" t="n"/>
      <c r="D197" s="34" t="inlineStr">
        <is>
          <t>Rubbing alcohol</t>
        </is>
      </c>
      <c r="E197" s="34" t="inlineStr">
        <is>
          <t>Chlorhexidine</t>
        </is>
      </c>
      <c r="F197" s="34" t="inlineStr">
        <is>
          <t>Irrigated normal saline solution</t>
        </is>
      </c>
      <c r="G197" s="34" t="inlineStr">
        <is>
          <t>Acetic acid</t>
        </is>
      </c>
      <c r="H197" s="34" t="inlineStr">
        <is>
          <t>Povidone iodine</t>
        </is>
      </c>
      <c r="I197" s="33" t="inlineStr">
        <is>
          <t>1</t>
        </is>
      </c>
      <c r="J197" s="34"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35" t="n"/>
      <c r="L197" s="34" t="inlineStr">
        <is>
          <t>Wound</t>
        </is>
      </c>
      <c r="M197" s="35" t="inlineStr">
        <is>
          <t>Clinic</t>
        </is>
      </c>
      <c r="N197" s="34" t="inlineStr">
        <is>
          <t>ข้อ 3 (PLE_CC1_Key_Rx20_UBU.md)</t>
        </is>
      </c>
      <c r="O197" s="35" t="inlineStr">
        <is>
          <t>Mock</t>
        </is>
      </c>
      <c r="P197" s="35" t="inlineStr">
        <is>
          <t>Mock Rx20 UBU</t>
        </is>
      </c>
    </row>
    <row r="198" ht="13.2" customHeight="1" s="49">
      <c r="A198" s="33" t="n">
        <v>196</v>
      </c>
      <c r="B198" s="34" t="inlineStr">
        <is>
          <t>ตGอมาพบวGา ผู$ป&amp;วยมีตุGมหนองเกิดขึ้นบริเวณแผล เชื้อสาเหตุที่พบได$บGอยที่สุดคือข$อใด</t>
        </is>
      </c>
      <c r="C198" s="35" t="n"/>
      <c r="D198" s="34" t="inlineStr">
        <is>
          <t>Streptococcus pyogenes</t>
        </is>
      </c>
      <c r="E198" s="34" t="inlineStr">
        <is>
          <t>Streptococcus pneumoniae</t>
        </is>
      </c>
      <c r="F198" s="34" t="inlineStr">
        <is>
          <t>Staphylococcus aureus</t>
        </is>
      </c>
      <c r="G198" s="34" t="inlineStr">
        <is>
          <t>Staphylococcus epidemidis</t>
        </is>
      </c>
      <c r="H198" s="34" t="inlineStr">
        <is>
          <t>Escherichia coli</t>
        </is>
      </c>
      <c r="I198" s="33" t="inlineStr">
        <is>
          <t>3</t>
        </is>
      </c>
      <c r="J198" s="34"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35" t="n"/>
      <c r="L198" s="34" t="inlineStr">
        <is>
          <t>Wound</t>
        </is>
      </c>
      <c r="M198" s="35" t="inlineStr">
        <is>
          <t>Clinic</t>
        </is>
      </c>
      <c r="N198" s="34" t="inlineStr">
        <is>
          <t>ข้อ 5 (PLE_CC1_Key_Rx20_UBU.md)</t>
        </is>
      </c>
      <c r="O198" s="35" t="inlineStr">
        <is>
          <t>Mock</t>
        </is>
      </c>
      <c r="P198" s="35" t="inlineStr">
        <is>
          <t>Mock Rx20 UBU</t>
        </is>
      </c>
    </row>
    <row r="199" ht="13.2" customHeight="1" s="49">
      <c r="A199" s="33" t="n">
        <v>197</v>
      </c>
      <c r="B199" s="34" t="inlineStr">
        <is>
          <t>ผู$ป&amp;วยควรได$รับยาปฏิชีวนะชนิดรับประทานตามข$อใด</t>
        </is>
      </c>
      <c r="C199" s="35" t="n"/>
      <c r="D199" s="34" t="inlineStr">
        <is>
          <t>Doxycycline</t>
        </is>
      </c>
      <c r="E199" s="34" t="inlineStr">
        <is>
          <t>Chloramphenicol</t>
        </is>
      </c>
      <c r="F199" s="34" t="inlineStr">
        <is>
          <t>Sulfacillin 250mg podlD ย 2 yน น</t>
        </is>
      </c>
      <c r="G199" s="34" t="inlineStr">
        <is>
          <t>Dicloxacillin</t>
        </is>
      </c>
      <c r="H199" s="34" t="inlineStr">
        <is>
          <t>Clindamycin 150 →ออmg po QlDEE 2 yน x.</t>
        </is>
      </c>
      <c r="I199" s="33" t="inlineStr">
        <is>
          <t>1</t>
        </is>
      </c>
      <c r="J199" s="34"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35" t="n"/>
      <c r="L199" s="34" t="inlineStr">
        <is>
          <t>Superficial fungal</t>
        </is>
      </c>
      <c r="M199" s="35" t="inlineStr">
        <is>
          <t>Clinic</t>
        </is>
      </c>
      <c r="N199" s="34" t="inlineStr">
        <is>
          <t>ข้อ 6 (PLE_CC1_Key_Rx20_UBU.md)</t>
        </is>
      </c>
      <c r="O199" s="35" t="inlineStr">
        <is>
          <t>Mock</t>
        </is>
      </c>
      <c r="P199" s="35" t="inlineStr">
        <is>
          <t>Mock Rx20 UBU</t>
        </is>
      </c>
    </row>
    <row r="200" ht="13.2" customHeight="1" s="49">
      <c r="A200" s="33" t="n">
        <v>198</v>
      </c>
      <c r="B200" s="34"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35" t="n"/>
      <c r="D200" s="34" t="inlineStr">
        <is>
          <t>Bacitracin</t>
        </is>
      </c>
      <c r="E200" s="34" t="inlineStr">
        <is>
          <t>Polymyxin</t>
        </is>
      </c>
      <c r="F200" s="34" t="inlineStr">
        <is>
          <t>Neomycin</t>
        </is>
      </c>
      <c r="G200" s="34" t="inlineStr">
        <is>
          <t>Mupirocin</t>
        </is>
      </c>
      <c r="H200" s="34" t="inlineStr">
        <is>
          <t>Chloramphenicol</t>
        </is>
      </c>
      <c r="I200" s="33" t="inlineStr">
        <is>
          <t>4</t>
        </is>
      </c>
      <c r="J200" s="34"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35" t="n"/>
      <c r="L200" s="34" t="inlineStr">
        <is>
          <t>Wound</t>
        </is>
      </c>
      <c r="M200" s="35" t="inlineStr">
        <is>
          <t>Clinic</t>
        </is>
      </c>
      <c r="N200" s="34" t="inlineStr">
        <is>
          <t>ข้อ 7 (PLE_CC1_Key_Rx20_UBU.md)</t>
        </is>
      </c>
      <c r="O200" s="35" t="inlineStr">
        <is>
          <t>Mock</t>
        </is>
      </c>
      <c r="P200" s="35" t="inlineStr">
        <is>
          <t>Mock Rx20 UBU</t>
        </is>
      </c>
    </row>
    <row r="201" ht="13.2" customHeight="1" s="49">
      <c r="A201" s="33" t="n">
        <v>199</v>
      </c>
      <c r="B201" s="34"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35" t="n"/>
      <c r="D201" s="34" t="inlineStr">
        <is>
          <t>Isotretinoin 10 mg OD</t>
        </is>
      </c>
      <c r="E201" s="34" t="inlineStr">
        <is>
          <t>Terbinafine 1% cream</t>
        </is>
      </c>
      <c r="F201" s="34" t="inlineStr">
        <is>
          <t>Adapalene 0.1% gel</t>
        </is>
      </c>
      <c r="G201" s="34" t="inlineStr">
        <is>
          <t>Mupirocin 2% ointment</t>
        </is>
      </c>
      <c r="H201" s="34" t="inlineStr">
        <is>
          <t>Betamethasone dipropionate 0.05% cream</t>
        </is>
      </c>
      <c r="I201" s="33" t="inlineStr">
        <is>
          <t>1</t>
        </is>
      </c>
      <c r="J201" s="34"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35" t="n"/>
      <c r="L201" s="34" t="inlineStr">
        <is>
          <t>Urticaria &amp; Angioedema</t>
        </is>
      </c>
      <c r="M201" s="35" t="inlineStr">
        <is>
          <t>Clinic</t>
        </is>
      </c>
      <c r="N201" s="34" t="inlineStr">
        <is>
          <t>ข้อ 78 (PLE_CC1_Key_Rx20_UBU.md)</t>
        </is>
      </c>
      <c r="O201" s="35" t="inlineStr">
        <is>
          <t>Mock</t>
        </is>
      </c>
      <c r="P201" s="35" t="inlineStr">
        <is>
          <t>Mock Rx20 UBU</t>
        </is>
      </c>
    </row>
    <row r="202" ht="13.2" customHeight="1" s="49">
      <c r="A202" s="33" t="n">
        <v>200</v>
      </c>
      <c r="B202" s="34" t="inlineStr">
        <is>
          <t>ลักษณะสิวข$างต$นจัดอยูGในความรุนแรงระดับใด</t>
        </is>
      </c>
      <c r="C202" s="35" t="n"/>
      <c r="D202" s="34" t="inlineStr">
        <is>
          <t>Mupirocin 2% ointment</t>
        </is>
      </c>
      <c r="E202" s="34" t="inlineStr">
        <is>
          <t>Betamethasone dipropionate 0.05% cream</t>
        </is>
      </c>
      <c r="F202" s="34" t="inlineStr">
        <is>
          <t>Clotrimazole 1% cream</t>
        </is>
      </c>
      <c r="G202" s="34" t="inlineStr">
        <is>
          <t>Hydrocortisone 1% cream</t>
        </is>
      </c>
      <c r="H202" s="34" t="inlineStr">
        <is>
          <t>Triamcinolone acetonide 0.1% cream</t>
        </is>
      </c>
      <c r="I202" s="33" t="inlineStr">
        <is>
          <t>1</t>
        </is>
      </c>
      <c r="J202" s="34"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35" t="n"/>
      <c r="L202" s="34" t="inlineStr">
        <is>
          <t>Acne</t>
        </is>
      </c>
      <c r="M202" s="35" t="inlineStr">
        <is>
          <t>Clinic</t>
        </is>
      </c>
      <c r="N202" s="34" t="inlineStr">
        <is>
          <t>ข้อ 1 (PLE_CC1_Key_Rx20_UBU.md)</t>
        </is>
      </c>
      <c r="O202" s="35" t="inlineStr">
        <is>
          <t>Mock</t>
        </is>
      </c>
      <c r="P202" s="35" t="inlineStr">
        <is>
          <t>Mock Rx20 UBU</t>
        </is>
      </c>
    </row>
    <row r="203" ht="13.2" customHeight="1" s="49">
      <c r="A203" s="33" t="n">
        <v>201</v>
      </c>
      <c r="B203" s="34" t="inlineStr">
        <is>
          <t>ผู้ป่วยวัยรุ่นมีสิวอุดตันเป็นหลัก (Comedonal acne) ยาทาชนิดใดที่เลือกใช้เป็นอันดับแรก (First-line topical monotherapy)</t>
        </is>
      </c>
      <c r="C203" s="35" t="n"/>
      <c r="D203" s="34" t="inlineStr">
        <is>
          <t>Topical Retinoid (เช่น Adapalene หรือ Tretinoin)</t>
        </is>
      </c>
      <c r="E203" s="34" t="inlineStr">
        <is>
          <t>Topical Clindamycin gel เดี่ยวๆ</t>
        </is>
      </c>
      <c r="F203" s="34" t="inlineStr">
        <is>
          <t>Oral Doxycycline</t>
        </is>
      </c>
      <c r="G203" s="34" t="inlineStr">
        <is>
          <t>Oral Isotretinoin</t>
        </is>
      </c>
      <c r="H203" s="34" t="inlineStr">
        <is>
          <t>Hydrocortisone 1% cream</t>
        </is>
      </c>
      <c r="I203" s="33" t="n">
        <v>1</v>
      </c>
      <c r="J203" s="34"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35" t="n"/>
      <c r="L203" s="34" t="inlineStr">
        <is>
          <t>Acne</t>
        </is>
      </c>
      <c r="M203" s="35" t="inlineStr">
        <is>
          <t>Clinic</t>
        </is>
      </c>
      <c r="N203" s="34" t="inlineStr">
        <is>
          <t>ข้อ 2 (PLE_CC1_Key_Rx20_UBU.md)</t>
        </is>
      </c>
      <c r="O203" s="35" t="inlineStr">
        <is>
          <t>Mock</t>
        </is>
      </c>
      <c r="P203" s="35" t="inlineStr">
        <is>
          <t>Mock Rx20 UBU</t>
        </is>
      </c>
    </row>
    <row r="204" ht="13.2" customHeight="1" s="49">
      <c r="A204" s="33" t="n">
        <v>202</v>
      </c>
      <c r="B204" s="34" t="inlineStr">
        <is>
          <t>เชื้อแบคทีเรียประจำถิ่นที่เจริญในรูขุมขนและมีบทบาทสำคัญในการกระตุ้นการอักเสบของสิว (Acne vulgaris) คือเชื้อใด</t>
        </is>
      </c>
      <c r="C204" s="35" t="n"/>
      <c r="D204" s="34" t="inlineStr">
        <is>
          <t>Cutibacterium acnes (Propionibacterium acnes)</t>
        </is>
      </c>
      <c r="E204" s="34" t="inlineStr">
        <is>
          <t>Staphylococcus epidermidis</t>
        </is>
      </c>
      <c r="F204" s="34" t="inlineStr">
        <is>
          <t>Malassezia furfur</t>
        </is>
      </c>
      <c r="G204" s="34" t="inlineStr">
        <is>
          <t>Streptococcus pyogenes</t>
        </is>
      </c>
      <c r="H204" s="34" t="inlineStr">
        <is>
          <t>Pseudomonas aeruginosa</t>
        </is>
      </c>
      <c r="I204" s="33" t="n">
        <v>1</v>
      </c>
      <c r="J204" s="34" t="inlineStr">
        <is>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is>
      </c>
      <c r="K204" s="35" t="n"/>
      <c r="L204" s="34" t="inlineStr">
        <is>
          <t>Acne</t>
        </is>
      </c>
      <c r="M204" s="35" t="inlineStr">
        <is>
          <t>Clinic</t>
        </is>
      </c>
      <c r="N204" s="34" t="inlineStr">
        <is>
          <t>ข้อ 3 (PLE_CC1_Key_Rx20_UBU.md)</t>
        </is>
      </c>
      <c r="O204" s="35" t="inlineStr">
        <is>
          <t>Mock</t>
        </is>
      </c>
      <c r="P204" s="35" t="inlineStr">
        <is>
          <t>Mock Rx20 UBU</t>
        </is>
      </c>
    </row>
    <row r="205" ht="13.2" customHeight="1" s="49">
      <c r="A205" s="33" t="n">
        <v>203</v>
      </c>
      <c r="B205" s="34" t="inlineStr">
        <is>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is>
      </c>
      <c r="C205" s="35" t="n"/>
      <c r="D205" s="34" t="inlineStr">
        <is>
          <t>สิวระดับปานกลาง (Moderate acne)</t>
        </is>
      </c>
      <c r="E205" s="34" t="inlineStr">
        <is>
          <t>สิวระดับเล็กน้อย (Mild acne)</t>
        </is>
      </c>
      <c r="F205" s="34" t="inlineStr">
        <is>
          <t>สิวระดับรุนแรง (Severe acne)</t>
        </is>
      </c>
      <c r="G205" s="34" t="inlineStr">
        <is>
          <t>สิวหัวช้าง (Nodulocystic acne)</t>
        </is>
      </c>
      <c r="H205" s="34" t="inlineStr">
        <is>
          <t>สิวที่เกิดจากยา (Drug-induced acne)</t>
        </is>
      </c>
      <c r="I205" s="33" t="n">
        <v>1</v>
      </c>
      <c r="J205" s="34" t="inlineStr">
        <is>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is>
      </c>
      <c r="K205" s="35" t="n"/>
      <c r="L205" s="34" t="inlineStr">
        <is>
          <t>Acne</t>
        </is>
      </c>
      <c r="M205" s="35" t="inlineStr">
        <is>
          <t>Clinic</t>
        </is>
      </c>
      <c r="N205" s="34" t="inlineStr">
        <is>
          <t>ข้อ 4 (PLE_CC1_Key_Rx20_UBU.md)</t>
        </is>
      </c>
      <c r="O205" s="35" t="inlineStr">
        <is>
          <t>Mock</t>
        </is>
      </c>
      <c r="P205" s="35" t="inlineStr">
        <is>
          <t>Mock Rx20 UBU</t>
        </is>
      </c>
    </row>
    <row r="206" ht="13.2" customHeight="1" s="49">
      <c r="A206" s="33" t="n">
        <v>204</v>
      </c>
      <c r="B206" s="34" t="inlineStr">
        <is>
          <t>ข้อใดไม่ถูกต้องเกี่ยวกับยา Isotretinoin ชนิดรับประทานในการรักษาสิว</t>
        </is>
      </c>
      <c r="C206" s="35" t="n"/>
      <c r="D206" s="34" t="inlineStr">
        <is>
          <t>สามารถจ่ายให้กับหญิงวัยเจริญพันธุ์ได้ทันทีโดยไม่ต้องตรวจการตั้งครรภ์หรือคุมกำเนิด</t>
        </is>
      </c>
      <c r="E206" s="34" t="inlineStr">
        <is>
          <t>ควรรับประทานพร้อมอาหารหรือหลังอาหารทันทีเพื่อเพิ่มการดูดซึม</t>
        </is>
      </c>
      <c r="F206" s="34" t="inlineStr">
        <is>
          <t>ผลข้างเคียงเด่นคือ ริมฝีปากแห้ง ผิวแห้ง ตาแห้ง และเยื่อบุแห้ง</t>
        </is>
      </c>
      <c r="G206" s="34" t="inlineStr">
        <is>
          <t>อาจทำให้ระดับไตรกลีเซอไรด์และเอนไซม์การทำงานของตับในเลือดสูงขึ้นได้</t>
        </is>
      </c>
      <c r="H206" s="34" t="inlineStr">
        <is>
          <t>มีข้อห้ามใช้ร่วมกับยากลุ่ม Tetracyclines เนื่องจากเสี่ยงต่อภาวะ Pseudotumor cerebri</t>
        </is>
      </c>
      <c r="I206" s="33" t="n">
        <v>1</v>
      </c>
      <c r="J206" s="34"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35" t="n"/>
      <c r="L206" s="34" t="inlineStr">
        <is>
          <t>Acne</t>
        </is>
      </c>
      <c r="M206" s="35" t="inlineStr">
        <is>
          <t>Clinic</t>
        </is>
      </c>
      <c r="N206" s="34" t="inlineStr">
        <is>
          <t>ข้อ 6 (PLE_CC1_Key_Rx20_UBU.md)</t>
        </is>
      </c>
      <c r="O206" s="35" t="inlineStr">
        <is>
          <t>Mock</t>
        </is>
      </c>
      <c r="P206" s="35" t="inlineStr">
        <is>
          <t>Mock Rx20 UBU</t>
        </is>
      </c>
    </row>
    <row r="207" ht="13.2" customHeight="1" s="49">
      <c r="A207" s="33" t="n">
        <v>205</v>
      </c>
      <c r="B207" s="34" t="inlineStr">
        <is>
          <t>เชื้อในข้อใดเป็นสาเหตุสำคัญของการเกิดแผลติดเชื้อที่กระจกตา (Corneal ulcer) ในผู้ใส่คอนแทคเลนส์ที่อาจทำให้ตาบอดได้อย่างรวดเร็ว</t>
        </is>
      </c>
      <c r="C207" s="35" t="n"/>
      <c r="D207" s="34" t="inlineStr">
        <is>
          <t>Pseudomonas aeruginosa</t>
        </is>
      </c>
      <c r="E207" s="34" t="inlineStr">
        <is>
          <t>Cutibacterium acnes</t>
        </is>
      </c>
      <c r="F207" s="34" t="inlineStr">
        <is>
          <t>Malassezia furfur</t>
        </is>
      </c>
      <c r="G207" s="34" t="inlineStr">
        <is>
          <t>Trichophyton rubrum</t>
        </is>
      </c>
      <c r="H207" s="34" t="inlineStr">
        <is>
          <t>Sarcoptes scabiei</t>
        </is>
      </c>
      <c r="I207" s="33" t="n">
        <v>1</v>
      </c>
      <c r="J207" s="34"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35" t="n"/>
      <c r="L207" s="34" t="inlineStr">
        <is>
          <t>Infectious Diseases</t>
        </is>
      </c>
      <c r="M207" s="35" t="inlineStr">
        <is>
          <t>Clinic</t>
        </is>
      </c>
      <c r="N207" s="34" t="inlineStr">
        <is>
          <t>ข้อ 25 (PLE_CC1_Key_Rx20_UBU.md)</t>
        </is>
      </c>
      <c r="O207" s="35" t="inlineStr">
        <is>
          <t>Mock</t>
        </is>
      </c>
      <c r="P207" s="35" t="inlineStr">
        <is>
          <t>Mock Rx20 UBU</t>
        </is>
      </c>
    </row>
    <row r="208" ht="13.2" customHeight="1" s="49">
      <c r="A208" s="33" t="n">
        <v>206</v>
      </c>
      <c r="B208" s="34" t="inlineStr">
        <is>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is>
      </c>
      <c r="C208" s="35" t="n"/>
      <c r="D208" s="34" t="inlineStr">
        <is>
          <t>ยาอันตราย</t>
        </is>
      </c>
      <c r="E208" s="34" t="inlineStr">
        <is>
          <t>ยาควบคุมพิเศษ</t>
        </is>
      </c>
      <c r="F208" s="34" t="inlineStr">
        <is>
          <t>ยาสามัญประจำบ้านแผนปัจจุบัน</t>
        </is>
      </c>
      <c r="G208" s="34" t="inlineStr">
        <is>
          <t>ยาบรรจุเสร็จที่ไม่ใช่ยาอันตราย</t>
        </is>
      </c>
      <c r="H208" s="34" t="inlineStr">
        <is>
          <t>วัตถุออกฤทธิ์ต่อจิตและประสาทประเภท 4</t>
        </is>
      </c>
      <c r="I208" s="33" t="n">
        <v>1</v>
      </c>
      <c r="J208"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35" t="n"/>
      <c r="L208" s="34" t="inlineStr">
        <is>
          <t>Regulatory &amp; Quality</t>
        </is>
      </c>
      <c r="M208" s="35" t="inlineStr">
        <is>
          <t>Clinic</t>
        </is>
      </c>
      <c r="N208" s="34" t="inlineStr">
        <is>
          <t>ข้อ 3 (PLE_CC1_Key_Rx20_UBU.md)</t>
        </is>
      </c>
      <c r="O208" s="35" t="inlineStr">
        <is>
          <t>Mock</t>
        </is>
      </c>
      <c r="P208" s="35" t="inlineStr">
        <is>
          <t>Mock Rx20 UBU</t>
        </is>
      </c>
    </row>
    <row r="209" ht="13.2" customHeight="1" s="49">
      <c r="A209" s="33" t="n">
        <v>207</v>
      </c>
      <c r="B209" s="34" t="inlineStr">
        <is>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is>
      </c>
      <c r="C209" s="35" t="n"/>
      <c r="D209" s="34" t="inlineStr">
        <is>
          <t>ไม่เกิน 1 มิลลิลิตร</t>
        </is>
      </c>
      <c r="E209" s="34" t="inlineStr">
        <is>
          <t>ไม่เกิน 2 ถึง 5 มิลลิลิตร (ขึ้นกับขนาดกล้ามเนื้อ)</t>
        </is>
      </c>
      <c r="F209" s="34" t="inlineStr">
        <is>
          <t>ไม่เกิน 10 มิลลิลิตร</t>
        </is>
      </c>
      <c r="G209" s="34" t="inlineStr">
        <is>
          <t>ไม่เกิน 15 มิลลิลิตร</t>
        </is>
      </c>
      <c r="H209" s="34" t="inlineStr">
        <is>
          <t>ไม่จำกัดปริมาตรหากฉีดช้าๆ</t>
        </is>
      </c>
      <c r="I209" s="33" t="n">
        <v>2</v>
      </c>
      <c r="J209" s="34"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35" t="n"/>
      <c r="L209" s="34" t="inlineStr">
        <is>
          <t>Pharmaceutics</t>
        </is>
      </c>
      <c r="M209" s="35" t="inlineStr">
        <is>
          <t>Clinic</t>
        </is>
      </c>
      <c r="N209" s="34" t="inlineStr">
        <is>
          <t>ข้อ 5 (PLE_CC1_Key_Rx20_UBU.md)</t>
        </is>
      </c>
      <c r="O209" s="35" t="inlineStr">
        <is>
          <t>Mock</t>
        </is>
      </c>
      <c r="P209" s="35" t="inlineStr">
        <is>
          <t>Mock Rx20 UBU</t>
        </is>
      </c>
    </row>
    <row r="210" ht="13.2" customHeight="1" s="49">
      <c r="A210" s="33" t="n">
        <v>208</v>
      </c>
      <c r="B210" s="34" t="inlineStr">
        <is>
          <t>ข$อใดไมGใชGวิธีการปฐมพยาบาลเบื้องต$นที่เหมาะสม</t>
        </is>
      </c>
      <c r="C210" s="35" t="n"/>
      <c r="D210" s="34" t="inlineStr">
        <is>
          <t>ล$างแผลด$วยน้ำสบูGปริมาณมาก</t>
        </is>
      </c>
      <c r="E210" s="34" t="inlineStr">
        <is>
          <t>เช็ดแผลด$วย Chlorhexidine</t>
        </is>
      </c>
      <c r="F210" s="34" t="inlineStr">
        <is>
          <t>เช็ดแผลด$วย Rubbing alcohol</t>
        </is>
      </c>
      <c r="G210" s="34" t="inlineStr">
        <is>
          <t>ทานยาแก$ปวด Paracetamol ได$ตามสมควร</t>
        </is>
      </c>
      <c r="H210" s="34" t="inlineStr">
        <is>
          <t>ทาครีม Clindamycin เพื่อฆGาเชื้อแบคทีเรีย (จากแนวทางการดำเนินงานปนองกันควบคุมโรคพิษสุนัขบ$า 2560)</t>
        </is>
      </c>
      <c r="I210" s="33" t="inlineStr">
        <is>
          <t>2</t>
        </is>
      </c>
      <c r="J210" s="34"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35" t="n"/>
      <c r="L210" s="34" t="inlineStr">
        <is>
          <t>Superficial fungal</t>
        </is>
      </c>
      <c r="M210" s="35" t="inlineStr">
        <is>
          <t>Clinic</t>
        </is>
      </c>
      <c r="N210" s="34" t="inlineStr">
        <is>
          <t>ข้อ 92 (PLE_CC1_Key_Rx20_UBU.md)</t>
        </is>
      </c>
      <c r="O210" s="35" t="inlineStr">
        <is>
          <t>Mock</t>
        </is>
      </c>
      <c r="P210" s="35" t="inlineStr">
        <is>
          <t>Mock Rx20 UBU</t>
        </is>
      </c>
    </row>
    <row r="211" ht="13.2" customHeight="1" s="49">
      <c r="A211" s="33" t="n">
        <v>209</v>
      </c>
      <c r="B211" s="34" t="inlineStr">
        <is>
          <t>ปัจจัยใดน่าจะเป็นสาเหตุที่ทำให้ผู้ป่วยเป็นโรคดังกล่าวมากที่สุด</t>
        </is>
      </c>
      <c r="C211" s="35" t="n"/>
      <c r="D211" s="34" t="inlineStr">
        <is>
          <t>ใส่เสื้อผ้าอับชื้น</t>
        </is>
      </c>
      <c r="E211" s="34" t="inlineStr">
        <is>
          <t>น้ำที่ใช้อาบไม่สะอาด</t>
        </is>
      </c>
      <c r="F211" s="34" t="inlineStr">
        <is>
          <t>เคยเป็นเริมที่ผิวหนัง</t>
        </is>
      </c>
      <c r="G211" s="34" t="inlineStr">
        <is>
          <t>สูบบุหรี่</t>
        </is>
      </c>
      <c r="H211" s="34" t="inlineStr">
        <is>
          <t>โรคความดันโลหิตสูง ตอบ ก. ใส่เสื้อผ้าอับชื้น</t>
        </is>
      </c>
      <c r="I211" s="33" t="inlineStr">
        <is>
          <t>1</t>
        </is>
      </c>
      <c r="J211" s="34"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35" t="n"/>
      <c r="L211" s="34" t="inlineStr">
        <is>
          <t>Superficial fungal</t>
        </is>
      </c>
      <c r="M211" s="35" t="inlineStr">
        <is>
          <t>Clinic</t>
        </is>
      </c>
      <c r="N211" s="34" t="inlineStr">
        <is>
          <t>ข้อ 2 (PLE_CC1_Key_Rx20_UBU.md)</t>
        </is>
      </c>
      <c r="O211" s="35" t="inlineStr">
        <is>
          <t>Mock</t>
        </is>
      </c>
      <c r="P211" s="35" t="inlineStr">
        <is>
          <t>Mock Rx20 UBU</t>
        </is>
      </c>
    </row>
    <row r="212" ht="13.2" customHeight="1" s="49">
      <c r="A212" s="33" t="n">
        <v>210</v>
      </c>
      <c r="B212" s="34" t="inlineStr">
        <is>
          <t>ยาที่ผู้ป่วยควรได้รับ</t>
        </is>
      </c>
      <c r="C212" s="35" t="n"/>
      <c r="D212" s="34" t="inlineStr">
        <is>
          <t>Griseofluvin</t>
        </is>
      </c>
      <c r="E212" s="34" t="inlineStr">
        <is>
          <t>Itraconazole</t>
        </is>
      </c>
      <c r="F212" s="34" t="inlineStr">
        <is>
          <t>Ketoclonazole</t>
        </is>
      </c>
      <c r="G212" s="34" t="inlineStr">
        <is>
          <t>Teribinafine</t>
        </is>
      </c>
      <c r="H212" s="34" t="inlineStr">
        <is>
          <t>Benzyl benzoate ตอบ ข. Itraconazole</t>
        </is>
      </c>
      <c r="I212" s="33" t="inlineStr">
        <is>
          <t>1</t>
        </is>
      </c>
      <c r="J212" s="34"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35" t="n"/>
      <c r="L212" s="34" t="inlineStr">
        <is>
          <t>Superficial fungal</t>
        </is>
      </c>
      <c r="M212" s="35" t="inlineStr">
        <is>
          <t>Clinic</t>
        </is>
      </c>
      <c r="N212" s="34" t="inlineStr">
        <is>
          <t>ข้อ 3 (PLE_CC1_Key_Rx20_UBU.md)</t>
        </is>
      </c>
      <c r="O212" s="35" t="inlineStr">
        <is>
          <t>Mock</t>
        </is>
      </c>
      <c r="P212" s="35" t="inlineStr">
        <is>
          <t>Mock Rx20 UBU</t>
        </is>
      </c>
    </row>
    <row r="213" ht="13.2" customHeight="1" s="49">
      <c r="A213" s="33" t="n">
        <v>211</v>
      </c>
      <c r="B213" s="34" t="inlineStr">
        <is>
          <t>ยาใดมีพิษต่อตับมากที่สุด</t>
        </is>
      </c>
      <c r="C213" s="35" t="n"/>
      <c r="D213" s="34" t="inlineStr">
        <is>
          <t>Griseofluvin</t>
        </is>
      </c>
      <c r="E213" s="34" t="inlineStr">
        <is>
          <t>Itraconazole</t>
        </is>
      </c>
      <c r="F213" s="34" t="inlineStr">
        <is>
          <t>Ketoclonazole</t>
        </is>
      </c>
      <c r="G213" s="34" t="inlineStr">
        <is>
          <t>Terbenafine</t>
        </is>
      </c>
      <c r="H213" s="34" t="inlineStr">
        <is>
          <t>… ตอบ ค. Ketoclonazole</t>
        </is>
      </c>
      <c r="I213" s="33" t="inlineStr">
        <is>
          <t>1</t>
        </is>
      </c>
      <c r="J213" s="34"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อันดับแรกในระดับสากล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35" t="n"/>
      <c r="L213" s="34" t="inlineStr">
        <is>
          <t>Superficial fungal</t>
        </is>
      </c>
      <c r="M213" s="35" t="inlineStr">
        <is>
          <t>Clinic</t>
        </is>
      </c>
      <c r="N213" s="34" t="inlineStr">
        <is>
          <t>ข้อ 6 (PLE_CC1_Key_Rx20_UBU.md)</t>
        </is>
      </c>
      <c r="O213" s="35" t="inlineStr">
        <is>
          <t>Mock</t>
        </is>
      </c>
      <c r="P213" s="35" t="inlineStr">
        <is>
          <t>Mock Rx20 UBU</t>
        </is>
      </c>
    </row>
    <row r="214" ht="13.2" customHeight="1" s="49">
      <c r="A214" s="33" t="n">
        <v>212</v>
      </c>
      <c r="B214" s="34" t="inlineStr">
        <is>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is>
      </c>
      <c r="C214" s="35" t="n"/>
      <c r="D214" s="34" t="inlineStr">
        <is>
          <t>Measles (โรคหัด)</t>
        </is>
      </c>
      <c r="E214" s="34" t="inlineStr">
        <is>
          <t>Rubella (หัดเยอรมัน)</t>
        </is>
      </c>
      <c r="F214" s="34" t="inlineStr">
        <is>
          <t>Chickenpox (อีสุกอีใส)</t>
        </is>
      </c>
      <c r="G214" s="34" t="inlineStr">
        <is>
          <t>Roseola infantum</t>
        </is>
      </c>
      <c r="H214" s="34" t="inlineStr">
        <is>
          <t>Scarlet fever</t>
        </is>
      </c>
      <c r="I214" s="33" t="n">
        <v>1</v>
      </c>
      <c r="J214" s="34"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35" t="n"/>
      <c r="L214" s="34" t="inlineStr">
        <is>
          <t>Viral Skin Infection</t>
        </is>
      </c>
      <c r="M214" s="35" t="inlineStr">
        <is>
          <t>Clinic</t>
        </is>
      </c>
      <c r="N214" s="34" t="inlineStr">
        <is>
          <t>ข้อ 5 (PLE_CC1_Key_Rx20_UBU.md)</t>
        </is>
      </c>
      <c r="O214" s="35" t="inlineStr">
        <is>
          <t>Mock</t>
        </is>
      </c>
      <c r="P214" s="35" t="inlineStr">
        <is>
          <t>Mock Rx20 UBU</t>
        </is>
      </c>
    </row>
    <row r="215" ht="13.2" customHeight="1" s="49">
      <c r="A215" s="33" t="n">
        <v>213</v>
      </c>
      <c r="B215" s="34" t="inlineStr">
        <is>
          <t>Norfloxacin ต่อมาผู้ป่วยมีอาการตกขาวซ้ำ มีอาการคัน แพทยวินิจฉัย เป็นตกขาวจากเชื้อรา จึงได้สั่งจายยา fluconazole ให้</t>
        </is>
      </c>
      <c r="C215" s="35" t="n"/>
      <c r="D215" s="34" t="inlineStr">
        <is>
          <t>Isotretinoin 10 mg OD</t>
        </is>
      </c>
      <c r="E215" s="34" t="inlineStr">
        <is>
          <t>Terbinafine 1% cream</t>
        </is>
      </c>
      <c r="F215" s="34" t="inlineStr">
        <is>
          <t>Adapalene 0.1% gel</t>
        </is>
      </c>
      <c r="G215" s="34" t="inlineStr">
        <is>
          <t>Mupirocin 2% ointment</t>
        </is>
      </c>
      <c r="H215" s="34" t="inlineStr">
        <is>
          <t>Betamethasone dipropionate 0.05% cream</t>
        </is>
      </c>
      <c r="I215" s="33" t="inlineStr">
        <is>
          <t>5</t>
        </is>
      </c>
      <c r="J215" s="34"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35" t="n"/>
      <c r="L215" s="34" t="inlineStr">
        <is>
          <t>Superficial fungal</t>
        </is>
      </c>
      <c r="M215" s="35" t="inlineStr">
        <is>
          <t>Clinic</t>
        </is>
      </c>
      <c r="N215" s="34" t="inlineStr">
        <is>
          <t>ข้อ 5 (PLE_CC1_Key_Rx20_UBU.md)</t>
        </is>
      </c>
      <c r="O215" s="35" t="inlineStr">
        <is>
          <t>Mock</t>
        </is>
      </c>
      <c r="P215" s="35" t="inlineStr">
        <is>
          <t>Mock Rx20 UBU</t>
        </is>
      </c>
    </row>
    <row r="216" ht="13.2" customHeight="1" s="49">
      <c r="A216" s="33" t="n">
        <v>214</v>
      </c>
      <c r="B216" s="34" t="inlineStr">
        <is>
          <t>ข้อใดน่าจะเป็นสาเหตุของ Toxic epidermal necrolyisis นี้</t>
        </is>
      </c>
      <c r="C216" s="35" t="n"/>
      <c r="D216" s="34" t="inlineStr">
        <is>
          <t>Mupirocin 2% ointment</t>
        </is>
      </c>
      <c r="E216" s="34" t="inlineStr">
        <is>
          <t>Betamethasone dipropionate 0.05% cream</t>
        </is>
      </c>
      <c r="F216" s="34" t="inlineStr">
        <is>
          <t>Clotrimazole 1% cream</t>
        </is>
      </c>
      <c r="G216" s="34" t="inlineStr">
        <is>
          <t>Hydrocortisone 1% cream</t>
        </is>
      </c>
      <c r="H216" s="34" t="inlineStr">
        <is>
          <t>Triamcinolone acetonide 0.1% cream</t>
        </is>
      </c>
      <c r="I216" s="33" t="inlineStr">
        <is>
          <t>1</t>
        </is>
      </c>
      <c r="J216" s="34"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35" t="n"/>
      <c r="L216" s="34" t="inlineStr">
        <is>
          <t>Superficial fungal</t>
        </is>
      </c>
      <c r="M216" s="35" t="inlineStr">
        <is>
          <t>Clinic</t>
        </is>
      </c>
      <c r="N216" s="34" t="inlineStr">
        <is>
          <t>ข้อ 1 (PLE_CC1_Key_Rx20_UBU.md)</t>
        </is>
      </c>
      <c r="O216" s="35" t="inlineStr">
        <is>
          <t>Mock</t>
        </is>
      </c>
      <c r="P216" s="35" t="inlineStr">
        <is>
          <t>Mock Rx20 UBU</t>
        </is>
      </c>
    </row>
    <row r="217" ht="13.2" customHeight="1" s="49">
      <c r="A217" s="33" t="n">
        <v>215</v>
      </c>
      <c r="B217" s="34" t="inlineStr">
        <is>
          <t>ข้อใดไม่ใช่ลักษณะที่แพทย์ใช้แยกภาวะ Toxic Epidermal Necrolysis (TEN) ออกจาก Stevens-Johnson Syndrome (SJS)</t>
        </is>
      </c>
      <c r="C217" s="35" t="n"/>
      <c r="D217" s="34" t="inlineStr">
        <is>
          <t>พื้นที่ผิวหนังหลุดลอก (Detachment of BSA) มากกว่า 30%</t>
        </is>
      </c>
      <c r="E217" s="34" t="inlineStr">
        <is>
          <t>อาการแสดงของ Nikolsky sign ให้ผลบวก</t>
        </is>
      </c>
      <c r="F217" s="34" t="inlineStr">
        <is>
          <t>อัตราการเสียชีวิต (Mortality rate) ของ TEN สูงกว่า SJS อย่างมีนัยสำคัญ</t>
        </is>
      </c>
      <c r="G217" s="34" t="inlineStr">
        <is>
          <t>รอยโรคในเยื่อบุ (Mucosal involvement) รุนแรงและกว้างขวางกว่า</t>
        </is>
      </c>
      <c r="H217" s="34" t="inlineStr">
        <is>
          <t>การเกิดผื่นเป็นผลมาจากปฏิกิริยา Type I IgE-mediated hypersensitivity</t>
        </is>
      </c>
      <c r="I217" s="33" t="n">
        <v>5</v>
      </c>
      <c r="J217" s="34"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35" t="n"/>
      <c r="L217" s="34" t="inlineStr">
        <is>
          <t>ADR &amp; Allergy</t>
        </is>
      </c>
      <c r="M217" s="35" t="inlineStr">
        <is>
          <t>Clinic</t>
        </is>
      </c>
      <c r="N217" s="34" t="inlineStr">
        <is>
          <t>ข้อ 2 (PLE_CC1_Key_Rx20_UBU.md)</t>
        </is>
      </c>
      <c r="O217" s="35" t="inlineStr">
        <is>
          <t>Mock</t>
        </is>
      </c>
      <c r="P217" s="35" t="inlineStr">
        <is>
          <t>Mock Rx20 UBU</t>
        </is>
      </c>
    </row>
    <row r="218" ht="13.2" customHeight="1" s="49">
      <c r="A218" s="33" t="n">
        <v>216</v>
      </c>
      <c r="B218" s="34" t="inlineStr">
        <is>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is>
      </c>
      <c r="C218" s="35" t="n"/>
      <c r="D218" s="34" t="inlineStr">
        <is>
          <t>Toxic Epidermal Necrolysis (TEN)</t>
        </is>
      </c>
      <c r="E218" s="34" t="inlineStr">
        <is>
          <t>Stevens-Johnson Syndrome (SJS)</t>
        </is>
      </c>
      <c r="F218" s="34" t="inlineStr">
        <is>
          <t>SJS/TEN overlap</t>
        </is>
      </c>
      <c r="G218" s="34" t="inlineStr">
        <is>
          <t>Exfoliative dermatitis</t>
        </is>
      </c>
      <c r="H218" s="34" t="inlineStr">
        <is>
          <t>Staphylococcal Scalded Skin Syndrome (SSSS)</t>
        </is>
      </c>
      <c r="I218" s="33" t="n">
        <v>1</v>
      </c>
      <c r="J218" s="34" t="inlineStr">
        <is>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is>
      </c>
      <c r="K218" s="35" t="n"/>
      <c r="L218" s="34" t="inlineStr">
        <is>
          <t>ADR &amp; Allergy</t>
        </is>
      </c>
      <c r="M218" s="35" t="inlineStr">
        <is>
          <t>Clinic</t>
        </is>
      </c>
      <c r="N218" s="34" t="inlineStr">
        <is>
          <t>ข้อ 2 (PLE_CC1_Key_Rx20_UBU.md)</t>
        </is>
      </c>
      <c r="O218" s="35" t="inlineStr">
        <is>
          <t>Mock</t>
        </is>
      </c>
      <c r="P218" s="35" t="inlineStr">
        <is>
          <t>Mock Rx20 UBU</t>
        </is>
      </c>
    </row>
    <row r="219" ht="13.2" customHeight="1" s="49">
      <c r="A219" s="33" t="n">
        <v>217</v>
      </c>
      <c r="B219" s="34" t="inlineStr">
        <is>
          <t>เหตุผลสำคัญที่สุดในการทำการทดสอบทางผิวหนัง (Skin test) ก่อนให้เซรุ่มแก้พิษงูที่เตรียมจากม้า (Equine antivenom) คือข้อใด</t>
        </is>
      </c>
      <c r="C219" s="35" t="n"/>
      <c r="D219" s="34" t="inlineStr">
        <is>
          <t>เพื่อประเมินความเสี่ยงต่อการเกิด Immediate IgE-mediated anaphylaxis จากโปรตีนแปลกปลอมของม้า</t>
        </is>
      </c>
      <c r="E219" s="34" t="inlineStr">
        <is>
          <t>เพื่อตรวจวัดระดับภูมิต้านทานต่อพิษงูที่มีอยู่เดิมในร่างกายผู้ป่วย</t>
        </is>
      </c>
      <c r="F219" s="34" t="inlineStr">
        <is>
          <t>เพื่อคำนวณขนาดยาเซรุ่มที่ต้องใช้ในการรักษาให้แม่นยำขึ้น</t>
        </is>
      </c>
      <c r="G219" s="34" t="inlineStr">
        <is>
          <t>เพื่อป้องกันการเกิดภาวะไตวายเฉียบพลันจากพิษงู</t>
        </is>
      </c>
      <c r="H219" s="34" t="inlineStr">
        <is>
          <t>เพื่อทดสอบประสิทธิภาพในการทำลายพิษงูของเซรุ่ม</t>
        </is>
      </c>
      <c r="I219" s="33" t="n">
        <v>1</v>
      </c>
      <c r="J219" s="34"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35" t="n"/>
      <c r="L219" s="34" t="inlineStr">
        <is>
          <t>Toxicology &amp; ADR</t>
        </is>
      </c>
      <c r="M219" s="35" t="inlineStr">
        <is>
          <t>Clinic</t>
        </is>
      </c>
      <c r="N219" s="34" t="inlineStr">
        <is>
          <t>ข้อ 1 (PLE_CC1_Key_Rx20_UBU.md)</t>
        </is>
      </c>
      <c r="O219" s="35" t="inlineStr">
        <is>
          <t>Mock</t>
        </is>
      </c>
      <c r="P219" s="35" t="inlineStr">
        <is>
          <t>Mock Rx20 UBU</t>
        </is>
      </c>
    </row>
    <row r="220" ht="13.2" customHeight="1" s="49">
      <c r="A220" s="33" t="n">
        <v>218</v>
      </c>
      <c r="B220" s="34" t="inlineStr">
        <is>
          <t>ข้อใดต่อไปนี้ถูกต้องเกี่ยวกับเกลื้อน</t>
        </is>
      </c>
      <c r="C220" s="35" t="n"/>
      <c r="D220" s="34" t="inlineStr">
        <is>
          <t>เกิดจากเชื้อ Malassezia furfur</t>
        </is>
      </c>
      <c r="E220" s="34" t="inlineStr">
        <is>
          <t>หากมีอาการรุนแรง จะเป็นขุย แดง คัน</t>
        </is>
      </c>
      <c r="F220" s="34" t="inlineStr">
        <is>
          <t>เมื่อทดสอบด้วย 10% KOH แล้วนาไปส่องกล้องจุลทรรศน์ จะเห็น long pseudohyphae</t>
        </is>
      </c>
      <c r="G220" s="34" t="inlineStr">
        <is>
          <t>ใช้ยาทา Topical selenium sulfide ในการรักษา</t>
        </is>
      </c>
      <c r="H220" s="34" t="inlineStr">
        <is>
          <t>หากเป็นโรคบ่อยๆ ควรได้รับยาป้องกัน</t>
        </is>
      </c>
      <c r="I220" s="33" t="inlineStr">
        <is>
          <t>1</t>
        </is>
      </c>
      <c r="J220" s="34"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35" t="n"/>
      <c r="L220" s="34" t="inlineStr">
        <is>
          <t>Superficial fungal</t>
        </is>
      </c>
      <c r="M220" s="35" t="inlineStr">
        <is>
          <t>Clinic</t>
        </is>
      </c>
      <c r="N220" s="34" t="inlineStr">
        <is>
          <t>ข้อ 11 (PLE_CC1_Key_Rx20_UBU.md)</t>
        </is>
      </c>
      <c r="O220" s="35" t="inlineStr">
        <is>
          <t>Mock</t>
        </is>
      </c>
      <c r="P220" s="35" t="inlineStr">
        <is>
          <t>Mock Rx20 UBU</t>
        </is>
      </c>
    </row>
    <row r="221" ht="13.2" customHeight="1" s="49">
      <c r="A221" s="33" t="n">
        <v>219</v>
      </c>
      <c r="B221" s="34" t="inlineStr">
        <is>
          <t>หากไม่มียา Fluocinolone acetonide 0.01% เภสัชกรสามารถจ่ายยาใดแทนได้</t>
        </is>
      </c>
      <c r="C221" s="35" t="n"/>
      <c r="D221" s="34" t="inlineStr">
        <is>
          <t>Betamethasone dipropionate 0.05%</t>
        </is>
      </c>
      <c r="E221" s="34" t="inlineStr">
        <is>
          <t>Clobetasol propionate 0.05%</t>
        </is>
      </c>
      <c r="F221" s="34" t="inlineStr">
        <is>
          <t>Dexosimethasone 0.05%</t>
        </is>
      </c>
      <c r="G221" s="34" t="inlineStr">
        <is>
          <t>Triamcinolone acetonide 0.1%</t>
        </is>
      </c>
      <c r="H221" s="34" t="inlineStr">
        <is>
          <t>Hydrocortisone acetate 0.5% คำอธิบาย</t>
        </is>
      </c>
      <c r="I221" s="33" t="inlineStr">
        <is>
          <t>5</t>
        </is>
      </c>
      <c r="J221" s="34"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35" t="n"/>
      <c r="L221" s="34" t="inlineStr">
        <is>
          <t>Superficial fungal</t>
        </is>
      </c>
      <c r="M221" s="35" t="inlineStr">
        <is>
          <t>Clinic</t>
        </is>
      </c>
      <c r="N221" s="34" t="inlineStr">
        <is>
          <t>ข้อ 93 (PLE_CC1_Key_Rx20_UBU.md)</t>
        </is>
      </c>
      <c r="O221" s="35" t="inlineStr">
        <is>
          <t>Mock</t>
        </is>
      </c>
      <c r="P221" s="35" t="inlineStr">
        <is>
          <t>Mock Rx20 UBU</t>
        </is>
      </c>
    </row>
    <row r="222" ht="13.2" customHeight="1" s="49">
      <c r="A222" s="33" t="n">
        <v>220</v>
      </c>
      <c r="B222" s="34" t="inlineStr">
        <is>
          <t>ผู้ป่วยควรได้รับยาในข้อใดเพิ่ม</t>
        </is>
      </c>
      <c r="C222" s="35" t="n"/>
      <c r="D222" s="34" t="inlineStr">
        <is>
          <t>Topical tretinoin</t>
        </is>
      </c>
      <c r="E222" s="34" t="inlineStr">
        <is>
          <t>Oral tretinoin</t>
        </is>
      </c>
      <c r="F222" s="34" t="inlineStr">
        <is>
          <t>Oral antibiotic</t>
        </is>
      </c>
      <c r="G222" s="34" t="inlineStr">
        <is>
          <t>contraceptive pills (Progestin only)</t>
        </is>
      </c>
      <c r="H222" s="34" t="inlineStr">
        <is>
          <t>Combined oral contraceptives ที่มีฤทธิ์ anti-androgen</t>
        </is>
      </c>
      <c r="I222" s="33" t="inlineStr">
        <is>
          <t>1</t>
        </is>
      </c>
      <c r="J222" s="34"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35" t="n"/>
      <c r="L222" s="34" t="inlineStr">
        <is>
          <t>Superficial fungal</t>
        </is>
      </c>
      <c r="M222" s="35" t="inlineStr">
        <is>
          <t>Clinic</t>
        </is>
      </c>
      <c r="N222" s="34" t="inlineStr">
        <is>
          <t>ข้อ 2 (PLE_CC1_Key_Rx20_UBU.md)</t>
        </is>
      </c>
      <c r="O222" s="35" t="inlineStr">
        <is>
          <t>Mock</t>
        </is>
      </c>
      <c r="P222" s="35" t="inlineStr">
        <is>
          <t>Mock Rx20 UBU</t>
        </is>
      </c>
    </row>
    <row r="223" ht="13.2" customHeight="1" s="49">
      <c r="A223" s="33" t="n">
        <v>221</v>
      </c>
      <c r="B223" s="34" t="inlineStr">
        <is>
          <t>ผลข้างเคียงข้อใดไม่ใช่ผลข้างเคียงของ Topical tretinoin</t>
        </is>
      </c>
      <c r="C223" s="35" t="n"/>
      <c r="D223" s="34" t="inlineStr">
        <is>
          <t>Acne sores</t>
        </is>
      </c>
      <c r="E223" s="34" t="inlineStr">
        <is>
          <t>Erythema</t>
        </is>
      </c>
      <c r="F223" s="34" t="inlineStr">
        <is>
          <t>Peeling</t>
        </is>
      </c>
      <c r="G223" s="34" t="inlineStr">
        <is>
          <t>Phototoxicity</t>
        </is>
      </c>
      <c r="H223" s="34" t="inlineStr">
        <is>
          <t>Skin hyperpigmentation</t>
        </is>
      </c>
      <c r="I223" s="33" t="inlineStr">
        <is>
          <t>1</t>
        </is>
      </c>
      <c r="J223" s="34"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35" t="n"/>
      <c r="L223" s="34" t="inlineStr">
        <is>
          <t>Superficial fungal</t>
        </is>
      </c>
      <c r="M223" s="35" t="inlineStr">
        <is>
          <t>Clinic</t>
        </is>
      </c>
      <c r="N223" s="34" t="inlineStr">
        <is>
          <t>ข้อ 3 (PLE_CC1_Key_Rx20_UBU.md)</t>
        </is>
      </c>
      <c r="O223" s="35" t="inlineStr">
        <is>
          <t>Mock</t>
        </is>
      </c>
      <c r="P223" s="35" t="inlineStr">
        <is>
          <t>Mock Rx20 UBU</t>
        </is>
      </c>
    </row>
    <row r="224" ht="13.2" customHeight="1" s="49">
      <c r="A224" s="33" t="n">
        <v>222</v>
      </c>
      <c r="B224" s="34" t="inlineStr">
        <is>
          <t>ศึกษาเปรียบเทียบความคุ้มค่าของการใช้ clotrimazole 500 mg OD กับ clotrimazole 100 mg 6 days ใช้แนวทางการศึกษาแบบไหนดีที่สุด</t>
        </is>
      </c>
      <c r="C224" s="35" t="n"/>
      <c r="D224" s="34" t="inlineStr">
        <is>
          <t>Cost analysis</t>
        </is>
      </c>
      <c r="E224" s="34" t="inlineStr">
        <is>
          <t>Cost benefit analysis</t>
        </is>
      </c>
      <c r="F224" s="34" t="inlineStr">
        <is>
          <t>Cost minimize analysis</t>
        </is>
      </c>
      <c r="G224" s="34" t="inlineStr">
        <is>
          <t>Cost-Effectiveness Analysis (CEA)</t>
        </is>
      </c>
      <c r="H224" s="34" t="inlineStr">
        <is>
          <t>Cost-Utility Analysis (CUA)</t>
        </is>
      </c>
      <c r="I224" s="33" t="n">
        <v>4</v>
      </c>
      <c r="J224" s="34"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35" t="n"/>
      <c r="L224" s="34" t="inlineStr">
        <is>
          <t>Pharmacoeconomics</t>
        </is>
      </c>
      <c r="M224" s="35" t="inlineStr">
        <is>
          <t>Clinic</t>
        </is>
      </c>
      <c r="N224" s="34" t="inlineStr">
        <is>
          <t>ข้อ 36 (PLE_CC1_Key_Rx20_UBU.md)</t>
        </is>
      </c>
      <c r="O224" s="35" t="inlineStr">
        <is>
          <t>Mock</t>
        </is>
      </c>
      <c r="P224" s="35" t="inlineStr">
        <is>
          <t>Mock Rx20 UBU</t>
        </is>
      </c>
    </row>
    <row r="225" ht="13.2" customHeight="1" s="49">
      <c r="A225" t="n">
        <v>223</v>
      </c>
      <c r="B225"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D225" t="inlineStr">
        <is>
          <t>Clindamycin 1% topical solution</t>
        </is>
      </c>
      <c r="E225" t="inlineStr">
        <is>
          <t>Mupirocin 2% ointment</t>
        </is>
      </c>
      <c r="F225" t="inlineStr">
        <is>
          <t>Gentamicin 0.1% cream</t>
        </is>
      </c>
      <c r="G225" t="inlineStr">
        <is>
          <t>Silver sulfadiazine cream</t>
        </is>
      </c>
      <c r="H225" t="inlineStr">
        <is>
          <t>Acyclovir 5% cream</t>
        </is>
      </c>
      <c r="I225" t="n">
        <v>1</v>
      </c>
      <c r="J225"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L225" t="inlineStr">
        <is>
          <t>Dermatologic Comorbidities</t>
        </is>
      </c>
      <c r="M225" t="inlineStr">
        <is>
          <t>Clinic</t>
        </is>
      </c>
      <c r="N225" t="inlineStr">
        <is>
          <t>PLE_CC1_2567_Set1_Key ข้อ 57</t>
        </is>
      </c>
    </row>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Q187"/>
  <sheetViews>
    <sheetView workbookViewId="0">
      <pane ySplit="2" topLeftCell="A164" activePane="bottomLeft" state="frozen"/>
      <selection pane="bottomLeft" activeCell="A3" sqref="A3:P187"/>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49">
      <c r="A3" s="33" t="n">
        <v>1</v>
      </c>
      <c r="B3" s="34"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35" t="n"/>
      <c r="D3" s="34" t="inlineStr">
        <is>
          <t>Glipizide 5 mg OD</t>
        </is>
      </c>
      <c r="E3" s="34" t="inlineStr">
        <is>
          <t>Metformin 500 mg BID</t>
        </is>
      </c>
      <c r="F3" s="34" t="inlineStr">
        <is>
          <t>Pioglitazone 15 mg OD</t>
        </is>
      </c>
      <c r="G3" s="34" t="inlineStr">
        <is>
          <t>Sitagliptin 100 mg OD</t>
        </is>
      </c>
      <c r="H3" s="34" t="inlineStr">
        <is>
          <t>Insulin glargine 10 units SC bedtime</t>
        </is>
      </c>
      <c r="I3" s="33" t="inlineStr">
        <is>
          <t>2</t>
        </is>
      </c>
      <c r="J3" s="34"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35" t="n"/>
      <c r="L3" s="34" t="inlineStr">
        <is>
          <t>Diabetes mellitus</t>
        </is>
      </c>
      <c r="M3" s="35" t="inlineStr">
        <is>
          <t>Clinic</t>
        </is>
      </c>
      <c r="N3" s="34" t="inlineStr">
        <is>
          <t>ADA Standards of Care</t>
        </is>
      </c>
      <c r="O3" s="35" t="inlineStr">
        <is>
          <t>ข้อสอบจริง</t>
        </is>
      </c>
      <c r="P3" s="33" t="inlineStr">
        <is>
          <t>2566</t>
        </is>
      </c>
    </row>
    <row r="4" ht="13.2" customHeight="1" s="49">
      <c r="A4" s="33" t="n">
        <v>2</v>
      </c>
      <c r="B4"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35" t="n"/>
      <c r="D4" s="34" t="inlineStr">
        <is>
          <t>Blood glucose &gt; 150 mg/dL</t>
        </is>
      </c>
      <c r="E4" s="34" t="inlineStr">
        <is>
          <t>HbA1c &lt; 7%</t>
        </is>
      </c>
      <c r="F4" s="34" t="inlineStr">
        <is>
          <t>ปัสสาวะมากกว่า 3 ลิตร/วัน</t>
        </is>
      </c>
      <c r="G4" s="34" t="inlineStr">
        <is>
          <t>Insulin ในเลือดต่ำ</t>
        </is>
      </c>
      <c r="H4" s="34" t="inlineStr">
        <is>
          <t>Glucose tolerance test &gt; 200 mg/dL</t>
        </is>
      </c>
      <c r="I4" s="33" t="inlineStr">
        <is>
          <t>5</t>
        </is>
      </c>
      <c r="J4" s="34"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35" t="n"/>
      <c r="L4" s="34" t="inlineStr">
        <is>
          <t>Diabetes mellitus</t>
        </is>
      </c>
      <c r="M4" s="35" t="inlineStr">
        <is>
          <t>Clinic</t>
        </is>
      </c>
      <c r="N4" s="34" t="inlineStr">
        <is>
          <t>ข้อ 1 ชุด 1 (เฉลยข้อ จ)</t>
        </is>
      </c>
      <c r="O4" s="35" t="inlineStr">
        <is>
          <t>Mock</t>
        </is>
      </c>
      <c r="P4" s="35" t="inlineStr">
        <is>
          <t>ชุด 1</t>
        </is>
      </c>
    </row>
    <row r="5" ht="13.2" customHeight="1" s="49">
      <c r="A5" s="33" t="n">
        <v>3</v>
      </c>
      <c r="B5"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35" t="n"/>
      <c r="D5" s="34" t="inlineStr">
        <is>
          <t>Hypoglycemia</t>
        </is>
      </c>
      <c r="E5" s="34" t="inlineStr">
        <is>
          <t>Hyperglycemia</t>
        </is>
      </c>
      <c r="F5" s="34" t="inlineStr">
        <is>
          <t>Hypervolemia</t>
        </is>
      </c>
      <c r="G5" s="34" t="inlineStr">
        <is>
          <t>Hypovolemia</t>
        </is>
      </c>
      <c r="H5" s="34" t="inlineStr">
        <is>
          <t>Hypertension</t>
        </is>
      </c>
      <c r="I5" s="33" t="inlineStr">
        <is>
          <t>1</t>
        </is>
      </c>
      <c r="J5" s="34"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35" t="n"/>
      <c r="L5" s="34" t="inlineStr">
        <is>
          <t>Diabetes mellitus</t>
        </is>
      </c>
      <c r="M5" s="35" t="inlineStr">
        <is>
          <t>Clinic</t>
        </is>
      </c>
      <c r="N5" s="34" t="inlineStr">
        <is>
          <t>ข้อ 2 ชุด 1 (เฉลยข้อ ก)</t>
        </is>
      </c>
      <c r="O5" s="35" t="inlineStr">
        <is>
          <t>Mock</t>
        </is>
      </c>
      <c r="P5" s="35" t="inlineStr">
        <is>
          <t>ชุด 1</t>
        </is>
      </c>
    </row>
    <row r="6" ht="13.2" customHeight="1" s="49">
      <c r="A6" s="33" t="n">
        <v>4</v>
      </c>
      <c r="B6"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35" t="n"/>
      <c r="D6" s="34" t="inlineStr">
        <is>
          <t>หยุดยา แล้วไปพบแพทย์</t>
        </is>
      </c>
      <c r="E6" s="34" t="inlineStr">
        <is>
          <t>ลดขนาดยา</t>
        </is>
      </c>
      <c r="F6" s="34" t="inlineStr">
        <is>
          <t>ให้ดื่มน้ำหวาน</t>
        </is>
      </c>
      <c r="G6" s="34" t="inlineStr">
        <is>
          <t>เพิ่มขนาดยา</t>
        </is>
      </c>
      <c r="H6" s="34" t="inlineStr">
        <is>
          <t>งดการดื่มกาแฟ</t>
        </is>
      </c>
      <c r="I6" s="33" t="inlineStr">
        <is>
          <t>3</t>
        </is>
      </c>
      <c r="J6" s="34"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35" t="n"/>
      <c r="L6" s="34" t="inlineStr">
        <is>
          <t>Diabetes mellitus</t>
        </is>
      </c>
      <c r="M6" s="35" t="inlineStr">
        <is>
          <t>Clinic</t>
        </is>
      </c>
      <c r="N6" s="34" t="inlineStr">
        <is>
          <t>ข้อ 3 ชุด 1 (เฉลยข้อ ค)</t>
        </is>
      </c>
      <c r="O6" s="35" t="inlineStr">
        <is>
          <t>Mock</t>
        </is>
      </c>
      <c r="P6" s="35" t="inlineStr">
        <is>
          <t>ชุด 1</t>
        </is>
      </c>
    </row>
    <row r="7" ht="13.2" customHeight="1" s="49">
      <c r="A7" s="33" t="n">
        <v>5</v>
      </c>
      <c r="B7" s="34" t="inlineStr">
        <is>
          <t>ข้อใด ไม่ใช่ ภาวะแทรกซ้อนระยะยาวของโรคเบาหวาน</t>
        </is>
      </c>
      <c r="C7" s="35" t="n"/>
      <c r="D7" s="34" t="inlineStr">
        <is>
          <t>Retinopathy</t>
        </is>
      </c>
      <c r="E7" s="34" t="inlineStr">
        <is>
          <t>Nephropathy</t>
        </is>
      </c>
      <c r="F7" s="34" t="inlineStr">
        <is>
          <t>Neuropathy</t>
        </is>
      </c>
      <c r="G7" s="34" t="inlineStr">
        <is>
          <t>Glaucoma</t>
        </is>
      </c>
      <c r="H7" s="34" t="inlineStr">
        <is>
          <t>Atherosclerosis</t>
        </is>
      </c>
      <c r="I7" s="33" t="n">
        <v>4</v>
      </c>
      <c r="J7" s="34"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35" t="n"/>
      <c r="L7" s="34" t="inlineStr">
        <is>
          <t>Diabetes mellitus</t>
        </is>
      </c>
      <c r="M7" s="35" t="inlineStr">
        <is>
          <t>Clinic</t>
        </is>
      </c>
      <c r="N7" s="34" t="inlineStr">
        <is>
          <t>ข้อ 4 ชุด 1 (เฉลยข้อ )</t>
        </is>
      </c>
      <c r="O7" s="35" t="inlineStr">
        <is>
          <t>Mock</t>
        </is>
      </c>
      <c r="P7" s="35" t="inlineStr">
        <is>
          <t>ชุด 1</t>
        </is>
      </c>
    </row>
    <row r="8" ht="13.2" customHeight="1" s="49">
      <c r="A8" s="33" t="n">
        <v>6</v>
      </c>
      <c r="B8" s="34" t="inlineStr">
        <is>
          <t>ในโรงพยาบาลมี glipizide MR 30 mg แต่แพทย์ต้องการใช้ 15 mg สามารถแบ่งได้หรือไม่</t>
        </is>
      </c>
      <c r="C8" s="35" t="n"/>
      <c r="D8" s="34" t="inlineStr">
        <is>
          <t>แบ่งได้ เพราะได้ปริมาณยาเท่ากัน</t>
        </is>
      </c>
      <c r="E8" s="34" t="inlineStr">
        <is>
          <t>แบ่งได้ หักแบ่งแล้วละลายน้ำ</t>
        </is>
      </c>
      <c r="F8" s="34" t="inlineStr">
        <is>
          <t>แบ่งไม่ได้ เพราะมีผลต่อการปลดปล่อยยา</t>
        </is>
      </c>
      <c r="G8" s="34" t="inlineStr">
        <is>
          <t>แบ่งไม่ได้ เพราะตัวยาที่ได้อาจไม่เท่ากัน</t>
        </is>
      </c>
      <c r="H8" s="34" t="inlineStr">
        <is>
          <t>แบ่งไม่ได้ เพราะยาสลายตัวเมื่อสัมผัสสิ่งแวดล้อม</t>
        </is>
      </c>
      <c r="I8" s="33" t="inlineStr">
        <is>
          <t>3</t>
        </is>
      </c>
      <c r="J8" s="34"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35" t="n"/>
      <c r="L8" s="34" t="inlineStr">
        <is>
          <t>Diabetes mellitus</t>
        </is>
      </c>
      <c r="M8" s="35" t="inlineStr">
        <is>
          <t>Clinic</t>
        </is>
      </c>
      <c r="N8" s="34" t="inlineStr">
        <is>
          <t>ข้อ 5 ชุด 1 (เฉลยข้อ ค)</t>
        </is>
      </c>
      <c r="O8" s="35" t="inlineStr">
        <is>
          <t>Mock</t>
        </is>
      </c>
      <c r="P8" s="35" t="inlineStr">
        <is>
          <t>ชุด 1</t>
        </is>
      </c>
    </row>
    <row r="9" ht="13.2" customHeight="1" s="49">
      <c r="A9" s="33" t="n">
        <v>7</v>
      </c>
      <c r="B9" s="34" t="inlineStr">
        <is>
          <t>ข้อใดคือกลไกการออกฤทธิ์ของยา chlorpropamide</t>
        </is>
      </c>
      <c r="C9" s="35" t="n"/>
      <c r="D9" s="34" t="inlineStr">
        <is>
          <t>กระตุ้นการหลั่งอินซูลิน</t>
        </is>
      </c>
      <c r="E9" s="34" t="inlineStr">
        <is>
          <t>เพิ่มความไวของอินซูลินที่กล้ามเนื้อ</t>
        </is>
      </c>
      <c r="F9" s="34" t="inlineStr">
        <is>
          <t>ลดการดูดซึมน้ำตาลในทางเดินอาหาร</t>
        </is>
      </c>
      <c r="G9" s="34" t="inlineStr">
        <is>
          <t>ยับยั้งการย่อยน้ำตาลในลำไส้</t>
        </is>
      </c>
      <c r="H9" s="34" t="inlineStr">
        <is>
          <t>ลดการสร้างน้ำตาลกลูโคสในตับ</t>
        </is>
      </c>
      <c r="I9" s="33" t="inlineStr">
        <is>
          <t>1</t>
        </is>
      </c>
      <c r="J9" s="34"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35" t="n"/>
      <c r="L9" s="34" t="inlineStr">
        <is>
          <t>Diabetes mellitus</t>
        </is>
      </c>
      <c r="M9" s="35" t="inlineStr">
        <is>
          <t>Clinic</t>
        </is>
      </c>
      <c r="N9" s="34" t="inlineStr">
        <is>
          <t>ข้อ 6 ชุด 1 (เฉลยข้อ ก)</t>
        </is>
      </c>
      <c r="O9" s="35" t="inlineStr">
        <is>
          <t>Mock</t>
        </is>
      </c>
      <c r="P9" s="35" t="inlineStr">
        <is>
          <t>ชุด 1</t>
        </is>
      </c>
    </row>
    <row r="10" ht="13.2" customHeight="1" s="49">
      <c r="A10" s="33" t="n">
        <v>8</v>
      </c>
      <c r="B10" s="34" t="inlineStr">
        <is>
          <t>ยาฉีดอินซูลินในข้อใดที่ออกฤทธิ์แบบ intermediate</t>
        </is>
      </c>
      <c r="C10" s="35" t="n"/>
      <c r="D10" s="34" t="inlineStr">
        <is>
          <t>Regular insulin</t>
        </is>
      </c>
      <c r="E10" s="34" t="inlineStr">
        <is>
          <t>Neutral insulin</t>
        </is>
      </c>
      <c r="F10" s="34" t="inlineStr">
        <is>
          <t>NPH insulin</t>
        </is>
      </c>
      <c r="G10" s="34" t="inlineStr">
        <is>
          <t>Insulin lispro</t>
        </is>
      </c>
      <c r="H10" s="34" t="inlineStr">
        <is>
          <t>Insulin glargine</t>
        </is>
      </c>
      <c r="I10" s="33" t="inlineStr">
        <is>
          <t>3</t>
        </is>
      </c>
      <c r="J10" s="34"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35" t="n"/>
      <c r="L10" s="34" t="inlineStr">
        <is>
          <t>Diabetes mellitus</t>
        </is>
      </c>
      <c r="M10" s="35" t="inlineStr">
        <is>
          <t>Clinic</t>
        </is>
      </c>
      <c r="N10" s="34" t="inlineStr">
        <is>
          <t>ข้อ 7 ชุด 1 (เฉลยข้อ ค)</t>
        </is>
      </c>
      <c r="O10" s="35" t="inlineStr">
        <is>
          <t>Mock</t>
        </is>
      </c>
      <c r="P10" s="35" t="inlineStr">
        <is>
          <t>ชุด 1</t>
        </is>
      </c>
    </row>
    <row r="11" ht="13.2" customHeight="1" s="49">
      <c r="A11" s="33" t="n">
        <v>9</v>
      </c>
      <c r="B11" s="34"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35" t="n"/>
      <c r="D11" s="34" t="inlineStr">
        <is>
          <t>DM type 2</t>
        </is>
      </c>
      <c r="E11" s="34" t="inlineStr">
        <is>
          <t>DM type 1</t>
        </is>
      </c>
      <c r="F11" s="34" t="inlineStr">
        <is>
          <t>Gestational DM</t>
        </is>
      </c>
      <c r="G11" s="34" t="inlineStr">
        <is>
          <t>Classification DM</t>
        </is>
      </c>
      <c r="H11" s="34" t="inlineStr">
        <is>
          <t>DM type 3</t>
        </is>
      </c>
      <c r="I11" s="33" t="inlineStr">
        <is>
          <t>1</t>
        </is>
      </c>
      <c r="J11" s="34"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35" t="n"/>
      <c r="L11" s="34" t="inlineStr">
        <is>
          <t>Diabetes mellitus</t>
        </is>
      </c>
      <c r="M11" s="35" t="inlineStr">
        <is>
          <t>Clinic</t>
        </is>
      </c>
      <c r="N11" s="34" t="inlineStr">
        <is>
          <t>ข้อ 8 ชุด 1 (เฉลยข้อ ก)</t>
        </is>
      </c>
      <c r="O11" s="35" t="inlineStr">
        <is>
          <t>Mock</t>
        </is>
      </c>
      <c r="P11" s="35" t="inlineStr">
        <is>
          <t>ชุด 1</t>
        </is>
      </c>
    </row>
    <row r="12" ht="13.2" customHeight="1" s="49">
      <c r="A12" s="33" t="n">
        <v>10</v>
      </c>
      <c r="B12" s="34" t="inlineStr">
        <is>
          <t>Drug of choice ในการรักษา DM ตาม ADA Guideline คือยาใด</t>
        </is>
      </c>
      <c r="C12" s="35" t="n"/>
      <c r="D12" s="34" t="inlineStr">
        <is>
          <t>Metformin</t>
        </is>
      </c>
      <c r="E12" s="34" t="inlineStr">
        <is>
          <t>Sulfonylurea</t>
        </is>
      </c>
      <c r="F12" s="34" t="inlineStr">
        <is>
          <t>TZDs</t>
        </is>
      </c>
      <c r="G12" s="34" t="inlineStr">
        <is>
          <t>Insulin</t>
        </is>
      </c>
      <c r="H12" s="34" t="inlineStr">
        <is>
          <t>Alpha-glucosidase</t>
        </is>
      </c>
      <c r="I12" s="33" t="inlineStr">
        <is>
          <t>1</t>
        </is>
      </c>
      <c r="J12" s="34"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35" t="n"/>
      <c r="L12" s="34" t="inlineStr">
        <is>
          <t>Diabetes mellitus</t>
        </is>
      </c>
      <c r="M12" s="35" t="inlineStr">
        <is>
          <t>Clinic</t>
        </is>
      </c>
      <c r="N12" s="34" t="inlineStr">
        <is>
          <t>ข้อ 9 ชุด 1 (เฉลยข้อ ก)</t>
        </is>
      </c>
      <c r="O12" s="35" t="inlineStr">
        <is>
          <t>Mock</t>
        </is>
      </c>
      <c r="P12" s="35" t="inlineStr">
        <is>
          <t>ชุด 1</t>
        </is>
      </c>
    </row>
    <row r="13" ht="13.2" customHeight="1" s="49">
      <c r="A13" s="33" t="n">
        <v>11</v>
      </c>
      <c r="B13" s="34" t="inlineStr">
        <is>
          <t>เป้าหมายของโรคเบาหวานในผู้ป่วยทั่วไป ตาม ADA Guideline คือ</t>
        </is>
      </c>
      <c r="C13" s="35" t="n"/>
      <c r="D13" s="34" t="inlineStr">
        <is>
          <t>HbA1C &lt; 6.5</t>
        </is>
      </c>
      <c r="E13" s="34" t="inlineStr">
        <is>
          <t>HbA1C &lt; 7</t>
        </is>
      </c>
      <c r="F13" s="34" t="inlineStr">
        <is>
          <t>HbA1C &lt; 7.5</t>
        </is>
      </c>
      <c r="G13" s="34" t="inlineStr">
        <is>
          <t>HbA1C &lt; 8</t>
        </is>
      </c>
      <c r="H13" s="34" t="inlineStr">
        <is>
          <t>HbA1C &lt; 8.5</t>
        </is>
      </c>
      <c r="I13" s="33" t="inlineStr">
        <is>
          <t>2</t>
        </is>
      </c>
      <c r="J13" s="34"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35" t="n"/>
      <c r="L13" s="34" t="inlineStr">
        <is>
          <t>Diabetes mellitus</t>
        </is>
      </c>
      <c r="M13" s="35" t="inlineStr">
        <is>
          <t>Clinic</t>
        </is>
      </c>
      <c r="N13" s="34" t="inlineStr">
        <is>
          <t>ข้อ 10 ชุด 1 (เฉลยข้อ ข)</t>
        </is>
      </c>
      <c r="O13" s="35" t="inlineStr">
        <is>
          <t>Mock</t>
        </is>
      </c>
      <c r="P13" s="35" t="inlineStr">
        <is>
          <t>ชุด 1</t>
        </is>
      </c>
    </row>
    <row r="14" ht="13.2" customHeight="1" s="49">
      <c r="A14" s="33" t="n">
        <v>12</v>
      </c>
      <c r="B14" s="34" t="inlineStr">
        <is>
          <t>ข้อใดไม่ใช่ S/E ของยาลดระดับน้ำตาลชนิดรับประทาน</t>
        </is>
      </c>
      <c r="C14" s="35" t="n"/>
      <c r="D14" s="34" t="inlineStr">
        <is>
          <t>Lipoatrophy</t>
        </is>
      </c>
      <c r="E14" s="34" t="inlineStr">
        <is>
          <t>Hypoglycemia</t>
        </is>
      </c>
      <c r="F14" s="34" t="inlineStr">
        <is>
          <t>Ketonuria</t>
        </is>
      </c>
      <c r="G14" s="34" t="inlineStr">
        <is>
          <t>Hepatotoxic</t>
        </is>
      </c>
      <c r="H14" s="34" t="inlineStr">
        <is>
          <t>Lactic acidosis</t>
        </is>
      </c>
      <c r="I14" s="33" t="inlineStr">
        <is>
          <t>1</t>
        </is>
      </c>
      <c r="J14" s="34"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35" t="n"/>
      <c r="L14" s="34" t="inlineStr">
        <is>
          <t>Diabetes mellitus</t>
        </is>
      </c>
      <c r="M14" s="35" t="inlineStr">
        <is>
          <t>Clinic</t>
        </is>
      </c>
      <c r="N14" s="34" t="inlineStr">
        <is>
          <t>ข้อ 11 ชุด 1 (เฉลยข้อ ก)</t>
        </is>
      </c>
      <c r="O14" s="35" t="inlineStr">
        <is>
          <t>Mock</t>
        </is>
      </c>
      <c r="P14" s="35" t="inlineStr">
        <is>
          <t>ชุด 1</t>
        </is>
      </c>
    </row>
    <row r="15" ht="13.2" customHeight="1" s="49">
      <c r="A15" s="33" t="n">
        <v>13</v>
      </c>
      <c r="B15" s="34"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35" t="n"/>
      <c r="D15" s="34" t="inlineStr">
        <is>
          <t>Rapid acting</t>
        </is>
      </c>
      <c r="E15" s="34" t="inlineStr">
        <is>
          <t>Short acting</t>
        </is>
      </c>
      <c r="F15" s="34" t="inlineStr">
        <is>
          <t>Inhaler</t>
        </is>
      </c>
      <c r="G15" s="34" t="inlineStr">
        <is>
          <t>Long acting</t>
        </is>
      </c>
      <c r="H15" s="34" t="inlineStr">
        <is>
          <t>Intermediate</t>
        </is>
      </c>
      <c r="I15" s="33" t="inlineStr">
        <is>
          <t>4</t>
        </is>
      </c>
      <c r="J15" s="34"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35" t="n"/>
      <c r="L15" s="34" t="inlineStr">
        <is>
          <t>Diabetes mellitus</t>
        </is>
      </c>
      <c r="M15" s="35" t="inlineStr">
        <is>
          <t>Clinic</t>
        </is>
      </c>
      <c r="N15" s="34" t="inlineStr">
        <is>
          <t>ข้อ 12 ชุด 1 (เฉลยข้อ ง)</t>
        </is>
      </c>
      <c r="O15" s="35" t="inlineStr">
        <is>
          <t>Mock</t>
        </is>
      </c>
      <c r="P15" s="35" t="inlineStr">
        <is>
          <t>ชุด 1</t>
        </is>
      </c>
    </row>
    <row r="16" ht="13.2" customHeight="1" s="49">
      <c r="A16" s="33" t="n">
        <v>14</v>
      </c>
      <c r="B16"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35" t="n"/>
      <c r="D16" s="34" t="inlineStr">
        <is>
          <t>พ่อ แม่มีประวัติเป็นโรคเบาหวานและความดันโลหิตสูง</t>
        </is>
      </c>
      <c r="E16" s="34" t="inlineStr">
        <is>
          <t>แม่เสียชีวิตด้วยโรคหัวใจและหลอดเลือด</t>
        </is>
      </c>
      <c r="F16" s="34" t="inlineStr">
        <is>
          <t>มีประวัติชอบสูบบุหรี่</t>
        </is>
      </c>
      <c r="G16" s="34" t="inlineStr">
        <is>
          <t>ออกกำลังกาย 1-2 ครั้งต่อเดือน</t>
        </is>
      </c>
      <c r="H16" s="34" t="inlineStr">
        <is>
          <t>ชอบรับประทานอาหารเค็ม</t>
        </is>
      </c>
      <c r="I16" s="33" t="inlineStr">
        <is>
          <t>2</t>
        </is>
      </c>
      <c r="J16" s="34"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35" t="n"/>
      <c r="L16" s="34" t="inlineStr">
        <is>
          <t>Diabetes mellitus</t>
        </is>
      </c>
      <c r="M16" s="35" t="inlineStr">
        <is>
          <t>Clinic</t>
        </is>
      </c>
      <c r="N16" s="34" t="inlineStr">
        <is>
          <t>ข้อ 13 ชุด 1 (เฉลยข้อ ข)</t>
        </is>
      </c>
      <c r="O16" s="35" t="inlineStr">
        <is>
          <t>Mock</t>
        </is>
      </c>
      <c r="P16" s="35" t="inlineStr">
        <is>
          <t>ชุด 1</t>
        </is>
      </c>
    </row>
    <row r="17" ht="13.2" customHeight="1" s="49">
      <c r="A17" s="33" t="n">
        <v>15</v>
      </c>
      <c r="B17"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35" t="n"/>
      <c r="D17" s="34" t="inlineStr">
        <is>
          <t>แม่เป็นเบาหวานและความดัน</t>
        </is>
      </c>
      <c r="E17" s="34" t="inlineStr">
        <is>
          <t>แม่ตายด้วยโรคหัวใจขาดเลือด</t>
        </is>
      </c>
      <c r="F17" s="34" t="inlineStr">
        <is>
          <t>สูบบุหรี่วันละ 20 มวน</t>
        </is>
      </c>
      <c r="G17" s="34" t="inlineStr">
        <is>
          <t>ออกกำลังกาย 1-2 ครั้ง/เดือน</t>
        </is>
      </c>
      <c r="H17" s="34" t="inlineStr">
        <is>
          <t>ดื่มไวน์ 1-2 แก้ว/เดือน</t>
        </is>
      </c>
      <c r="I17" s="33" t="inlineStr">
        <is>
          <t>1</t>
        </is>
      </c>
      <c r="J17" s="34"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35" t="n"/>
      <c r="L17" s="34" t="inlineStr">
        <is>
          <t>Diabetes mellitus</t>
        </is>
      </c>
      <c r="M17" s="35" t="inlineStr">
        <is>
          <t>Clinic</t>
        </is>
      </c>
      <c r="N17" s="34" t="inlineStr">
        <is>
          <t>ข้อ 14 ชุด 1 (เฉลยข้อ ก)</t>
        </is>
      </c>
      <c r="O17" s="35" t="inlineStr">
        <is>
          <t>Mock</t>
        </is>
      </c>
      <c r="P17" s="35" t="inlineStr">
        <is>
          <t>ชุด 1</t>
        </is>
      </c>
    </row>
    <row r="18" ht="13.2" customHeight="1" s="49">
      <c r="A18" s="33" t="n">
        <v>16</v>
      </c>
      <c r="B18"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35" t="n"/>
      <c r="D18" s="34" t="inlineStr">
        <is>
          <t>งดสูบบุหรี่</t>
        </is>
      </c>
      <c r="E18" s="34" t="inlineStr">
        <is>
          <t>ลดอาหารเค็ม</t>
        </is>
      </c>
      <c r="F18" s="34" t="inlineStr">
        <is>
          <t>ลดน้ำหนัก</t>
        </is>
      </c>
      <c r="G18" s="34" t="inlineStr">
        <is>
          <t>ออกกำลังกายเพิ่มเติม</t>
        </is>
      </c>
      <c r="H18" s="34" t="inlineStr">
        <is>
          <t>ลดการบริโภคน้ำตาล</t>
        </is>
      </c>
      <c r="I18" s="33" t="inlineStr">
        <is>
          <t>2</t>
        </is>
      </c>
      <c r="J18" s="34"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35" t="n"/>
      <c r="L18" s="34" t="inlineStr">
        <is>
          <t>Diabetes mellitus</t>
        </is>
      </c>
      <c r="M18" s="35" t="inlineStr">
        <is>
          <t>Clinic</t>
        </is>
      </c>
      <c r="N18" s="34" t="inlineStr">
        <is>
          <t>ข้อ 15 ชุด 1 (เฉลยข้อ ข)</t>
        </is>
      </c>
      <c r="O18" s="35" t="inlineStr">
        <is>
          <t>Mock</t>
        </is>
      </c>
      <c r="P18" s="35" t="inlineStr">
        <is>
          <t>ชุด 1</t>
        </is>
      </c>
    </row>
    <row r="19" ht="13.2" customHeight="1" s="49">
      <c r="A19" s="33" t="n">
        <v>17</v>
      </c>
      <c r="B19"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35" t="n"/>
      <c r="D19" s="34" t="inlineStr">
        <is>
          <t>ผู้ป่วยเป็น pre-diabetes ให้เปลี่ยนพฤติกรรมการกิน และคอยตรวจเป็นประจำทุก 1-3 ปี</t>
        </is>
      </c>
      <c r="E19" s="34" t="inlineStr">
        <is>
          <t>สงสัยว่าผู้ป่วยเป็นเบาหวาน แนะนำให้ออกกำลังกาย</t>
        </is>
      </c>
      <c r="F19" s="34" t="inlineStr">
        <is>
          <t>เป็น DM type 2 ต้องรีบให้ยาพร้อมปรับเปลี่ยนพฤติกรรมเพื่อรักษาผู้ป่วย</t>
        </is>
      </c>
      <c r="G19" s="34" t="inlineStr">
        <is>
          <t>ผู้ป่วยเป็น pre-diabetes แนะนำให้มาเจาะเลือดทุก 3 ปี</t>
        </is>
      </c>
      <c r="H19" s="34" t="inlineStr">
        <is>
          <t>ผู้ป่วยเป็น DM type 2 ให้รีบส่งต่อผู้ป่วย</t>
        </is>
      </c>
      <c r="I19" s="33" t="inlineStr">
        <is>
          <t>3</t>
        </is>
      </c>
      <c r="J19" s="34"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35" t="n"/>
      <c r="L19" s="34" t="inlineStr">
        <is>
          <t>Diabetes mellitus</t>
        </is>
      </c>
      <c r="M19" s="35" t="inlineStr">
        <is>
          <t>Clinic</t>
        </is>
      </c>
      <c r="N19" s="34" t="inlineStr">
        <is>
          <t>ข้อ 16 ชุด 1 (เฉลยข้อ ค)</t>
        </is>
      </c>
      <c r="O19" s="35" t="inlineStr">
        <is>
          <t>Mock</t>
        </is>
      </c>
      <c r="P19" s="35" t="inlineStr">
        <is>
          <t>ชุด 1</t>
        </is>
      </c>
    </row>
    <row r="20" ht="13.2" customHeight="1" s="49">
      <c r="A20" s="33" t="n">
        <v>18</v>
      </c>
      <c r="B20" s="34" t="inlineStr">
        <is>
          <t>2 ปีต่อมา ผู้ป่วยมาพบแพทย์ มีค่า Lab ดังนี้
FBS 210 mg% จ่าย Metformin 1x2 60
ค่าผลปฏิบัติการใดที่บ่งบอกว่าผู้ป่วยเป็น hyperglycemia</t>
        </is>
      </c>
      <c r="C20" s="35" t="n"/>
      <c r="D20" s="34" t="inlineStr">
        <is>
          <t>FBS 210%</t>
        </is>
      </c>
      <c r="E20" s="34" t="inlineStr">
        <is>
          <t>Cholesterol</t>
        </is>
      </c>
      <c r="F20" s="34" t="inlineStr">
        <is>
          <t>LDL</t>
        </is>
      </c>
      <c r="G20" s="34" t="inlineStr">
        <is>
          <t>HDL 35%</t>
        </is>
      </c>
      <c r="H20" s="34" t="inlineStr">
        <is>
          <t>TGS</t>
        </is>
      </c>
      <c r="I20" s="33" t="inlineStr">
        <is>
          <t>1</t>
        </is>
      </c>
      <c r="J20" s="34"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35" t="n"/>
      <c r="L20" s="34" t="inlineStr">
        <is>
          <t>Diabetes mellitus</t>
        </is>
      </c>
      <c r="M20" s="35" t="inlineStr">
        <is>
          <t>Clinic</t>
        </is>
      </c>
      <c r="N20" s="34" t="inlineStr">
        <is>
          <t>ข้อ 17 ชุด 1 (เฉลยข้อ ก)</t>
        </is>
      </c>
      <c r="O20" s="35" t="inlineStr">
        <is>
          <t>Mock</t>
        </is>
      </c>
      <c r="P20" s="35" t="inlineStr">
        <is>
          <t>ชุด 1</t>
        </is>
      </c>
    </row>
    <row r="21" ht="13.2" customHeight="1" s="49">
      <c r="A21" s="33" t="n">
        <v>19</v>
      </c>
      <c r="B21" s="34" t="inlineStr">
        <is>
          <t>2 ปีต่อมา ผู้ป่วยมาพบแพทย์ มีค่า Lab ดังนี้
FBS 210 mg% จ่าย Metformin 1x2 60
ยาที่แพทย์สั่งจ่ายอยู่ในกลุ่มใด</t>
        </is>
      </c>
      <c r="C21" s="35" t="n"/>
      <c r="D21" s="34" t="inlineStr">
        <is>
          <t>Biguanide</t>
        </is>
      </c>
      <c r="E21" s="34" t="inlineStr">
        <is>
          <t>Glitazone</t>
        </is>
      </c>
      <c r="F21" s="34" t="inlineStr">
        <is>
          <t>Sulfonylurea</t>
        </is>
      </c>
      <c r="G21" s="34" t="inlineStr">
        <is>
          <t>GLP-1 analogue</t>
        </is>
      </c>
      <c r="H21" s="34" t="inlineStr">
        <is>
          <t>Incretin analogue</t>
        </is>
      </c>
      <c r="I21" s="33" t="inlineStr">
        <is>
          <t>1</t>
        </is>
      </c>
      <c r="J21" s="34"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35" t="n"/>
      <c r="L21" s="34" t="inlineStr">
        <is>
          <t>Diabetes mellitus</t>
        </is>
      </c>
      <c r="M21" s="35" t="inlineStr">
        <is>
          <t>Clinic</t>
        </is>
      </c>
      <c r="N21" s="34" t="inlineStr">
        <is>
          <t>ข้อ 18 ชุด 1 (เฉลยข้อ ก)</t>
        </is>
      </c>
      <c r="O21" s="35" t="inlineStr">
        <is>
          <t>Mock</t>
        </is>
      </c>
      <c r="P21" s="35" t="inlineStr">
        <is>
          <t>ชุด 1</t>
        </is>
      </c>
    </row>
    <row r="22" ht="13.2" customHeight="1" s="49">
      <c r="A22" s="33" t="n">
        <v>20</v>
      </c>
      <c r="B22" s="34" t="inlineStr">
        <is>
          <t>อาการไม่พึงประสงค์ที่เกิดขึ้นบ่อยจากยาตัวนี้</t>
        </is>
      </c>
      <c r="C22" s="35" t="n"/>
      <c r="D22" s="34" t="inlineStr">
        <is>
          <t>Anorexia</t>
        </is>
      </c>
      <c r="E22" s="34" t="inlineStr">
        <is>
          <t>Flatulence</t>
        </is>
      </c>
      <c r="F22" s="34" t="inlineStr">
        <is>
          <t>Constipation</t>
        </is>
      </c>
      <c r="G22" s="34" t="inlineStr">
        <is>
          <t>Lactic acidosis</t>
        </is>
      </c>
      <c r="H22" s="34" t="inlineStr">
        <is>
          <t>Hypoglycemia</t>
        </is>
      </c>
      <c r="I22" s="33" t="inlineStr">
        <is>
          <t>1</t>
        </is>
      </c>
      <c r="J22" s="34"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35" t="n"/>
      <c r="L22" s="34" t="inlineStr">
        <is>
          <t>Diabetes mellitus</t>
        </is>
      </c>
      <c r="M22" s="35" t="inlineStr">
        <is>
          <t>Clinic</t>
        </is>
      </c>
      <c r="N22" s="34" t="inlineStr">
        <is>
          <t>ข้อ 19 ชุด 1 (เฉลยข้อ ก)</t>
        </is>
      </c>
      <c r="O22" s="35" t="inlineStr">
        <is>
          <t>Mock</t>
        </is>
      </c>
      <c r="P22" s="35" t="inlineStr">
        <is>
          <t>ชุด 1</t>
        </is>
      </c>
    </row>
    <row r="23" ht="13.2" customHeight="1" s="49">
      <c r="A23" s="33" t="n">
        <v>21</v>
      </c>
      <c r="B23"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35" t="n"/>
      <c r="D23" s="34" t="inlineStr">
        <is>
          <t>Flatulence</t>
        </is>
      </c>
      <c r="E23" s="34" t="inlineStr">
        <is>
          <t>Hypoglycemia</t>
        </is>
      </c>
      <c r="F23" s="34" t="inlineStr">
        <is>
          <t>Dizziness</t>
        </is>
      </c>
      <c r="G23" s="34" t="inlineStr">
        <is>
          <t>Headache</t>
        </is>
      </c>
      <c r="H23" s="34" t="inlineStr">
        <is>
          <t>Photosensitivity</t>
        </is>
      </c>
      <c r="I23" s="33" t="inlineStr">
        <is>
          <t>1</t>
        </is>
      </c>
      <c r="J23" s="34"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35" t="n"/>
      <c r="L23" s="34" t="inlineStr">
        <is>
          <t>Diabetes mellitus</t>
        </is>
      </c>
      <c r="M23" s="35" t="inlineStr">
        <is>
          <t>Clinic</t>
        </is>
      </c>
      <c r="N23" s="34" t="inlineStr">
        <is>
          <t>ข้อ 20 ชุด 1 (เฉลยข้อ ก)</t>
        </is>
      </c>
      <c r="O23" s="35" t="inlineStr">
        <is>
          <t>Mock</t>
        </is>
      </c>
      <c r="P23" s="35" t="inlineStr">
        <is>
          <t>ชุด 1</t>
        </is>
      </c>
    </row>
    <row r="24" ht="13.2" customHeight="1" s="49">
      <c r="A24" s="33" t="n">
        <v>22</v>
      </c>
      <c r="B24"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35" t="n"/>
      <c r="D24" s="34" t="inlineStr">
        <is>
          <t>Glipizide</t>
        </is>
      </c>
      <c r="E24" s="34" t="inlineStr">
        <is>
          <t>Glibenclamide</t>
        </is>
      </c>
      <c r="F24" s="34" t="inlineStr">
        <is>
          <t>Metformin</t>
        </is>
      </c>
      <c r="G24" s="34" t="inlineStr">
        <is>
          <t>Insulin lispro</t>
        </is>
      </c>
      <c r="H24" s="34" t="inlineStr">
        <is>
          <t>Insulin glargine</t>
        </is>
      </c>
      <c r="I24" s="33" t="inlineStr">
        <is>
          <t>3</t>
        </is>
      </c>
      <c r="J24" s="34"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35" t="n"/>
      <c r="L24" s="34" t="inlineStr">
        <is>
          <t>Diabetes mellitus</t>
        </is>
      </c>
      <c r="M24" s="35" t="inlineStr">
        <is>
          <t>Clinic</t>
        </is>
      </c>
      <c r="N24" s="34" t="inlineStr">
        <is>
          <t>ข้อ 21 ชุด 1 (เฉลยข้อ ค)</t>
        </is>
      </c>
      <c r="O24" s="35" t="inlineStr">
        <is>
          <t>Mock</t>
        </is>
      </c>
      <c r="P24" s="35" t="inlineStr">
        <is>
          <t>ชุด 1</t>
        </is>
      </c>
    </row>
    <row r="25" ht="13.2" customHeight="1" s="49">
      <c r="A25" s="33" t="n">
        <v>23</v>
      </c>
      <c r="B25" s="34" t="inlineStr">
        <is>
          <t>ผู้ป่วยโรคใดมีข้อห้ามใช้ยา metformin</t>
        </is>
      </c>
      <c r="C25" s="35" t="n"/>
      <c r="D25" s="34" t="inlineStr">
        <is>
          <t>Lactic acidosis</t>
        </is>
      </c>
      <c r="E25" s="34" t="inlineStr">
        <is>
          <t>Obesity</t>
        </is>
      </c>
      <c r="F25" s="34" t="inlineStr">
        <is>
          <t>Hypertension</t>
        </is>
      </c>
      <c r="G25" s="34" t="inlineStr">
        <is>
          <t>Hyperlipidemia</t>
        </is>
      </c>
      <c r="H25" s="34" t="inlineStr">
        <is>
          <t>Gastric ulcer</t>
        </is>
      </c>
      <c r="I25" s="33" t="inlineStr">
        <is>
          <t>1</t>
        </is>
      </c>
      <c r="J25" s="34"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35" t="n"/>
      <c r="L25" s="34" t="inlineStr">
        <is>
          <t>Diabetes mellitus</t>
        </is>
      </c>
      <c r="M25" s="35" t="inlineStr">
        <is>
          <t>Clinic</t>
        </is>
      </c>
      <c r="N25" s="34" t="inlineStr">
        <is>
          <t>ข้อ 22 ชุด 1 (เฉลยข้อ ก)</t>
        </is>
      </c>
      <c r="O25" s="35" t="inlineStr">
        <is>
          <t>Mock</t>
        </is>
      </c>
      <c r="P25" s="35" t="inlineStr">
        <is>
          <t>ชุด 1</t>
        </is>
      </c>
    </row>
    <row r="26" ht="13.2" customHeight="1" s="49">
      <c r="A26" s="33" t="n">
        <v>24</v>
      </c>
      <c r="B26"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35" t="n"/>
      <c r="D26" s="34" t="inlineStr">
        <is>
          <t>ACEIs</t>
        </is>
      </c>
      <c r="E26" s="34" t="inlineStr">
        <is>
          <t>Alpha-blockers</t>
        </is>
      </c>
      <c r="F26" s="34" t="inlineStr">
        <is>
          <t>B-blockers</t>
        </is>
      </c>
      <c r="G26" s="34" t="inlineStr">
        <is>
          <t>Loop diuretics</t>
        </is>
      </c>
      <c r="H26" s="34" t="inlineStr">
        <is>
          <t>Thiazides</t>
        </is>
      </c>
      <c r="I26" s="33" t="inlineStr">
        <is>
          <t>1</t>
        </is>
      </c>
      <c r="J26" s="34"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35" t="n"/>
      <c r="L26" s="34" t="inlineStr">
        <is>
          <t>Diabetes mellitus</t>
        </is>
      </c>
      <c r="M26" s="35" t="inlineStr">
        <is>
          <t>Clinic</t>
        </is>
      </c>
      <c r="N26" s="34" t="inlineStr">
        <is>
          <t>ข้อ 23 ชุด 1 (เฉลยข้อ ก)</t>
        </is>
      </c>
      <c r="O26" s="35" t="inlineStr">
        <is>
          <t>Mock</t>
        </is>
      </c>
      <c r="P26" s="35" t="inlineStr">
        <is>
          <t>ชุด 1</t>
        </is>
      </c>
    </row>
    <row r="27" ht="13.2" customHeight="1" s="49">
      <c r="A27" s="33" t="n">
        <v>25</v>
      </c>
      <c r="B27" s="34" t="inlineStr">
        <is>
          <t>กลไกการออกฤทธิ์ของยา chlorpropamide ในผู้ป่วยโรคเบาหวานได้แก่</t>
        </is>
      </c>
      <c r="C27" s="35" t="n"/>
      <c r="D27" s="34" t="inlineStr">
        <is>
          <t>เพิ่ม insulin resistance ในผู้ป่วย</t>
        </is>
      </c>
      <c r="E27" s="34" t="inlineStr">
        <is>
          <t>ลด insulin resistance ในผู้ป่วย</t>
        </is>
      </c>
      <c r="F27" s="34" t="inlineStr">
        <is>
          <t>กระตุ้นการหลั่งของ insulin ในผู้ป่วย</t>
        </is>
      </c>
      <c r="G27" s="34" t="inlineStr">
        <is>
          <t>ข้อ ก และ ค ถูก</t>
        </is>
      </c>
      <c r="H27" s="34" t="inlineStr">
        <is>
          <t>ข้อ ข และ ค ถูก</t>
        </is>
      </c>
      <c r="I27" s="33" t="inlineStr">
        <is>
          <t>3</t>
        </is>
      </c>
      <c r="J27" s="34"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35" t="n"/>
      <c r="L27" s="34" t="inlineStr">
        <is>
          <t>Diabetes mellitus</t>
        </is>
      </c>
      <c r="M27" s="35" t="inlineStr">
        <is>
          <t>Clinic</t>
        </is>
      </c>
      <c r="N27" s="34" t="inlineStr">
        <is>
          <t>ข้อ 29 ชุด 1 (เฉลยข้อ ค)</t>
        </is>
      </c>
      <c r="O27" s="35" t="inlineStr">
        <is>
          <t>Mock</t>
        </is>
      </c>
      <c r="P27" s="35" t="inlineStr">
        <is>
          <t>ชุด 1</t>
        </is>
      </c>
    </row>
    <row r="28" ht="13.2" customHeight="1" s="49">
      <c r="A28" s="33" t="n">
        <v>26</v>
      </c>
      <c r="B28"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35" t="n"/>
      <c r="D28" s="34" t="inlineStr">
        <is>
          <t>ให้ผู้ป่วยหยุดยาทันทีเนื่องจากมีอาการแพ้ยา</t>
        </is>
      </c>
      <c r="E28" s="34" t="inlineStr">
        <is>
          <t>ให้เปลี่ยนขนาดยาเป็น 50 mg qd</t>
        </is>
      </c>
      <c r="F28" s="34" t="inlineStr">
        <is>
          <t>ให้ผู้ป่วยรับประทานยาหลังอาหาร</t>
        </is>
      </c>
      <c r="G28" s="34" t="inlineStr">
        <is>
          <t>ให้ผู้ป่วยรับประทานยาลดอาการคลื่นไส้อาเจียนร่วมด้วย</t>
        </is>
      </c>
      <c r="H28" s="34" t="inlineStr">
        <is>
          <t>ข้อ ข และ ค ถูกต้อง</t>
        </is>
      </c>
      <c r="I28" s="33" t="inlineStr">
        <is>
          <t>4</t>
        </is>
      </c>
      <c r="J28" s="34"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35" t="n"/>
      <c r="L28" s="34" t="inlineStr">
        <is>
          <t>Diabetes mellitus</t>
        </is>
      </c>
      <c r="M28" s="35" t="inlineStr">
        <is>
          <t>Clinic</t>
        </is>
      </c>
      <c r="N28" s="34" t="inlineStr">
        <is>
          <t>ข้อ 30 ชุด 1 (เฉลยข้อ ง)</t>
        </is>
      </c>
      <c r="O28" s="35" t="inlineStr">
        <is>
          <t>Mock</t>
        </is>
      </c>
      <c r="P28" s="35" t="inlineStr">
        <is>
          <t>ชุด 1</t>
        </is>
      </c>
    </row>
    <row r="29" ht="13.2" customHeight="1" s="49">
      <c r="A29" s="33" t="n">
        <v>27</v>
      </c>
      <c r="B29"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35" t="n"/>
      <c r="D29" s="34" t="inlineStr">
        <is>
          <t>อาการคลื่นไส้ อาเจียน</t>
        </is>
      </c>
      <c r="E29" s="34" t="inlineStr">
        <is>
          <t>ระดับน้ำตาลในเลือดต่ำ</t>
        </is>
      </c>
      <c r="F29" s="34" t="inlineStr">
        <is>
          <t>ผื่นคันตามผิวหนัง</t>
        </is>
      </c>
      <c r="G29" s="34" t="inlineStr">
        <is>
          <t>ข้อ ข และ ค ถูก</t>
        </is>
      </c>
      <c r="H29" s="34" t="inlineStr">
        <is>
          <t>ข้อ ก ข และ ค ถูก</t>
        </is>
      </c>
      <c r="I29" s="33" t="inlineStr">
        <is>
          <t>5</t>
        </is>
      </c>
      <c r="J29" s="34"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35" t="n"/>
      <c r="L29" s="34" t="inlineStr">
        <is>
          <t>Diabetes mellitus</t>
        </is>
      </c>
      <c r="M29" s="35" t="inlineStr">
        <is>
          <t>Clinic</t>
        </is>
      </c>
      <c r="N29" s="34" t="inlineStr">
        <is>
          <t>ข้อ 31 ชุด 1 (เฉลยข้อ จ)</t>
        </is>
      </c>
      <c r="O29" s="35" t="inlineStr">
        <is>
          <t>Mock</t>
        </is>
      </c>
      <c r="P29" s="35" t="inlineStr">
        <is>
          <t>ชุด 1</t>
        </is>
      </c>
    </row>
    <row r="30" ht="13.2" customHeight="1" s="49">
      <c r="A30" s="33" t="n">
        <v>28</v>
      </c>
      <c r="B30"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35" t="n"/>
      <c r="D30" s="34" t="inlineStr">
        <is>
          <t>แนะนำให้ผู้ป่วยดื่มได้ตามปกติ</t>
        </is>
      </c>
      <c r="E30" s="34" t="inlineStr">
        <is>
          <t>แนะนำให้ผู้ป่วยดื่มได้บ้างแต่จำนวนน้อยลง</t>
        </is>
      </c>
      <c r="F30" s="34" t="inlineStr">
        <is>
          <t>แนะนำให้ผู้ป่วยหยุดดื่มจนกว่าอาการคลื่นไส้อาเจียนจะหายไป</t>
        </is>
      </c>
      <c r="G30" s="34" t="inlineStr">
        <is>
          <t>หากผู้ป่วยต้องการดื่มแอลกอฮอล์ให้ดื่มอย่างน้อย 2 ชั่วโมงก่อนหรือหลังรับประทานยา</t>
        </is>
      </c>
      <c r="H30" s="34" t="inlineStr">
        <is>
          <t>ให้ผู้ป่วยหยุดดื่มหากรับประทานยาตัวนี้อยู่</t>
        </is>
      </c>
      <c r="I30" s="33" t="inlineStr">
        <is>
          <t>5</t>
        </is>
      </c>
      <c r="J30" s="34"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35" t="n"/>
      <c r="L30" s="34" t="inlineStr">
        <is>
          <t>Diabetes mellitus</t>
        </is>
      </c>
      <c r="M30" s="35" t="inlineStr">
        <is>
          <t>Clinic</t>
        </is>
      </c>
      <c r="N30" s="34" t="inlineStr">
        <is>
          <t>ข้อ 32 ชุด 1 (เฉลยข้อ จ)</t>
        </is>
      </c>
      <c r="O30" s="35" t="inlineStr">
        <is>
          <t>Mock</t>
        </is>
      </c>
      <c r="P30" s="35" t="inlineStr">
        <is>
          <t>ชุด 1</t>
        </is>
      </c>
    </row>
    <row r="31" ht="13.2" customHeight="1" s="49">
      <c r="A31" s="33" t="n">
        <v>29</v>
      </c>
      <c r="B31" s="34"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35" t="n"/>
      <c r="D31" s="34" t="inlineStr">
        <is>
          <t>Allergic reaction</t>
        </is>
      </c>
      <c r="E31" s="34" t="inlineStr">
        <is>
          <t>Toxic reaction</t>
        </is>
      </c>
      <c r="F31" s="34" t="inlineStr">
        <is>
          <t>Overdose</t>
        </is>
      </c>
      <c r="G31" s="34" t="inlineStr">
        <is>
          <t>ผู้ป่วยไม่สามารถควบคุมการรับประทานอาหารให้เหมาะสมได้</t>
        </is>
      </c>
      <c r="H31" s="34" t="inlineStr">
        <is>
          <t>เป็นผลข้างเคียงจากยาตัวนี้</t>
        </is>
      </c>
      <c r="I31" s="33" t="inlineStr">
        <is>
          <t>5</t>
        </is>
      </c>
      <c r="J31" s="34"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35" t="n"/>
      <c r="L31" s="34" t="inlineStr">
        <is>
          <t>Diabetes mellitus</t>
        </is>
      </c>
      <c r="M31" s="35" t="inlineStr">
        <is>
          <t>Clinic</t>
        </is>
      </c>
      <c r="N31" s="34" t="inlineStr">
        <is>
          <t>ข้อ 33 ชุด 1 (เฉลยข้อ จ)</t>
        </is>
      </c>
      <c r="O31" s="35" t="inlineStr">
        <is>
          <t>Mock</t>
        </is>
      </c>
      <c r="P31" s="35" t="inlineStr">
        <is>
          <t>ชุด 1</t>
        </is>
      </c>
    </row>
    <row r="32" ht="13.2" customHeight="1" s="49">
      <c r="A32" s="33" t="n">
        <v>30</v>
      </c>
      <c r="B32" s="34"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35" t="n"/>
      <c r="D32" s="34" t="inlineStr">
        <is>
          <t>ขนาดยา tolbutamide ที่ได้รับมีขนาดสูงเกินไป</t>
        </is>
      </c>
      <c r="E32" s="34" t="inlineStr">
        <is>
          <t>มีการเสริมฤทธิ์กันระหว่างยา Chlorpropamide และ tolbutamide เนื่องจากระยะเวลาในการออกฤทธิ์ของยา chlorpropamide เนิ่นนาน</t>
        </is>
      </c>
      <c r="F32" s="34" t="inlineStr">
        <is>
          <t>เป็นภาวะปกติของผู้ป่วยโรคเบาหวานเมื่อมีการเปลี่ยนแปลงยา</t>
        </is>
      </c>
      <c r="G32" s="34" t="inlineStr">
        <is>
          <t>ผู้ป่วยอาจรับประทานอาหารไม่ตรงเวลา และมีอาการคลื่นไส้อาเจียนที่เกิดจากผลข้างเคียงจากยา</t>
        </is>
      </c>
      <c r="H32" s="34" t="inlineStr">
        <is>
          <t>ไม่มีข้อใดถูก</t>
        </is>
      </c>
      <c r="I32" s="33" t="inlineStr">
        <is>
          <t>2</t>
        </is>
      </c>
      <c r="J32" s="34"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35" t="n"/>
      <c r="L32" s="34" t="inlineStr">
        <is>
          <t>Diabetes mellitus</t>
        </is>
      </c>
      <c r="M32" s="35" t="inlineStr">
        <is>
          <t>Clinic</t>
        </is>
      </c>
      <c r="N32" s="34" t="inlineStr">
        <is>
          <t>ข้อ 34 ชุด 1 (เฉลยข้อ ข)</t>
        </is>
      </c>
      <c r="O32" s="35" t="inlineStr">
        <is>
          <t>Mock</t>
        </is>
      </c>
      <c r="P32" s="35" t="inlineStr">
        <is>
          <t>ชุด 1</t>
        </is>
      </c>
    </row>
    <row r="33" ht="13.2" customHeight="1" s="49">
      <c r="A33" s="33" t="n">
        <v>31</v>
      </c>
      <c r="B33" s="34"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35" t="n"/>
      <c r="D33" s="34" t="inlineStr">
        <is>
          <t>Chlorpropamide &gt; glyburide &gt; glipizide &gt; tolbutamide</t>
        </is>
      </c>
      <c r="E33" s="34" t="inlineStr">
        <is>
          <t>Tolbutamide &gt; glipizide &gt; glyburide &gt; chlorpropamide</t>
        </is>
      </c>
      <c r="F33" s="34" t="inlineStr">
        <is>
          <t>Glyburide &gt; tolbutamide &gt; glipizide &gt; chlorpropamide</t>
        </is>
      </c>
      <c r="G33" s="34" t="inlineStr">
        <is>
          <t>Glipizide &gt; glyburide &gt; chlorpropamide &gt; tolbutamide</t>
        </is>
      </c>
      <c r="H33" s="34" t="inlineStr">
        <is>
          <t>Tolbutamide &gt; chlorpropamide &gt; glyburide &gt; glipizide</t>
        </is>
      </c>
      <c r="I33" s="33" t="inlineStr">
        <is>
          <t>1</t>
        </is>
      </c>
      <c r="J33" s="34"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35" t="n"/>
      <c r="L33" s="34" t="inlineStr">
        <is>
          <t>Diabetes mellitus</t>
        </is>
      </c>
      <c r="M33" s="35" t="inlineStr">
        <is>
          <t>Clinic</t>
        </is>
      </c>
      <c r="N33" s="34" t="inlineStr">
        <is>
          <t>ข้อ 35 ชุด 1 (เฉลยข้อ ก)</t>
        </is>
      </c>
      <c r="O33" s="35" t="inlineStr">
        <is>
          <t>Mock</t>
        </is>
      </c>
      <c r="P33" s="35" t="inlineStr">
        <is>
          <t>ชุด 1</t>
        </is>
      </c>
    </row>
    <row r="34" ht="13.2" customHeight="1" s="49">
      <c r="A34" s="33" t="n">
        <v>32</v>
      </c>
      <c r="B34"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35" t="n"/>
      <c r="D34" s="34" t="inlineStr">
        <is>
          <t>หิวน้ำบ่อย</t>
        </is>
      </c>
      <c r="E34" s="34" t="inlineStr">
        <is>
          <t>ปัสสาวะบ่อย</t>
        </is>
      </c>
      <c r="F34" s="34" t="inlineStr">
        <is>
          <t>เจ็บหน้าอก</t>
        </is>
      </c>
      <c r="G34" s="34" t="inlineStr">
        <is>
          <t>น้ำหนักลด</t>
        </is>
      </c>
      <c r="H34" s="34" t="inlineStr">
        <is>
          <t>อ่อนเพลีย</t>
        </is>
      </c>
      <c r="I34" s="33" t="inlineStr">
        <is>
          <t>3</t>
        </is>
      </c>
      <c r="J34" s="34"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35" t="n"/>
      <c r="L34" s="34" t="inlineStr">
        <is>
          <t>Diabetes mellitus</t>
        </is>
      </c>
      <c r="M34" s="35" t="inlineStr">
        <is>
          <t>Clinic</t>
        </is>
      </c>
      <c r="N34" s="34" t="inlineStr">
        <is>
          <t>ข้อ 36 ชุด 1 (เฉลยข้อ ค)</t>
        </is>
      </c>
      <c r="O34" s="35" t="inlineStr">
        <is>
          <t>Mock</t>
        </is>
      </c>
      <c r="P34" s="35" t="inlineStr">
        <is>
          <t>ชุด 1</t>
        </is>
      </c>
    </row>
    <row r="35" ht="13.2" customHeight="1" s="49">
      <c r="A35" s="33" t="n">
        <v>33</v>
      </c>
      <c r="B35"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35" t="n"/>
      <c r="D35" s="34" t="inlineStr">
        <is>
          <t>ยา glibenclamide ควรรับประทานก่อนอาหารประมาณ 30 นาที</t>
        </is>
      </c>
      <c r="E35" s="34" t="inlineStr">
        <is>
          <t>ยา aspirin ควรรับประทานหลังอาหารทันที</t>
        </is>
      </c>
      <c r="F35" s="34" t="inlineStr">
        <is>
          <t>อาการไม่พึงประสงค์ที่อาจพบสำหรับยา glibenclamide คือ weight gain</t>
        </is>
      </c>
      <c r="G35" s="34" t="inlineStr">
        <is>
          <t>อาการไม่พึงประสงค์ของยา metformin ที่พบบ่อยได้แก่ hypoglycemia</t>
        </is>
      </c>
      <c r="H35" s="34" t="inlineStr">
        <is>
          <t>ไม่ควรดื่ม alcohol ร่วมกับยา glibenclamide</t>
        </is>
      </c>
      <c r="I35" s="33" t="inlineStr">
        <is>
          <t>4</t>
        </is>
      </c>
      <c r="J35" s="34"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35" t="n"/>
      <c r="L35" s="34" t="inlineStr">
        <is>
          <t>Diabetes mellitus</t>
        </is>
      </c>
      <c r="M35" s="35" t="inlineStr">
        <is>
          <t>Clinic</t>
        </is>
      </c>
      <c r="N35" s="34" t="inlineStr">
        <is>
          <t>ข้อ 37 ชุด 1 (เฉลยข้อ ง)</t>
        </is>
      </c>
      <c r="O35" s="35" t="inlineStr">
        <is>
          <t>Mock</t>
        </is>
      </c>
      <c r="P35" s="35" t="inlineStr">
        <is>
          <t>ชุด 1</t>
        </is>
      </c>
    </row>
    <row r="36" ht="13.2" customHeight="1" s="49">
      <c r="A36" s="33" t="n">
        <v>34</v>
      </c>
      <c r="B36"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35" t="n"/>
      <c r="D36" s="34" t="inlineStr">
        <is>
          <t>Glucosidase</t>
        </is>
      </c>
      <c r="E36" s="34" t="inlineStr">
        <is>
          <t>Rosiglitazone</t>
        </is>
      </c>
      <c r="F36" s="34" t="inlineStr">
        <is>
          <t>Chlorpropamide</t>
        </is>
      </c>
      <c r="G36" s="34" t="inlineStr">
        <is>
          <t>Pioglitazone</t>
        </is>
      </c>
      <c r="H36" s="34" t="inlineStr">
        <is>
          <t>สามารถใช้ได้ทั้งหมด</t>
        </is>
      </c>
      <c r="I36" s="33" t="inlineStr">
        <is>
          <t>1</t>
        </is>
      </c>
      <c r="J36" s="34"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35" t="n"/>
      <c r="L36" s="34" t="inlineStr">
        <is>
          <t>Diabetes mellitus</t>
        </is>
      </c>
      <c r="M36" s="35" t="inlineStr">
        <is>
          <t>Clinic</t>
        </is>
      </c>
      <c r="N36" s="34" t="inlineStr">
        <is>
          <t>ข้อ 38 ชุด 1 (เฉลยข้อ ก ค ง)</t>
        </is>
      </c>
      <c r="O36" s="35" t="inlineStr">
        <is>
          <t>Mock</t>
        </is>
      </c>
      <c r="P36" s="35" t="inlineStr">
        <is>
          <t>ชุด 1</t>
        </is>
      </c>
    </row>
    <row r="37" ht="13.2" customHeight="1" s="49">
      <c r="A37" s="33" t="n">
        <v>35</v>
      </c>
      <c r="B37" s="34" t="inlineStr">
        <is>
          <t>ข้อใดกล่าวถูกต้องเกี่ยวกับกลไกการออกฤทธิ์ของ glibenclamide</t>
        </is>
      </c>
      <c r="C37" s="35" t="n"/>
      <c r="D37" s="34" t="inlineStr">
        <is>
          <t>กระตุ้นการหลั่ง glucagon</t>
        </is>
      </c>
      <c r="E37" s="34" t="inlineStr">
        <is>
          <t>กระตุ้นการหลั่ง insulin จากตับอ่อน</t>
        </is>
      </c>
      <c r="F37" s="34" t="inlineStr">
        <is>
          <t>ลดการทำลาย insulin ที่ตับ</t>
        </is>
      </c>
      <c r="G37" s="34" t="inlineStr">
        <is>
          <t>กระตุ้นการหลั่ง somatostatin</t>
        </is>
      </c>
      <c r="H37" s="34" t="inlineStr">
        <is>
          <t>ทำให้ตอบสนองต่อ Insulin ดีขึ้น</t>
        </is>
      </c>
      <c r="I37" s="33" t="inlineStr">
        <is>
          <t>2</t>
        </is>
      </c>
      <c r="J37" s="34"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35" t="n"/>
      <c r="L37" s="34" t="inlineStr">
        <is>
          <t>Diabetes mellitus</t>
        </is>
      </c>
      <c r="M37" s="35" t="inlineStr">
        <is>
          <t>Clinic</t>
        </is>
      </c>
      <c r="N37" s="34" t="inlineStr">
        <is>
          <t>ข้อ 39 ชุด 1 (เฉลยข้อ ข)</t>
        </is>
      </c>
      <c r="O37" s="35" t="inlineStr">
        <is>
          <t>Mock</t>
        </is>
      </c>
      <c r="P37" s="35" t="inlineStr">
        <is>
          <t>ชุด 1</t>
        </is>
      </c>
    </row>
    <row r="38" ht="13.2" customHeight="1" s="49">
      <c r="A38" s="33" t="n">
        <v>36</v>
      </c>
      <c r="B38" s="34" t="inlineStr">
        <is>
          <t>ข้อใดเป็นผลที่อาจเกิดขึ้นได้จากการใช้ยา glibenclamide เป็นระยะเวลานาน</t>
        </is>
      </c>
      <c r="C38" s="35" t="n"/>
      <c r="D38" s="34" t="inlineStr">
        <is>
          <t>Desensitization of sulfonylureas receptor</t>
        </is>
      </c>
      <c r="E38" s="34" t="inlineStr">
        <is>
          <t>Up-regulation of sulfonylureas receptor</t>
        </is>
      </c>
      <c r="F38" s="34" t="inlineStr">
        <is>
          <t>Down-regulation of sulfonylureas receptor</t>
        </is>
      </c>
      <c r="G38" s="34" t="inlineStr">
        <is>
          <t>Hyperinsulinemia</t>
        </is>
      </c>
      <c r="H38" s="34" t="inlineStr">
        <is>
          <t>Increase insulin sensitivity</t>
        </is>
      </c>
      <c r="I38" s="33" t="inlineStr">
        <is>
          <t>3</t>
        </is>
      </c>
      <c r="J38" s="34"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35" t="n"/>
      <c r="L38" s="34" t="inlineStr">
        <is>
          <t>Diabetes mellitus</t>
        </is>
      </c>
      <c r="M38" s="35" t="inlineStr">
        <is>
          <t>Clinic</t>
        </is>
      </c>
      <c r="N38" s="34" t="inlineStr">
        <is>
          <t>ข้อ 40 ชุด 1 (เฉลยข้อ ค)</t>
        </is>
      </c>
      <c r="O38" s="35" t="inlineStr">
        <is>
          <t>Mock</t>
        </is>
      </c>
      <c r="P38" s="35" t="inlineStr">
        <is>
          <t>ชุด 1</t>
        </is>
      </c>
    </row>
    <row r="39" ht="13.2" customHeight="1" s="49">
      <c r="A39" s="33" t="n">
        <v>37</v>
      </c>
      <c r="B39" s="34"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35" t="n"/>
      <c r="D39" s="34" t="inlineStr">
        <is>
          <t>มีผลโดยเสริมฤทธิ์ยับยั้งการแข็งตัวของเกร็ดเลือดของ aspirin</t>
        </is>
      </c>
      <c r="E39" s="34" t="inlineStr">
        <is>
          <t>มีผลโดยเสริมฤทธิ์ลดน้ำตาลในเลือดของ metformin</t>
        </is>
      </c>
      <c r="F39" s="34" t="inlineStr">
        <is>
          <t>มีผลโดยลดประสิทธิภาพการจับของยา isosorbide mononitrate</t>
        </is>
      </c>
      <c r="G39" s="34" t="inlineStr">
        <is>
          <t>มีผลโดยลดประสิทธิภาพการลดน้ำตาลในเลือดของ glibenclamide</t>
        </is>
      </c>
      <c r="H39" s="34" t="inlineStr">
        <is>
          <t>ไม่มี อันตรกิริยากับยาที่ได้รับจากโรงพยาบาล</t>
        </is>
      </c>
      <c r="I39" s="33" t="inlineStr">
        <is>
          <t>1</t>
        </is>
      </c>
      <c r="J39" s="34"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35" t="n"/>
      <c r="L39" s="34" t="inlineStr">
        <is>
          <t>Diabetes mellitus</t>
        </is>
      </c>
      <c r="M39" s="35" t="inlineStr">
        <is>
          <t>Clinic</t>
        </is>
      </c>
      <c r="N39" s="34" t="inlineStr">
        <is>
          <t>ข้อ 41 ชุด 1 (เฉลยข้อ ก)</t>
        </is>
      </c>
      <c r="O39" s="35" t="inlineStr">
        <is>
          <t>Mock</t>
        </is>
      </c>
      <c r="P39" s="35" t="inlineStr">
        <is>
          <t>ชุด 1</t>
        </is>
      </c>
    </row>
    <row r="40" ht="13.2" customHeight="1" s="49">
      <c r="A40" s="33" t="n">
        <v>38</v>
      </c>
      <c r="B40" s="34"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35" t="n"/>
      <c r="D40" s="34" t="inlineStr">
        <is>
          <t>FPG 70-130, HbA1c &lt; 10</t>
        </is>
      </c>
      <c r="E40" s="34" t="inlineStr">
        <is>
          <t>FPG 70-150, HbA1c &lt; 7</t>
        </is>
      </c>
      <c r="F40" s="34" t="inlineStr">
        <is>
          <t>FPG 70-130, HbA1c &lt; 7</t>
        </is>
      </c>
      <c r="G40" s="34" t="inlineStr">
        <is>
          <t>FPG 80-150, HbA1c &lt; 10</t>
        </is>
      </c>
      <c r="H40" s="34" t="inlineStr">
        <is>
          <t>FPG 80-130, HbA1c &lt; 7</t>
        </is>
      </c>
      <c r="I40" s="33" t="inlineStr">
        <is>
          <t>5</t>
        </is>
      </c>
      <c r="J40" s="34"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35" t="n"/>
      <c r="L40" s="34" t="inlineStr">
        <is>
          <t>Diabetes mellitus</t>
        </is>
      </c>
      <c r="M40" s="35" t="inlineStr">
        <is>
          <t>Clinic</t>
        </is>
      </c>
      <c r="N40" s="34" t="inlineStr">
        <is>
          <t>ข้อ 42 ชุด 1 (เฉลยข้อ จ)</t>
        </is>
      </c>
      <c r="O40" s="35" t="inlineStr">
        <is>
          <t>Mock</t>
        </is>
      </c>
      <c r="P40" s="35" t="inlineStr">
        <is>
          <t>ชุด 1</t>
        </is>
      </c>
    </row>
    <row r="41" ht="13.2" customHeight="1" s="49">
      <c r="A41" s="33" t="n">
        <v>39</v>
      </c>
      <c r="B41" s="34"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35" t="n"/>
      <c r="D41" s="34" t="inlineStr">
        <is>
          <t>รับประทานหลังอาหารทันที</t>
        </is>
      </c>
      <c r="E41" s="34" t="inlineStr">
        <is>
          <t>รับประทานก่อนอาหาร 30 นาที และให้อยู่ในท่านั่งห้ามนอน</t>
        </is>
      </c>
      <c r="F41" s="34" t="inlineStr">
        <is>
          <t>รับประทานโดยเคี้ยวพร้อมอาหารคำแรก</t>
        </is>
      </c>
      <c r="G41" s="34" t="inlineStr">
        <is>
          <t>รับประทานหลังอาหารไขมันเพื่อเพิ่มการดูดซึม</t>
        </is>
      </c>
      <c r="H41" s="34" t="inlineStr">
        <is>
          <t>ห้ามรับประทานพร้อมกับนม</t>
        </is>
      </c>
      <c r="I41" s="33" t="inlineStr">
        <is>
          <t>3</t>
        </is>
      </c>
      <c r="J41" s="34"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35" t="n"/>
      <c r="L41" s="34" t="inlineStr">
        <is>
          <t>Diabetes mellitus</t>
        </is>
      </c>
      <c r="M41" s="35" t="inlineStr">
        <is>
          <t>Clinic</t>
        </is>
      </c>
      <c r="N41" s="34" t="inlineStr">
        <is>
          <t>ข้อ 43 ชุด 1 (เฉลยข้อ ค)</t>
        </is>
      </c>
      <c r="O41" s="35" t="inlineStr">
        <is>
          <t>Mock</t>
        </is>
      </c>
      <c r="P41" s="35" t="inlineStr">
        <is>
          <t>ชุด 1</t>
        </is>
      </c>
    </row>
    <row r="42" ht="13.2" customHeight="1" s="49">
      <c r="A42" s="33" t="n">
        <v>40</v>
      </c>
      <c r="B42" s="34" t="inlineStr">
        <is>
          <t>เกี่ยวกับ glipizide ข้อใดผิด</t>
        </is>
      </c>
      <c r="C42" s="35" t="n"/>
      <c r="D42" s="34" t="inlineStr">
        <is>
          <t>glipizide มีคุณสมบัติค่อนข้าง non-polar</t>
        </is>
      </c>
      <c r="E42" s="34" t="inlineStr">
        <is>
          <t>glipizide เมื่อละลายในต่างละลายได้ดี</t>
        </is>
      </c>
      <c r="F42" s="34" t="inlineStr">
        <is>
          <t>การเตรียมยา glipizide แบบ extended release tablet ไม่จำเป็นต้องทำในรูป salt form</t>
        </is>
      </c>
      <c r="G42" s="34" t="inlineStr">
        <is>
          <t>Glipizide มีสูตรโครงสร้างคล้ายกับ metformin</t>
        </is>
      </c>
      <c r="H42" s="34" t="inlineStr">
        <is>
          <t>Glipizide จัดอยู่ในกลุ่ม second generation drug ของการรักษา type 2 diabetes</t>
        </is>
      </c>
      <c r="I42" s="33" t="inlineStr">
        <is>
          <t>4</t>
        </is>
      </c>
      <c r="J42" s="34"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35" t="n"/>
      <c r="L42" s="34" t="inlineStr">
        <is>
          <t>Diabetes mellitus</t>
        </is>
      </c>
      <c r="M42" s="35" t="inlineStr">
        <is>
          <t>Clinic</t>
        </is>
      </c>
      <c r="N42" s="34" t="inlineStr">
        <is>
          <t>ข้อ 50 ชุด 1 (เฉลยข้อ ง)</t>
        </is>
      </c>
      <c r="O42" s="35" t="inlineStr">
        <is>
          <t>Mock</t>
        </is>
      </c>
      <c r="P42" s="35" t="inlineStr">
        <is>
          <t>ชุด 1</t>
        </is>
      </c>
    </row>
    <row r="43" ht="13.2" customHeight="1" s="49">
      <c r="A43" s="33" t="n">
        <v>41</v>
      </c>
      <c r="B43" s="34" t="inlineStr">
        <is>
          <t>Rosiglitazone เป็นยาลดระดับน้ำตาลในเลือดที่ ห้ามใช้ ในโรคเบาหวานชนิดที่ 1 เพราะ</t>
        </is>
      </c>
      <c r="C43" s="35" t="n"/>
      <c r="D43" s="34" t="inlineStr">
        <is>
          <t>ลดระดับน้ำตาลในเลือดได้น้อยเมื่อให้ร่วมกับ insulin</t>
        </is>
      </c>
      <c r="E43" s="34" t="inlineStr">
        <is>
          <t>ลดระดับ insulin</t>
        </is>
      </c>
      <c r="F43" s="34" t="inlineStr">
        <is>
          <t>ทำให้ insulin ไม่สามารถออกฤทธิ์ได้เต็มที่</t>
        </is>
      </c>
      <c r="G43" s="34" t="inlineStr">
        <is>
          <t>อาจทำให้ระดับน้ำตาลในเลือดลดลงจนเกิด hypoglycemia</t>
        </is>
      </c>
      <c r="H43" s="34" t="inlineStr">
        <is>
          <t>ต้องอาศัย insulin ในการออกฤทธิ์ เนื่องจากจะช่วยเพิ่มความไวตัวรับของ insulin</t>
        </is>
      </c>
      <c r="I43" s="33" t="inlineStr">
        <is>
          <t>5</t>
        </is>
      </c>
      <c r="J43" s="34"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35" t="n"/>
      <c r="L43" s="34" t="inlineStr">
        <is>
          <t>Diabetes mellitus</t>
        </is>
      </c>
      <c r="M43" s="35" t="inlineStr">
        <is>
          <t>Clinic</t>
        </is>
      </c>
      <c r="N43" s="34" t="inlineStr">
        <is>
          <t>ข้อ 51 ชุด 1 (เฉลยข้อ จ)</t>
        </is>
      </c>
      <c r="O43" s="35" t="inlineStr">
        <is>
          <t>Mock</t>
        </is>
      </c>
      <c r="P43" s="35" t="inlineStr">
        <is>
          <t>ชุด 1</t>
        </is>
      </c>
    </row>
    <row r="44" ht="13.2" customHeight="1" s="49">
      <c r="A44" s="33" t="n">
        <v>42</v>
      </c>
      <c r="B44" s="34" t="inlineStr">
        <is>
          <t>ผลข้างเคียงสำคัญที่ต้องมีการเฝ้าระวังเป็นพิเศษสำหรับการใช้ยาในกลุ่ม thiazolidinedione คือ</t>
        </is>
      </c>
      <c r="C44" s="35" t="n"/>
      <c r="D44" s="34" t="inlineStr">
        <is>
          <t>Renal toxicity</t>
        </is>
      </c>
      <c r="E44" s="34" t="inlineStr">
        <is>
          <t>Retinopathy</t>
        </is>
      </c>
      <c r="F44" s="34" t="inlineStr">
        <is>
          <t>Hepatotoxicity</t>
        </is>
      </c>
      <c r="G44" s="34" t="inlineStr">
        <is>
          <t>Hemolytic anemia</t>
        </is>
      </c>
      <c r="H44" s="34" t="inlineStr">
        <is>
          <t>Cardiotoxicity</t>
        </is>
      </c>
      <c r="I44" s="33" t="inlineStr">
        <is>
          <t>3</t>
        </is>
      </c>
      <c r="J44" s="34"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35" t="n"/>
      <c r="L44" s="34" t="inlineStr">
        <is>
          <t>Diabetes mellitus</t>
        </is>
      </c>
      <c r="M44" s="35" t="inlineStr">
        <is>
          <t>Clinic</t>
        </is>
      </c>
      <c r="N44" s="34" t="inlineStr">
        <is>
          <t>ข้อ 52 ชุด 1 (เฉลยข้อ ค จ)</t>
        </is>
      </c>
      <c r="O44" s="35" t="inlineStr">
        <is>
          <t>Mock</t>
        </is>
      </c>
      <c r="P44" s="35" t="inlineStr">
        <is>
          <t>ชุด 1</t>
        </is>
      </c>
    </row>
    <row r="45" ht="13.2" customHeight="1" s="49">
      <c r="A45" s="33" t="n">
        <v>43</v>
      </c>
      <c r="B45" s="34" t="inlineStr">
        <is>
          <t>ทำไม insulin ต้องให้แบบฉีด</t>
        </is>
      </c>
      <c r="C45" s="35" t="n"/>
      <c r="D45" s="34" t="inlineStr">
        <is>
          <t>เพื่อให้ไร้เชื้อ</t>
        </is>
      </c>
      <c r="E45" s="34" t="inlineStr">
        <is>
          <t>เพื่อความคงสภาพ</t>
        </is>
      </c>
      <c r="F45" s="34" t="inlineStr">
        <is>
          <t>เพื่อให้ออกฤทธิ์เร็ว</t>
        </is>
      </c>
      <c r="G45" s="34" t="inlineStr">
        <is>
          <t>เพื่อให้ออกฤทธิ์ต่อเนื่อง</t>
        </is>
      </c>
      <c r="H45" s="34" t="inlineStr">
        <is>
          <t>เพื่อหลีกเลี่ยงการถูกทำลายในทางเดินอาหาร</t>
        </is>
      </c>
      <c r="I45" s="33" t="inlineStr">
        <is>
          <t>5</t>
        </is>
      </c>
      <c r="J45" s="34"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35" t="n"/>
      <c r="L45" s="34" t="inlineStr">
        <is>
          <t>Diabetes mellitus</t>
        </is>
      </c>
      <c r="M45" s="35" t="inlineStr">
        <is>
          <t>Clinic</t>
        </is>
      </c>
      <c r="N45" s="34" t="inlineStr">
        <is>
          <t>ข้อ 53 ชุด 1 (เฉลยข้อ จ)</t>
        </is>
      </c>
      <c r="O45" s="35" t="inlineStr">
        <is>
          <t>Mock</t>
        </is>
      </c>
      <c r="P45" s="35" t="inlineStr">
        <is>
          <t>ชุด 1</t>
        </is>
      </c>
    </row>
    <row r="46" ht="13.2" customHeight="1" s="49">
      <c r="A46" s="33" t="n">
        <v>44</v>
      </c>
      <c r="B46" s="34" t="inlineStr">
        <is>
          <t>ข้อใดผิดเกี่ยวกับ insulin</t>
        </is>
      </c>
      <c r="C46" s="35" t="n"/>
      <c r="D46" s="34" t="inlineStr">
        <is>
          <t>Lispro คือการสลับตำแหน่งของ amino acid proline เป็น lysine เพื่อให้ออกฤทธิ์เร็ว</t>
        </is>
      </c>
      <c r="E46" s="34" t="inlineStr">
        <is>
          <t>Protamine ใน NPH ทำให้ออกฤทธิ์เร็ว</t>
        </is>
      </c>
      <c r="F46" s="34" t="inlineStr">
        <is>
          <t>ใน phosphate buffers ไม่สามารถผสม lente</t>
        </is>
      </c>
      <c r="G46" s="34" t="inlineStr">
        <is>
          <t>Insulin ในท้องตลาด มักจะเป็นแบบกึ่งสังเคราะห์ของหมูและวัว</t>
        </is>
      </c>
      <c r="H46" s="34" t="inlineStr">
        <is>
          <t>ไม่มีข้อใดถูก</t>
        </is>
      </c>
      <c r="I46" s="33" t="inlineStr">
        <is>
          <t>2</t>
        </is>
      </c>
      <c r="J46" s="34"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35" t="n"/>
      <c r="L46" s="34" t="inlineStr">
        <is>
          <t>Diabetes mellitus</t>
        </is>
      </c>
      <c r="M46" s="35" t="inlineStr">
        <is>
          <t>Clinic</t>
        </is>
      </c>
      <c r="N46" s="34" t="inlineStr">
        <is>
          <t>ข้อ 54 ชุด 1 (เฉลยข้อ ข ง)</t>
        </is>
      </c>
      <c r="O46" s="35" t="inlineStr">
        <is>
          <t>Mock</t>
        </is>
      </c>
      <c r="P46" s="35" t="inlineStr">
        <is>
          <t>ชุด 1</t>
        </is>
      </c>
    </row>
    <row r="47" ht="13.2" customHeight="1" s="49">
      <c r="A47" s="33" t="n">
        <v>45</v>
      </c>
      <c r="B47" s="34" t="inlineStr">
        <is>
          <t>ข้อใดเป็นข้อบ่งใช้ของ acarbose</t>
        </is>
      </c>
      <c r="C47" s="35" t="n"/>
      <c r="D47" s="34" t="inlineStr">
        <is>
          <t>กระเพาะปัสสาวะอักเสบ</t>
        </is>
      </c>
      <c r="E47" s="34" t="inlineStr">
        <is>
          <t>ไต</t>
        </is>
      </c>
      <c r="F47" s="34" t="inlineStr">
        <is>
          <t>ตับอักเสบ</t>
        </is>
      </c>
      <c r="G47" s="34" t="inlineStr">
        <is>
          <t>เบาหวาน</t>
        </is>
      </c>
      <c r="H47" s="34" t="inlineStr">
        <is>
          <t>ความดันโลหิตต่ำ</t>
        </is>
      </c>
      <c r="I47" s="33" t="inlineStr">
        <is>
          <t>4</t>
        </is>
      </c>
      <c r="J47" s="34"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35" t="n"/>
      <c r="L47" s="34" t="inlineStr">
        <is>
          <t>Diabetes mellitus</t>
        </is>
      </c>
      <c r="M47" s="35" t="inlineStr">
        <is>
          <t>Clinic</t>
        </is>
      </c>
      <c r="N47" s="34" t="inlineStr">
        <is>
          <t>ข้อ 55 ชุด 1 (เฉลยข้อ ง)</t>
        </is>
      </c>
      <c r="O47" s="35" t="inlineStr">
        <is>
          <t>Mock</t>
        </is>
      </c>
      <c r="P47" s="35" t="inlineStr">
        <is>
          <t>ชุด 1</t>
        </is>
      </c>
    </row>
    <row r="48" ht="13.2" customHeight="1" s="49">
      <c r="A48" s="33" t="n">
        <v>46</v>
      </c>
      <c r="B48" s="34" t="inlineStr">
        <is>
          <t>ยาใดทำให้เกิด hyperglycemia และ hypokalemia</t>
        </is>
      </c>
      <c r="C48" s="35" t="n"/>
      <c r="D48" s="34" t="inlineStr">
        <is>
          <t>Hydrocortisone</t>
        </is>
      </c>
      <c r="E48" s="34" t="inlineStr">
        <is>
          <t>Chlorpropamide</t>
        </is>
      </c>
      <c r="F48" s="34" t="inlineStr">
        <is>
          <t>Hydrochlorothiazide</t>
        </is>
      </c>
      <c r="G48" s="34" t="inlineStr">
        <is>
          <t>Bumetanide</t>
        </is>
      </c>
      <c r="H48" s="34" t="inlineStr">
        <is>
          <t>Prednisone</t>
        </is>
      </c>
      <c r="I48" s="33" t="inlineStr">
        <is>
          <t>3</t>
        </is>
      </c>
      <c r="J48" s="34"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35" t="n"/>
      <c r="L48" s="34" t="inlineStr">
        <is>
          <t>Diabetes mellitus</t>
        </is>
      </c>
      <c r="M48" s="35" t="inlineStr">
        <is>
          <t>Clinic</t>
        </is>
      </c>
      <c r="N48" s="34" t="inlineStr">
        <is>
          <t>ข้อ 56 ชุด 1 (เฉลยข้อ ค)</t>
        </is>
      </c>
      <c r="O48" s="35" t="inlineStr">
        <is>
          <t>Mock</t>
        </is>
      </c>
      <c r="P48" s="35" t="inlineStr">
        <is>
          <t>ชุด 1</t>
        </is>
      </c>
    </row>
    <row r="49" ht="13.2" customHeight="1" s="49">
      <c r="A49" s="33" t="n">
        <v>47</v>
      </c>
      <c r="B49" s="34" t="inlineStr">
        <is>
          <t>อาการที่เกิดขึ้นกับผู้ป่วยรายนี้ถือเป็น DRP ข้อใด</t>
        </is>
      </c>
      <c r="C49" s="35" t="n"/>
      <c r="D49" s="34" t="inlineStr">
        <is>
          <t>Non-compliance</t>
        </is>
      </c>
      <c r="E49" s="34" t="inlineStr">
        <is>
          <t>Low dose</t>
        </is>
      </c>
      <c r="F49" s="34" t="inlineStr">
        <is>
          <t>High dose</t>
        </is>
      </c>
      <c r="G49" s="34" t="inlineStr">
        <is>
          <t>Inappropriate treatment</t>
        </is>
      </c>
      <c r="H49" s="34" t="inlineStr">
        <is>
          <t>Adverse drug reaction</t>
        </is>
      </c>
      <c r="I49" s="33" t="inlineStr">
        <is>
          <t>1</t>
        </is>
      </c>
      <c r="J49" s="34"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35" t="n"/>
      <c r="L49" s="34" t="inlineStr">
        <is>
          <t>Diabetes mellitus</t>
        </is>
      </c>
      <c r="M49" s="35" t="inlineStr">
        <is>
          <t>Clinic</t>
        </is>
      </c>
      <c r="N49" s="34" t="inlineStr">
        <is>
          <t>ข้อ 85 ชุด 1 (เฉลยข้อ ก)</t>
        </is>
      </c>
      <c r="O49" s="35" t="inlineStr">
        <is>
          <t>Mock</t>
        </is>
      </c>
      <c r="P49" s="35" t="inlineStr">
        <is>
          <t>ชุด 1</t>
        </is>
      </c>
    </row>
    <row r="50" ht="13.2" customHeight="1" s="49">
      <c r="A50" s="33" t="n">
        <v>48</v>
      </c>
      <c r="B50" s="34" t="inlineStr">
        <is>
          <t>ยาใดมีผลช่วยลด macrovascular complication ได้</t>
        </is>
      </c>
      <c r="C50" s="35" t="n"/>
      <c r="D50" s="34" t="inlineStr">
        <is>
          <t>Acarbose และ metformin</t>
        </is>
      </c>
      <c r="E50" s="34" t="inlineStr">
        <is>
          <t>Glipizide และ pioglitazone</t>
        </is>
      </c>
      <c r="F50" s="34" t="inlineStr">
        <is>
          <t>SU และ metformin</t>
        </is>
      </c>
      <c r="G50" s="34" t="inlineStr">
        <is>
          <t>Repaglinide และ SU</t>
        </is>
      </c>
      <c r="H50" s="34" t="inlineStr">
        <is>
          <t>Metformin</t>
        </is>
      </c>
      <c r="I50" s="33" t="n">
        <v>5</v>
      </c>
      <c r="J50" s="34"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35" t="n"/>
      <c r="L50" s="34" t="inlineStr">
        <is>
          <t>Diabetes mellitus</t>
        </is>
      </c>
      <c r="M50" s="35" t="inlineStr">
        <is>
          <t>Clinic</t>
        </is>
      </c>
      <c r="N50" s="34" t="inlineStr">
        <is>
          <t>ข้อ 86 ชุด 1 (เฉลยข้อ จ)</t>
        </is>
      </c>
      <c r="O50" s="35" t="inlineStr">
        <is>
          <t>Mock</t>
        </is>
      </c>
      <c r="P50" s="35" t="inlineStr">
        <is>
          <t>ชุด 1</t>
        </is>
      </c>
    </row>
    <row r="51" ht="13.2" customHeight="1" s="49">
      <c r="A51" s="33" t="n">
        <v>49</v>
      </c>
      <c r="B51" s="34" t="inlineStr">
        <is>
          <t>ท่านจะแนะนำการรับประทานยา acarbose ชนิดเม็ดอย่างไร</t>
        </is>
      </c>
      <c r="C51" s="35" t="n"/>
      <c r="D51" s="34" t="inlineStr">
        <is>
          <t>รับประทานหลังอาหารทันที</t>
        </is>
      </c>
      <c r="E51" s="34" t="inlineStr">
        <is>
          <t>รับประทานก่อนอาหาร 30 นาที และอยู่ในท่านั่งสักครู่</t>
        </is>
      </c>
      <c r="F51" s="34" t="inlineStr">
        <is>
          <t>รับประทานพร้อมอาหารคำแรก</t>
        </is>
      </c>
      <c r="G51" s="34" t="inlineStr">
        <is>
          <t>รับประทานก่อนหรือหลังอาหารก็ได้</t>
        </is>
      </c>
      <c r="H51" s="34" t="inlineStr">
        <is>
          <t>เคี้ยวพร้อมอาหารคำแรก</t>
        </is>
      </c>
      <c r="I51" s="33" t="inlineStr">
        <is>
          <t>3</t>
        </is>
      </c>
      <c r="J51" s="34"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35" t="n"/>
      <c r="L51" s="34" t="inlineStr">
        <is>
          <t>Diabetes mellitus</t>
        </is>
      </c>
      <c r="M51" s="35" t="inlineStr">
        <is>
          <t>Clinic</t>
        </is>
      </c>
      <c r="N51" s="34" t="inlineStr">
        <is>
          <t>ข้อ 87 ชุด 1 (เฉลยข้อ ค)</t>
        </is>
      </c>
      <c r="O51" s="35" t="inlineStr">
        <is>
          <t>Mock</t>
        </is>
      </c>
      <c r="P51" s="35" t="inlineStr">
        <is>
          <t>ชุด 1</t>
        </is>
      </c>
    </row>
    <row r="52" ht="13.2" customHeight="1" s="49">
      <c r="A52" s="33" t="n">
        <v>50</v>
      </c>
      <c r="B52" s="34" t="inlineStr">
        <is>
          <t>เมื่อเปรียบเทียบ duration of action ของยาในกลุ่ม sulfonylureas พบว่าสามารถเรียงลำดับได้ดังนี้</t>
        </is>
      </c>
      <c r="C52" s="35" t="n"/>
      <c r="D52" s="34" t="inlineStr">
        <is>
          <t>Chlorpropamide &gt; Glyburide &gt; Glipizide &gt; Tolbutamide</t>
        </is>
      </c>
      <c r="E52" s="34" t="inlineStr">
        <is>
          <t>Tolbutamide &gt; Glipizide &gt; Glyburide &gt; Chlorpropamide</t>
        </is>
      </c>
      <c r="F52" s="34" t="inlineStr">
        <is>
          <t>Glyburide &gt; Tolbutamide &gt; Glipizide &gt; Chlorpropamide</t>
        </is>
      </c>
      <c r="G52" s="34" t="inlineStr">
        <is>
          <t>Glipizide &gt; Glyburide &gt; Chlorpropamide &gt; Tolbutamide</t>
        </is>
      </c>
      <c r="H52" s="34" t="inlineStr">
        <is>
          <t>Dapagliflozin 10 mg OD</t>
        </is>
      </c>
      <c r="I52" s="33" t="inlineStr">
        <is>
          <t>1</t>
        </is>
      </c>
      <c r="J52" s="34"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35" t="n"/>
      <c r="L52" s="34" t="inlineStr">
        <is>
          <t>Diabetes mellitus</t>
        </is>
      </c>
      <c r="M52" s="35" t="inlineStr">
        <is>
          <t>Clinic</t>
        </is>
      </c>
      <c r="N52" s="34" t="inlineStr">
        <is>
          <t>ข้อ 88 ชุด 1 (เฉลยข้อ ก)</t>
        </is>
      </c>
      <c r="O52" s="35" t="inlineStr">
        <is>
          <t>Mock</t>
        </is>
      </c>
      <c r="P52" s="35" t="inlineStr">
        <is>
          <t>ชุด 1</t>
        </is>
      </c>
    </row>
    <row r="53" ht="13.2" customHeight="1" s="49">
      <c r="A53" s="33" t="n">
        <v>51</v>
      </c>
      <c r="B53" s="34" t="inlineStr">
        <is>
          <t>กลไกการออกฤทธิ์ของยา chlorpropamide ในผู้ป่วยโรคเบาหวานได้แก่</t>
        </is>
      </c>
      <c r="C53" s="35" t="n"/>
      <c r="D53" s="34" t="inlineStr">
        <is>
          <t>เพิ่ม insulin resistance ในผู้ป่วย</t>
        </is>
      </c>
      <c r="E53" s="34" t="inlineStr">
        <is>
          <t>ลด insulin resistance ในผู้ป่วย</t>
        </is>
      </c>
      <c r="F53" s="34" t="inlineStr">
        <is>
          <t>กระตุ้นการหลั่งของ insulin ในผู้ป่วย</t>
        </is>
      </c>
      <c r="G53" s="34" t="inlineStr">
        <is>
          <t>ข้อ ก และ ค ถูก</t>
        </is>
      </c>
      <c r="H53" s="34" t="inlineStr">
        <is>
          <t>ข้อ ก และ ข ถูก</t>
        </is>
      </c>
      <c r="I53" s="33" t="inlineStr">
        <is>
          <t>3</t>
        </is>
      </c>
      <c r="J53" s="34"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35" t="n"/>
      <c r="L53" s="34" t="inlineStr">
        <is>
          <t>Diabetes mellitus</t>
        </is>
      </c>
      <c r="M53" s="35" t="inlineStr">
        <is>
          <t>Clinic</t>
        </is>
      </c>
      <c r="N53" s="34" t="inlineStr">
        <is>
          <t>ข้อ 89 ชุด 1 (เฉลยข้อ ค)</t>
        </is>
      </c>
      <c r="O53" s="35" t="inlineStr">
        <is>
          <t>Mock</t>
        </is>
      </c>
      <c r="P53" s="35" t="inlineStr">
        <is>
          <t>ชุด 1</t>
        </is>
      </c>
    </row>
    <row r="54" ht="13.2" customHeight="1" s="49">
      <c r="A54" s="33" t="n">
        <v>52</v>
      </c>
      <c r="B54" s="34" t="inlineStr">
        <is>
          <t>อาการแทรกซ้อนที่ต้องระวังในผู้ป่วยเบาหวานคืออะไร</t>
        </is>
      </c>
      <c r="C54" s="35" t="n"/>
      <c r="D54" s="34" t="inlineStr">
        <is>
          <t>Retinopathy</t>
        </is>
      </c>
      <c r="E54" s="34" t="inlineStr">
        <is>
          <t>Nephropathy</t>
        </is>
      </c>
      <c r="F54" s="34" t="inlineStr">
        <is>
          <t>Neuropathy</t>
        </is>
      </c>
      <c r="G54" s="34" t="inlineStr">
        <is>
          <t>Ischemic stroke</t>
        </is>
      </c>
      <c r="H54" s="34" t="inlineStr">
        <is>
          <t>ถูกทุกข้อ</t>
        </is>
      </c>
      <c r="I54" s="33" t="inlineStr">
        <is>
          <t>5</t>
        </is>
      </c>
      <c r="J54" s="34"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35" t="n"/>
      <c r="L54" s="34" t="inlineStr">
        <is>
          <t>Diabetes mellitus</t>
        </is>
      </c>
      <c r="M54" s="35" t="inlineStr">
        <is>
          <t>Clinic</t>
        </is>
      </c>
      <c r="N54" s="34" t="inlineStr">
        <is>
          <t>ข้อ 90 ชุด 1 (เฉลยข้อ จ)</t>
        </is>
      </c>
      <c r="O54" s="35" t="inlineStr">
        <is>
          <t>Mock</t>
        </is>
      </c>
      <c r="P54" s="35" t="inlineStr">
        <is>
          <t>ชุด 1</t>
        </is>
      </c>
    </row>
    <row r="55" ht="13.2" customHeight="1" s="49">
      <c r="A55" s="33" t="n">
        <v>53</v>
      </c>
      <c r="B55" s="34" t="inlineStr">
        <is>
          <t>ข้อใดไม่ใช่อาการหลักของผู้ป่วยเบาหวาน</t>
        </is>
      </c>
      <c r="C55" s="35" t="n"/>
      <c r="D55" s="34" t="inlineStr">
        <is>
          <t>Polyuria</t>
        </is>
      </c>
      <c r="E55" s="34" t="inlineStr">
        <is>
          <t>Weight gain</t>
        </is>
      </c>
      <c r="F55" s="34" t="inlineStr">
        <is>
          <t>Fatigue</t>
        </is>
      </c>
      <c r="G55" s="34" t="inlineStr">
        <is>
          <t>Polydipsia</t>
        </is>
      </c>
      <c r="H55" s="34" t="inlineStr">
        <is>
          <t>Polyphagia</t>
        </is>
      </c>
      <c r="I55" s="33" t="inlineStr">
        <is>
          <t>2</t>
        </is>
      </c>
      <c r="J55" s="34"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35" t="n"/>
      <c r="L55" s="34" t="inlineStr">
        <is>
          <t>Diabetes mellitus</t>
        </is>
      </c>
      <c r="M55" s="35" t="inlineStr">
        <is>
          <t>Clinic</t>
        </is>
      </c>
      <c r="N55" s="34" t="inlineStr">
        <is>
          <t>ข้อ 91 ชุด 1 (เฉลยข้อ ข)</t>
        </is>
      </c>
      <c r="O55" s="35" t="inlineStr">
        <is>
          <t>Mock</t>
        </is>
      </c>
      <c r="P55" s="35" t="inlineStr">
        <is>
          <t>ชุด 1</t>
        </is>
      </c>
    </row>
    <row r="56" ht="13.2" customHeight="1" s="49">
      <c r="A56" s="33" t="n">
        <v>54</v>
      </c>
      <c r="B56" s="34" t="inlineStr">
        <is>
          <t>Lispro insulin จัดอยู่ในประเภทใด</t>
        </is>
      </c>
      <c r="C56" s="35" t="n"/>
      <c r="D56" s="34" t="inlineStr">
        <is>
          <t>Rapid acting insulin</t>
        </is>
      </c>
      <c r="E56" s="34" t="inlineStr">
        <is>
          <t>Short acting insulin</t>
        </is>
      </c>
      <c r="F56" s="34" t="inlineStr">
        <is>
          <t>Intermediate acting insulin</t>
        </is>
      </c>
      <c r="G56" s="34" t="inlineStr">
        <is>
          <t>Long acting insulin</t>
        </is>
      </c>
      <c r="H56" s="34" t="inlineStr">
        <is>
          <t>Lente insulin</t>
        </is>
      </c>
      <c r="I56" s="33" t="inlineStr">
        <is>
          <t>4</t>
        </is>
      </c>
      <c r="J56" s="34"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35" t="n"/>
      <c r="L56" s="34" t="inlineStr">
        <is>
          <t>Diabetes mellitus</t>
        </is>
      </c>
      <c r="M56" s="35" t="inlineStr">
        <is>
          <t>Clinic</t>
        </is>
      </c>
      <c r="N56" s="34" t="inlineStr">
        <is>
          <t>ข้อ 92 ชุด 1 (เฉลยข้อ ง)</t>
        </is>
      </c>
      <c r="O56" s="35" t="inlineStr">
        <is>
          <t>Mock</t>
        </is>
      </c>
      <c r="P56" s="35" t="inlineStr">
        <is>
          <t>ชุด 1</t>
        </is>
      </c>
    </row>
    <row r="57" ht="13.2" customHeight="1" s="49">
      <c r="A57" s="33" t="n">
        <v>55</v>
      </c>
      <c r="B57" s="34" t="inlineStr">
        <is>
          <t>โครงสร้างนี้เป็นของยาตัวใด</t>
        </is>
      </c>
      <c r="C57" s="35" t="n"/>
      <c r="D57" s="34" t="inlineStr">
        <is>
          <t>Glibenclamide</t>
        </is>
      </c>
      <c r="E57" s="34" t="inlineStr">
        <is>
          <t>Metformin</t>
        </is>
      </c>
      <c r="F57" s="34" t="inlineStr">
        <is>
          <t>Glipizide</t>
        </is>
      </c>
      <c r="G57" s="34" t="inlineStr">
        <is>
          <t>Chlorpropamide</t>
        </is>
      </c>
      <c r="H57" s="34" t="inlineStr">
        <is>
          <t>Pioglitazone</t>
        </is>
      </c>
      <c r="I57" s="33" t="inlineStr">
        <is>
          <t>1</t>
        </is>
      </c>
      <c r="J57" s="34"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35" t="n"/>
      <c r="L57" s="34" t="inlineStr">
        <is>
          <t>Diabetes mellitus</t>
        </is>
      </c>
      <c r="M57" s="35" t="inlineStr">
        <is>
          <t>Clinic</t>
        </is>
      </c>
      <c r="N57" s="34" t="inlineStr">
        <is>
          <t>ข้อ 93 ชุด 1 (เฉลยข้อ )</t>
        </is>
      </c>
      <c r="O57" s="35" t="inlineStr">
        <is>
          <t>Mock</t>
        </is>
      </c>
      <c r="P57" s="35" t="inlineStr">
        <is>
          <t>ชุด 1</t>
        </is>
      </c>
    </row>
    <row r="58" ht="13.2" customHeight="1" s="49">
      <c r="A58" s="33" t="n">
        <v>56</v>
      </c>
      <c r="B58" s="34" t="inlineStr">
        <is>
          <t>อาการข้างเคียงที่ต้องเฝ้าระวังเป็นพิเศษ สำหรับยาในกลุ่ม Thiazolidinedione คือ</t>
        </is>
      </c>
      <c r="C58" s="35" t="n"/>
      <c r="D58" s="34" t="inlineStr">
        <is>
          <t>Renal toxicity</t>
        </is>
      </c>
      <c r="E58" s="34" t="inlineStr">
        <is>
          <t>Retinopathy</t>
        </is>
      </c>
      <c r="F58" s="34" t="inlineStr">
        <is>
          <t>Hepatotoxicity</t>
        </is>
      </c>
      <c r="G58" s="34" t="inlineStr">
        <is>
          <t>Cardiotoxicity</t>
        </is>
      </c>
      <c r="H58" s="34" t="inlineStr">
        <is>
          <t>ถูกต้องทุกข้อ</t>
        </is>
      </c>
      <c r="I58" s="33" t="inlineStr">
        <is>
          <t>3</t>
        </is>
      </c>
      <c r="J58" s="34"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35" t="n"/>
      <c r="L58" s="34" t="inlineStr">
        <is>
          <t>Diabetes mellitus</t>
        </is>
      </c>
      <c r="M58" s="35" t="inlineStr">
        <is>
          <t>Clinic</t>
        </is>
      </c>
      <c r="N58" s="34" t="inlineStr">
        <is>
          <t>ข้อ 94 ชุด 1 (เฉลยข้อ ค)</t>
        </is>
      </c>
      <c r="O58" s="35" t="inlineStr">
        <is>
          <t>Mock</t>
        </is>
      </c>
      <c r="P58" s="35" t="inlineStr">
        <is>
          <t>ชุด 1</t>
        </is>
      </c>
    </row>
    <row r="59" ht="13.2" customHeight="1" s="49">
      <c r="A59" s="33" t="n">
        <v>57</v>
      </c>
      <c r="B59" s="34" t="inlineStr">
        <is>
          <t>ข้อใดไม่ถูกต้องเกี่ยวกับรูปแบบการให้อินซูลินแบบผสมระหว่าง NPH/regular insulin</t>
        </is>
      </c>
      <c r="C59" s="35" t="n"/>
      <c r="D59" s="34" t="inlineStr">
        <is>
          <t>สามารถให้ได้วันละ 2 ครั้ง ทำให้ผู้ป่วยไม่ต้องฉีดอินซูลินหลายครั้งต่อวัน</t>
        </is>
      </c>
      <c r="E59" s="34" t="inlineStr">
        <is>
          <t>เหมาะกับผู้ป่วยที่รับประทานอาหารไม่ตรงเวลาหรือทานข้าวไม่ค่อยได้</t>
        </is>
      </c>
      <c r="F59" s="34" t="inlineStr">
        <is>
          <t>แบ่งขนาดยาก่อนอาหารเช้าเป็น 2/3 ของขนาดยาที่ต้องการทั้งหมดในแต่ละวัน</t>
        </is>
      </c>
      <c r="G59" s="34"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34" t="inlineStr">
        <is>
          <t>ถูกต้องทุกข้อ</t>
        </is>
      </c>
      <c r="I59" s="33" t="inlineStr">
        <is>
          <t>2</t>
        </is>
      </c>
      <c r="J59" s="34" t="inlineStr">
        <is>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is>
      </c>
      <c r="K59" s="35" t="n"/>
      <c r="L59" s="34" t="inlineStr">
        <is>
          <t>Diabetes mellitus</t>
        </is>
      </c>
      <c r="M59" s="35" t="inlineStr">
        <is>
          <t>Clinic</t>
        </is>
      </c>
      <c r="N59" s="34" t="inlineStr">
        <is>
          <t>ข้อ 95 ชุด 1 (เฉลยข้อ ข)</t>
        </is>
      </c>
      <c r="O59" s="35" t="inlineStr">
        <is>
          <t>Mock</t>
        </is>
      </c>
      <c r="P59" s="35" t="inlineStr">
        <is>
          <t>ชุด 1</t>
        </is>
      </c>
    </row>
    <row r="60" ht="13.2" customHeight="1" s="49">
      <c r="A60" s="33" t="n">
        <v>58</v>
      </c>
      <c r="B60" s="34" t="inlineStr">
        <is>
          <t>ข้อใดไม่ถูกต้องเกี่ยวกับวิธีการฉีดอินซูลิน</t>
        </is>
      </c>
      <c r="C60" s="35" t="n"/>
      <c r="D60" s="34"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34" t="inlineStr">
        <is>
          <t>การฉีดให้เปลี่ยนจุดที่ฉีดไปเรื่อย ๆ ห่างจากจุดเดิมประมาณ 1-2 นิ้ว</t>
        </is>
      </c>
      <c r="F60" s="34" t="inlineStr">
        <is>
          <t>บริเวณที่ควรฉีดอินซูลินได้แก่หน้าท้อง ต้นแขน สะโพก และต้นขา</t>
        </is>
      </c>
      <c r="G60" s="34" t="inlineStr">
        <is>
          <t>หลังฉีดยาให้เช็ดเข็มด้วย alcohol และปิดฝาครอบเข็มให้สนิทด้วยความระมัดระวัง</t>
        </is>
      </c>
      <c r="H60" s="34" t="inlineStr">
        <is>
          <t>ไม่มีข้อใดไม่ถูกต้อง</t>
        </is>
      </c>
      <c r="I60" s="33" t="inlineStr">
        <is>
          <t>4</t>
        </is>
      </c>
      <c r="J60" s="34"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35" t="n"/>
      <c r="L60" s="34" t="inlineStr">
        <is>
          <t>Diabetes mellitus</t>
        </is>
      </c>
      <c r="M60" s="35" t="inlineStr">
        <is>
          <t>Clinic</t>
        </is>
      </c>
      <c r="N60" s="34" t="inlineStr">
        <is>
          <t>ข้อ 96 ชุด 1 (เฉลยข้อ ง)</t>
        </is>
      </c>
      <c r="O60" s="35" t="inlineStr">
        <is>
          <t>Mock</t>
        </is>
      </c>
      <c r="P60" s="35" t="inlineStr">
        <is>
          <t>ชุด 1</t>
        </is>
      </c>
    </row>
    <row r="61" ht="13.2" customHeight="1" s="49">
      <c r="A61" s="33" t="n">
        <v>59</v>
      </c>
      <c r="B61" s="34" t="inlineStr">
        <is>
          <t>ข้อใดไม่ถูกต้องเกี่ยวกับวิธีการเก็บรักษาอินซูลิน</t>
        </is>
      </c>
      <c r="C61" s="35" t="n"/>
      <c r="D61" s="34" t="inlineStr">
        <is>
          <t>ขวดที่ยังไม่เปิดให้เก็บในตู้เย็น (2-8°C)</t>
        </is>
      </c>
      <c r="E61" s="34" t="inlineStr">
        <is>
          <t>ขวดที่เปิดแล้ว สามารถเก็บยาที่อุณหภูมิห้องได้ แต่ต้องใช้ให้หมดภายใน 1 เดือน</t>
        </is>
      </c>
      <c r="F61" s="34" t="inlineStr">
        <is>
          <t>ขวดที่ยังไม่เปิดและเก็บในตู้เย็นนั้น ยามีอายุตามฉลากข้างขวด</t>
        </is>
      </c>
      <c r="G61" s="34" t="inlineStr">
        <is>
          <t>หลังฉีดยาไม่ควรเก็บเข็มในตู้เย็นเพราะจะทำให้เข็มทื่อ</t>
        </is>
      </c>
      <c r="H61" s="34" t="inlineStr">
        <is>
          <t>ถูกต้องทุกข้อ</t>
        </is>
      </c>
      <c r="I61" s="33" t="inlineStr">
        <is>
          <t>4</t>
        </is>
      </c>
      <c r="J61" s="34"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35" t="n"/>
      <c r="L61" s="34" t="inlineStr">
        <is>
          <t>Diabetes mellitus</t>
        </is>
      </c>
      <c r="M61" s="35" t="inlineStr">
        <is>
          <t>Clinic</t>
        </is>
      </c>
      <c r="N61" s="34" t="inlineStr">
        <is>
          <t>ข้อ 97 ชุด 1 (เฉลยข้อ ง)</t>
        </is>
      </c>
      <c r="O61" s="35" t="inlineStr">
        <is>
          <t>Mock</t>
        </is>
      </c>
      <c r="P61" s="35" t="inlineStr">
        <is>
          <t>ชุด 1</t>
        </is>
      </c>
    </row>
    <row r="62" ht="13.2" customHeight="1" s="49">
      <c r="A62" s="33" t="n">
        <v>60</v>
      </c>
      <c r="B62" s="34" t="inlineStr">
        <is>
          <t>การปฏิบัติในข้อใด เหมาะสมกับการรักษาต่อไปในผู้ป่วยรายนี้</t>
        </is>
      </c>
      <c r="C62" s="35" t="n"/>
      <c r="D62" s="34" t="inlineStr">
        <is>
          <t>เปลี่ยนยา propylthiouracil เป็น methimazole ในขนาดรับประทานที่สมมูลกัน</t>
        </is>
      </c>
      <c r="E62" s="34" t="inlineStr">
        <is>
          <t>แนะนำให้ผู้ป่วยรับประทานยา propylthiouracil ในขนาดดังกล่าวต่อไป</t>
        </is>
      </c>
      <c r="F62" s="34" t="inlineStr">
        <is>
          <t>หยุดยารับประทาน เปลี่ยนวิธีการรักษาเป็นการผ่าตัดต่อม</t>
        </is>
      </c>
      <c r="G62" s="34" t="inlineStr">
        <is>
          <t>หยุดยารับประทาน ให้การรักษาด้วยการทาน iodine</t>
        </is>
      </c>
      <c r="H62" s="34" t="inlineStr">
        <is>
          <t>เพิ่ม propranolol ให้รับประทานร่วมกับยา propylthiouracil</t>
        </is>
      </c>
      <c r="I62" s="33" t="inlineStr">
        <is>
          <t>2</t>
        </is>
      </c>
      <c r="J62" s="34" t="inlineStr">
        <is>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is>
      </c>
      <c r="K62" s="35" t="n"/>
      <c r="L62" s="34" t="inlineStr">
        <is>
          <t>Hypo/Hyperthyroidism</t>
        </is>
      </c>
      <c r="M62" s="35" t="inlineStr">
        <is>
          <t>Clinic</t>
        </is>
      </c>
      <c r="N62" s="34" t="inlineStr">
        <is>
          <t>ข้อ 123 ชุด 1 (เฉลยข้อ ข)</t>
        </is>
      </c>
      <c r="O62" s="35" t="inlineStr">
        <is>
          <t>Mock</t>
        </is>
      </c>
      <c r="P62" s="35" t="inlineStr">
        <is>
          <t>ชุด 1</t>
        </is>
      </c>
    </row>
    <row r="63" ht="13.2" customHeight="1" s="49">
      <c r="A63" s="33" t="n">
        <v>61</v>
      </c>
      <c r="B63" s="34" t="inlineStr">
        <is>
          <t>อาการไม่พึงประสงค์ที่เกิดขึ้นจากการใช้ thiouracil</t>
        </is>
      </c>
      <c r="C63" s="35" t="n"/>
      <c r="D63" s="34" t="inlineStr">
        <is>
          <t>ปวดข้อ</t>
        </is>
      </c>
      <c r="E63" s="34" t="inlineStr">
        <is>
          <t>เม็ดเลือดขาวต่ำ</t>
        </is>
      </c>
      <c r="F63" s="34" t="inlineStr">
        <is>
          <t>ง่วงนอน</t>
        </is>
      </c>
      <c r="G63" s="34" t="inlineStr">
        <is>
          <t>SLE like syndrome</t>
        </is>
      </c>
      <c r="H63" s="34" t="inlineStr">
        <is>
          <t>Metallic taste</t>
        </is>
      </c>
      <c r="I63" s="33" t="inlineStr">
        <is>
          <t>2</t>
        </is>
      </c>
      <c r="J63" s="34"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35" t="n"/>
      <c r="L63" s="34" t="inlineStr">
        <is>
          <t>Diabetes mellitus</t>
        </is>
      </c>
      <c r="M63" s="35" t="inlineStr">
        <is>
          <t>Clinic</t>
        </is>
      </c>
      <c r="N63" s="34" t="inlineStr">
        <is>
          <t>ข้อ 124 ชุด 1 (เฉลยข้อ ข)</t>
        </is>
      </c>
      <c r="O63" s="35" t="inlineStr">
        <is>
          <t>Mock</t>
        </is>
      </c>
      <c r="P63" s="35" t="inlineStr">
        <is>
          <t>ชุด 1</t>
        </is>
      </c>
    </row>
    <row r="64" ht="13.2" customHeight="1" s="49">
      <c r="A64" s="33" t="n">
        <v>62</v>
      </c>
      <c r="B64" s="34" t="inlineStr">
        <is>
          <t>ข้อใดถูกต้องเกี่ยวกับยา propylthiouracil</t>
        </is>
      </c>
      <c r="C64" s="35" t="n"/>
      <c r="D64" s="34" t="inlineStr">
        <is>
          <t>เป็นอนุพันธ์ของ thiourea</t>
        </is>
      </c>
      <c r="E64" s="34" t="inlineStr">
        <is>
          <t>ยับยั้งการหลั่งของ thyroid hormone</t>
        </is>
      </c>
      <c r="F64" s="34" t="inlineStr">
        <is>
          <t>ใช้รักษา hypothyroid</t>
        </is>
      </c>
      <c r="G64" s="34" t="inlineStr">
        <is>
          <t>กระตุ้นเอนไซม์ thyroid peroxidase</t>
        </is>
      </c>
      <c r="H64" s="34" t="inlineStr">
        <is>
          <t>เพิ่มการสร้าง T3</t>
        </is>
      </c>
      <c r="I64" s="33" t="inlineStr">
        <is>
          <t>1</t>
        </is>
      </c>
      <c r="J64" s="34"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35" t="n"/>
      <c r="L64" s="34" t="inlineStr">
        <is>
          <t>Diabetes mellitus</t>
        </is>
      </c>
      <c r="M64" s="35" t="inlineStr">
        <is>
          <t>Clinic</t>
        </is>
      </c>
      <c r="N64" s="34" t="inlineStr">
        <is>
          <t>ข้อ 125 ชุด 1 (เฉลยข้อ ก)</t>
        </is>
      </c>
      <c r="O64" s="35" t="inlineStr">
        <is>
          <t>Mock</t>
        </is>
      </c>
      <c r="P64" s="35" t="inlineStr">
        <is>
          <t>ชุด 1</t>
        </is>
      </c>
    </row>
    <row r="65" ht="13.2" customHeight="1" s="49">
      <c r="A65" s="33" t="n">
        <v>63</v>
      </c>
      <c r="B65" s="34" t="inlineStr">
        <is>
          <t>Lugol's solution ประกอบด้วยสารชนิดใดเป็นส่วนประกอบ</t>
        </is>
      </c>
      <c r="C65" s="35" t="n"/>
      <c r="D65" s="34" t="inlineStr">
        <is>
          <t>Iodine + KI</t>
        </is>
      </c>
      <c r="E65" s="34" t="inlineStr">
        <is>
          <t>Manganese</t>
        </is>
      </c>
      <c r="F65" s="34" t="inlineStr">
        <is>
          <t>Methimazole</t>
        </is>
      </c>
      <c r="G65" s="34" t="inlineStr">
        <is>
          <t>Thiocyanate</t>
        </is>
      </c>
      <c r="H65" s="34" t="inlineStr">
        <is>
          <t>Propylthiouracil</t>
        </is>
      </c>
      <c r="I65" s="33" t="inlineStr">
        <is>
          <t>1</t>
        </is>
      </c>
      <c r="J65" s="34"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35" t="n"/>
      <c r="L65" s="34" t="inlineStr">
        <is>
          <t>Diabetes mellitus</t>
        </is>
      </c>
      <c r="M65" s="35" t="inlineStr">
        <is>
          <t>Clinic</t>
        </is>
      </c>
      <c r="N65" s="34" t="inlineStr">
        <is>
          <t>ข้อ 126 ชุด 1 (เฉลยข้อ ก)</t>
        </is>
      </c>
      <c r="O65" s="35" t="inlineStr">
        <is>
          <t>Mock</t>
        </is>
      </c>
      <c r="P65" s="35" t="inlineStr">
        <is>
          <t>ชุด 1</t>
        </is>
      </c>
    </row>
    <row r="66" ht="13.2" customHeight="1" s="49">
      <c r="A66" s="33" t="n">
        <v>64</v>
      </c>
      <c r="B66" s="34" t="inlineStr">
        <is>
          <t>ข้อใดถูกต้องเกี่ยวกับการใช้ยา propranolol ร่วมกับ propylthiouracil</t>
        </is>
      </c>
      <c r="C66" s="35" t="n"/>
      <c r="D66" s="34" t="inlineStr">
        <is>
          <t>Propranolol เป็น alpha-adrenergic blocking agent ชนิดหนึ่ง</t>
        </is>
      </c>
      <c r="E66" s="34" t="inlineStr">
        <is>
          <t>Propranolol ช่วยลดอาการต่าง ๆ เช่น tremor และ tachycardia ที่เกิดจาก thyrotoxicosis</t>
        </is>
      </c>
      <c r="F66" s="34" t="inlineStr">
        <is>
          <t>Propranolol มีความสำคัญต่อ pharmacokinetic ของ propylthiouracil ทำให้การดูดซึมและฤทธิ์ของยา propylthiouracil ดีขึ้น</t>
        </is>
      </c>
      <c r="G66" s="34" t="inlineStr">
        <is>
          <t>Propranolol ช่วยลดอาการข้างเคียงจากการใช้ยา propylthiouracil</t>
        </is>
      </c>
      <c r="H66" s="34" t="inlineStr">
        <is>
          <t>Propranolol ออกฤทธิ์เสริมกับ propylthiouracil โดยลดการสังเคราะห์ T4</t>
        </is>
      </c>
      <c r="I66" s="33" t="inlineStr">
        <is>
          <t>2</t>
        </is>
      </c>
      <c r="J66" s="34" t="inlineStr">
        <is>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is>
      </c>
      <c r="K66" s="35" t="n"/>
      <c r="L66" s="34" t="inlineStr">
        <is>
          <t>Hypo/Hyperthyroidism</t>
        </is>
      </c>
      <c r="M66" s="35" t="inlineStr">
        <is>
          <t>Clinic</t>
        </is>
      </c>
      <c r="N66" s="34" t="inlineStr">
        <is>
          <t>ข้อ 127 ชุด 1 (เฉลยข้อ ข)</t>
        </is>
      </c>
      <c r="O66" s="35" t="inlineStr">
        <is>
          <t>Mock</t>
        </is>
      </c>
      <c r="P66" s="35" t="inlineStr">
        <is>
          <t>ชุด 1</t>
        </is>
      </c>
    </row>
    <row r="67" ht="13.2" customHeight="1" s="49">
      <c r="A67" s="33" t="n">
        <v>65</v>
      </c>
      <c r="B67" s="34" t="inlineStr">
        <is>
          <t>ข้อใดผิดเกี่ยวกับ goiter</t>
        </is>
      </c>
      <c r="C67" s="35" t="n"/>
      <c r="D67" s="34" t="inlineStr">
        <is>
          <t>Iodine บางชนิด เช่น thiocyanate อาจมีผลทำให้เกิด goiter</t>
        </is>
      </c>
      <c r="E67" s="34" t="inlineStr">
        <is>
          <t>Thiocyanate อาจได้จากการ metabolize สารจากผัก เช่น กะหล่ำปลี</t>
        </is>
      </c>
      <c r="F67" s="34" t="inlineStr">
        <is>
          <t>Lithium สามารถลด secretion ของ thyroxine และสามารถช่วยในการรักษา hyperthyroidism</t>
        </is>
      </c>
      <c r="G67" s="34" t="inlineStr">
        <is>
          <t>Goitrin สามารถยับยั้ง thyroid peroxidase</t>
        </is>
      </c>
      <c r="H67" s="34" t="inlineStr">
        <is>
          <t>Perchlorate เป็น ion ที่ช่วยเพิ่มการ uptake iodide และเพิ่มระดับ iodide ใน thyroid</t>
        </is>
      </c>
      <c r="I67" s="33" t="inlineStr">
        <is>
          <t>5</t>
        </is>
      </c>
      <c r="J67" s="34"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35" t="n"/>
      <c r="L67" s="34" t="inlineStr">
        <is>
          <t>Diabetes mellitus</t>
        </is>
      </c>
      <c r="M67" s="35" t="inlineStr">
        <is>
          <t>Clinic</t>
        </is>
      </c>
      <c r="N67" s="34" t="inlineStr">
        <is>
          <t>ข้อ 128 ชุด 1 (เฉลยข้อ จ)</t>
        </is>
      </c>
      <c r="O67" s="35" t="inlineStr">
        <is>
          <t>Mock</t>
        </is>
      </c>
      <c r="P67" s="35" t="inlineStr">
        <is>
          <t>ชุด 1</t>
        </is>
      </c>
    </row>
    <row r="68" ht="13.2" customHeight="1" s="49">
      <c r="A68" s="33" t="n">
        <v>66</v>
      </c>
      <c r="B68" s="34" t="inlineStr">
        <is>
          <t>ชุมชนที่มีคนเป็น toxic goiter มากบ่งบอกว่าชุมชนนั้นมีลักษณะอย่างไร</t>
        </is>
      </c>
      <c r="C68" s="35" t="n"/>
      <c r="D68" s="34" t="inlineStr">
        <is>
          <t>ได้รับ iodine ต่ำเกินไป</t>
        </is>
      </c>
      <c r="E68" s="34" t="inlineStr">
        <is>
          <t>ได้รับ iodine มากเกินไป</t>
        </is>
      </c>
      <c r="F68" s="34" t="inlineStr">
        <is>
          <t>แหล่งน้ำดื่มมีการปนเปื้อนของสารหนู</t>
        </is>
      </c>
      <c r="G68" s="34" t="inlineStr">
        <is>
          <t>แหล่งน้ำดื่มมีการปนเปื้อนของสารตะกั่ว</t>
        </is>
      </c>
      <c r="H68" s="34" t="inlineStr">
        <is>
          <t>กินอาหารที่มี thiocyanide มากเกินไป</t>
        </is>
      </c>
      <c r="I68" s="33" t="inlineStr">
        <is>
          <t>2</t>
        </is>
      </c>
      <c r="J68" s="34"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35" t="n"/>
      <c r="L68" s="34" t="inlineStr">
        <is>
          <t>Diabetes mellitus</t>
        </is>
      </c>
      <c r="M68" s="35" t="inlineStr">
        <is>
          <t>Clinic</t>
        </is>
      </c>
      <c r="N68" s="34" t="inlineStr">
        <is>
          <t>ข้อ 129 ชุด 1 (เฉลยข้อ ข)</t>
        </is>
      </c>
      <c r="O68" s="35" t="inlineStr">
        <is>
          <t>Mock</t>
        </is>
      </c>
      <c r="P68" s="35" t="inlineStr">
        <is>
          <t>ชุด 1</t>
        </is>
      </c>
    </row>
    <row r="69" ht="13.2" customHeight="1" s="49">
      <c r="A69" s="33" t="n">
        <v>67</v>
      </c>
      <c r="B69" s="34" t="inlineStr">
        <is>
          <t>เป้าหมาย HbA1c ของผู้ป่วยรายนี้เป็นเท่าไหร่</t>
        </is>
      </c>
      <c r="C69" s="35" t="n"/>
      <c r="D69" s="34" t="inlineStr">
        <is>
          <t>&lt; 5.5%</t>
        </is>
      </c>
      <c r="E69" s="34" t="inlineStr">
        <is>
          <t>&lt; 6%</t>
        </is>
      </c>
      <c r="F69" s="34" t="inlineStr">
        <is>
          <t>&lt; 7%</t>
        </is>
      </c>
      <c r="G69" s="34" t="inlineStr">
        <is>
          <t>&lt; 8%</t>
        </is>
      </c>
      <c r="H69" s="34" t="inlineStr">
        <is>
          <t>&lt; 8.5%"</t>
        </is>
      </c>
      <c r="I69" s="33" t="inlineStr">
        <is>
          <t>1</t>
        </is>
      </c>
      <c r="J69" s="34"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35" t="n"/>
      <c r="L69" s="34" t="inlineStr">
        <is>
          <t>Diabetes mellitus</t>
        </is>
      </c>
      <c r="M69" s="35" t="inlineStr">
        <is>
          <t>Clinic</t>
        </is>
      </c>
      <c r="N69" s="34" t="inlineStr">
        <is>
          <t>Mock PLE-CC 1 ข้อ 26</t>
        </is>
      </c>
      <c r="O69" s="35" t="inlineStr">
        <is>
          <t>Mock</t>
        </is>
      </c>
      <c r="P69" s="35" t="inlineStr">
        <is>
          <t>Mock RxCU83</t>
        </is>
      </c>
      <c r="Q69" s="2" t="n"/>
    </row>
    <row r="70" ht="13.2" customHeight="1" s="49">
      <c r="A70" s="33" t="n">
        <v>68</v>
      </c>
      <c r="B70" s="34"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35" t="n"/>
      <c r="D70" s="34" t="inlineStr">
        <is>
          <t>Sitagliptin</t>
        </is>
      </c>
      <c r="E70" s="34" t="inlineStr">
        <is>
          <t>Empagliflozin</t>
        </is>
      </c>
      <c r="F70" s="34" t="inlineStr">
        <is>
          <t>Acarbose</t>
        </is>
      </c>
      <c r="G70" s="34" t="inlineStr">
        <is>
          <t>Semaglutide SC</t>
        </is>
      </c>
      <c r="H70" s="34" t="inlineStr">
        <is>
          <t>insulin SC</t>
        </is>
      </c>
      <c r="I70" s="33" t="inlineStr">
        <is>
          <t>3</t>
        </is>
      </c>
      <c r="J70" s="34"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35" t="n"/>
      <c r="L70" s="34" t="inlineStr">
        <is>
          <t>Diabetes mellitus</t>
        </is>
      </c>
      <c r="M70" s="35" t="inlineStr">
        <is>
          <t>Clinic</t>
        </is>
      </c>
      <c r="N70" s="34" t="inlineStr">
        <is>
          <t>Mock PLE-CC 1 ข้อ 27</t>
        </is>
      </c>
      <c r="O70" s="35" t="inlineStr">
        <is>
          <t>Mock</t>
        </is>
      </c>
      <c r="P70" s="35" t="inlineStr">
        <is>
          <t>Mock RxCU83</t>
        </is>
      </c>
      <c r="Q70" s="2" t="n"/>
    </row>
    <row r="71" ht="13.2" customHeight="1" s="49">
      <c r="A71" s="33" t="n">
        <v>69</v>
      </c>
      <c r="B71" s="34" t="inlineStr">
        <is>
          <t>หากแพทย์ต้องการเริ่ม insulin แก่ผู้ป่วยรายนี้ ผู้ป่วยควรได้รับ insulin ชนิดใดถึงจะเหมาะสมที่สุด ตาม ADA
2024 guideline</t>
        </is>
      </c>
      <c r="C71" s="35" t="n"/>
      <c r="D71" s="34" t="inlineStr">
        <is>
          <t>Lispro insulin SC</t>
        </is>
      </c>
      <c r="E71" s="34" t="inlineStr">
        <is>
          <t>Lispro insulin SC + insulin glargine SC</t>
        </is>
      </c>
      <c r="F71" s="34" t="inlineStr">
        <is>
          <t>RI insulin SC</t>
        </is>
      </c>
      <c r="G71" s="34" t="inlineStr">
        <is>
          <t>RI insulin SC + NPH insulin SC</t>
        </is>
      </c>
      <c r="H71" s="34" t="inlineStr">
        <is>
          <t>Insulin glargine SC</t>
        </is>
      </c>
      <c r="I71" s="33" t="inlineStr">
        <is>
          <t>1</t>
        </is>
      </c>
      <c r="J71" s="34"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35" t="n"/>
      <c r="L71" s="34" t="inlineStr">
        <is>
          <t>Diabetes mellitus</t>
        </is>
      </c>
      <c r="M71" s="35" t="inlineStr">
        <is>
          <t>Clinic</t>
        </is>
      </c>
      <c r="N71" s="34" t="inlineStr">
        <is>
          <t>Mock PLE-CC 1 ข้อ 28</t>
        </is>
      </c>
      <c r="O71" s="35" t="inlineStr">
        <is>
          <t>Mock</t>
        </is>
      </c>
      <c r="P71" s="35" t="inlineStr">
        <is>
          <t>Mock RxCU83</t>
        </is>
      </c>
      <c r="Q71" s="2" t="n"/>
    </row>
    <row r="72" ht="13.2" customHeight="1" s="49">
      <c r="A72" s="33" t="n">
        <v>70</v>
      </c>
      <c r="B72" s="34" t="inlineStr">
        <is>
          <t>ยาในข้อใดไม่มีในการเพิ่มการหลั่ง insulin</t>
        </is>
      </c>
      <c r="C72" s="35" t="n"/>
      <c r="D72" s="34" t="inlineStr">
        <is>
          <t>Glipizide</t>
        </is>
      </c>
      <c r="E72" s="34" t="inlineStr">
        <is>
          <t>Repaglinide</t>
        </is>
      </c>
      <c r="F72" s="34" t="inlineStr">
        <is>
          <t>Pioglitazone</t>
        </is>
      </c>
      <c r="G72" s="34" t="inlineStr">
        <is>
          <t>Saxagliptin</t>
        </is>
      </c>
      <c r="H72" s="34" t="inlineStr">
        <is>
          <t>Liraglutide</t>
        </is>
      </c>
      <c r="I72" s="33" t="inlineStr">
        <is>
          <t>1</t>
        </is>
      </c>
      <c r="J72" s="34"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35" t="n"/>
      <c r="L72" s="34" t="inlineStr">
        <is>
          <t>Diabetes mellitus</t>
        </is>
      </c>
      <c r="M72" s="35" t="inlineStr">
        <is>
          <t>Clinic</t>
        </is>
      </c>
      <c r="N72" s="34" t="inlineStr">
        <is>
          <t>Mock PLE-CC 1 ข้อ 29</t>
        </is>
      </c>
      <c r="O72" s="35" t="inlineStr">
        <is>
          <t>Mock</t>
        </is>
      </c>
      <c r="P72" s="35" t="inlineStr">
        <is>
          <t>Mock RxCU83</t>
        </is>
      </c>
      <c r="Q72" s="2" t="n"/>
    </row>
    <row r="73" ht="13.2" customHeight="1" s="49">
      <c r="A73" s="33" t="n">
        <v>71</v>
      </c>
      <c r="B73" s="34" t="inlineStr">
        <is>
          <t>กลไกการออกฤทธิ์หลักของยา semaglutide คือข้อใด</t>
        </is>
      </c>
      <c r="C73" s="35" t="n"/>
      <c r="D73" s="34" t="inlineStr">
        <is>
          <t>กระตุ้น PPAR-γ receptor</t>
        </is>
      </c>
      <c r="E73" s="34" t="inlineStr">
        <is>
          <t>กระตุ้น GLP-1 receptor</t>
        </is>
      </c>
      <c r="F73" s="34" t="inlineStr">
        <is>
          <t>ยับยั้งการดูดกลับกลูโคสที่หน่วยไต</t>
        </is>
      </c>
      <c r="G73" s="34" t="inlineStr">
        <is>
          <t>กระตุ้น sulfonylurea receptor type 1</t>
        </is>
      </c>
      <c r="H73" s="34" t="inlineStr">
        <is>
          <t>ยับยั้งเอนไซม์ α-glucosidase</t>
        </is>
      </c>
      <c r="I73" s="33" t="inlineStr">
        <is>
          <t>1</t>
        </is>
      </c>
      <c r="J73" s="34"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35" t="n"/>
      <c r="L73" s="34" t="inlineStr">
        <is>
          <t>Diabetes mellitus</t>
        </is>
      </c>
      <c r="M73" s="35" t="inlineStr">
        <is>
          <t>Clinic</t>
        </is>
      </c>
      <c r="N73" s="34" t="inlineStr">
        <is>
          <t>Mock PLE-CC 1 ข้อ 30</t>
        </is>
      </c>
      <c r="O73" s="35" t="inlineStr">
        <is>
          <t>Mock</t>
        </is>
      </c>
      <c r="P73" s="35" t="inlineStr">
        <is>
          <t>Mock RxCU83</t>
        </is>
      </c>
      <c r="Q73" s="2" t="n"/>
    </row>
    <row r="74" ht="13.2" customHeight="1" s="49">
      <c r="A74" s="33" t="n">
        <v>72</v>
      </c>
      <c r="B74" s="34" t="inlineStr">
        <is>
          <t>การเติม Zinc chloride หรือ Zinc acetate ในสูตรตำรับ NPH insulin มีส่วนช่วยอะไรในสูตรตำรับ</t>
        </is>
      </c>
      <c r="C74" s="35" t="n"/>
      <c r="D74" s="34" t="inlineStr">
        <is>
          <t>เสริมฤทธิ์การกันเสีย (preservative) ร่วมกับ phenol</t>
        </is>
      </c>
      <c r="E74" s="34" t="inlineStr">
        <is>
          <t>ป้องกันการตกตะกอนของ insulin</t>
        </is>
      </c>
      <c r="F74" s="34" t="inlineStr">
        <is>
          <t>ทำให้เกิดสารประกอบเชิงซ้อนกับ insulin ส่งผลต่อการออกฤทธิ์</t>
        </is>
      </c>
      <c r="G74" s="34" t="inlineStr">
        <is>
          <t>ป้องกันการดูดซับของ insulin บนพื้นผิวภาชนะแก้ว type 1</t>
        </is>
      </c>
      <c r="H74" s="34" t="inlineStr">
        <is>
          <t>เพื่อเพิ่มความคงตัวของ pH ในการผลิตและเก็บรักษา</t>
        </is>
      </c>
      <c r="I74" s="33" t="inlineStr">
        <is>
          <t>2</t>
        </is>
      </c>
      <c r="J74" s="34"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35" t="n"/>
      <c r="L74" s="34" t="inlineStr">
        <is>
          <t>Diabetes mellitus</t>
        </is>
      </c>
      <c r="M74" s="35" t="inlineStr">
        <is>
          <t>Clinic</t>
        </is>
      </c>
      <c r="N74" s="34" t="inlineStr">
        <is>
          <t>Mock PLE-CC 1 ข้อ 31</t>
        </is>
      </c>
      <c r="O74" s="35" t="inlineStr">
        <is>
          <t>Mock</t>
        </is>
      </c>
      <c r="P74" s="35" t="inlineStr">
        <is>
          <t>Mock RxCU83</t>
        </is>
      </c>
      <c r="Q74" s="2" t="n"/>
    </row>
    <row r="75" ht="13.2" customHeight="1" s="49">
      <c r="A75" s="33" t="n">
        <v>73</v>
      </c>
      <c r="B75" s="34" t="inlineStr">
        <is>
          <t>ข้อใดคือแนวทางแก้ปัญหาที่มักพบในการผลิตยา insulin injection แล้วมีฟอง และการรวมกลุ่ม (aggregation)</t>
        </is>
      </c>
      <c r="C75" s="35" t="n"/>
      <c r="D75" s="34" t="inlineStr">
        <is>
          <t>ลดอุณหภูมิระหว่างการผลิตต ่ากว่า 0</t>
        </is>
      </c>
      <c r="E75" s="34" t="inlineStr">
        <is>
          <t>เพิ่มสารลดแรงตึงผิว non-ionic เช่น polysorbate 20</t>
        </is>
      </c>
      <c r="F75" s="34" t="inlineStr">
        <is>
          <t>เติม zinc รูป zinc chloride</t>
        </is>
      </c>
      <c r="G75" s="34" t="inlineStr">
        <is>
          <t>ใช้ nitrogen purging ไล่ออกซิเจน</t>
        </is>
      </c>
      <c r="H75" s="34" t="inlineStr">
        <is>
          <t>เปลี่ยนสูตรต ารับเป็น acetate buffer แทน phosphate buffer"</t>
        </is>
      </c>
      <c r="I75" s="33" t="inlineStr">
        <is>
          <t>1</t>
        </is>
      </c>
      <c r="J75" s="34"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35" t="n"/>
      <c r="L75" s="34" t="inlineStr">
        <is>
          <t>Diabetes mellitus</t>
        </is>
      </c>
      <c r="M75" s="35" t="inlineStr">
        <is>
          <t>Clinic</t>
        </is>
      </c>
      <c r="N75" s="34" t="inlineStr">
        <is>
          <t>Mock PLE-CC 1 ข้อ 33</t>
        </is>
      </c>
      <c r="O75" s="35" t="inlineStr">
        <is>
          <t>Mock</t>
        </is>
      </c>
      <c r="P75" s="35" t="inlineStr">
        <is>
          <t>Mock RxCU83</t>
        </is>
      </c>
      <c r="Q75" s="2" t="n"/>
    </row>
    <row r="76" ht="13.2" customHeight="1" s="49">
      <c r="A76" s="33" t="n">
        <v>74</v>
      </c>
      <c r="B76" s="34" t="inlineStr">
        <is>
          <t>การผลิต insulin ในระดับอุตสาหกรรม ข้อใดมีความเป็นไปได้มากที่สุด</t>
        </is>
      </c>
      <c r="C76" s="35" t="n"/>
      <c r="D76" s="34" t="inlineStr">
        <is>
          <t>สกัดโดยตรงจากสุกรหรือวัว แล้วเอามาสังเคราะห์ต่อ จนได้ insulin</t>
        </is>
      </c>
      <c r="E76" s="34" t="inlineStr">
        <is>
          <t>ใช้ E. coli หรือ Saccharomyces cerevisiae สังเคราะห์ แล้วใช้ C-$Peptidase ตัดให้เป็น insulin</t>
        </is>
      </c>
      <c r="F76" s="34" t="inlineStr">
        <is>
          <t>SPPS แล้วพับใน bioreactor</t>
        </is>
      </c>
      <c r="G76" s="34" t="inlineStr">
        <is>
          <t>hybridoma technology ผลิตเป็น Immuno monoclonal antibody</t>
        </is>
      </c>
      <c r="H76" s="34" t="inlineStr">
        <is>
          <t>ใช้ stem cell ของ human beta cell ในตับอ่อน แล้วสกัด insulin ออกมาท า formulation ต่อ"</t>
        </is>
      </c>
      <c r="I76" s="33" t="inlineStr">
        <is>
          <t>1</t>
        </is>
      </c>
      <c r="J76" s="34"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35" t="n"/>
      <c r="L76" s="34" t="inlineStr">
        <is>
          <t>Diabetes mellitus</t>
        </is>
      </c>
      <c r="M76" s="35" t="inlineStr">
        <is>
          <t>Clinic</t>
        </is>
      </c>
      <c r="N76" s="34" t="inlineStr">
        <is>
          <t>Mock PLE-CC 1 ข้อ 36</t>
        </is>
      </c>
      <c r="O76" s="35" t="inlineStr">
        <is>
          <t>Mock</t>
        </is>
      </c>
      <c r="P76" s="35" t="inlineStr">
        <is>
          <t>Mock RxCU83</t>
        </is>
      </c>
      <c r="Q76" s="2" t="n"/>
    </row>
    <row r="77" ht="13.2" customHeight="1" s="49">
      <c r="A77" s="33" t="n">
        <v>75</v>
      </c>
      <c r="B77" s="34"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35" t="n"/>
      <c r="D77" s="34" t="inlineStr">
        <is>
          <t>Levothyroxine 50 mcg OD</t>
        </is>
      </c>
      <c r="E77" s="34" t="inlineStr">
        <is>
          <t>Propylthiouracil 50 mg TID</t>
        </is>
      </c>
      <c r="F77" s="34" t="inlineStr">
        <is>
          <t>Methimazole 10 mg OD</t>
        </is>
      </c>
      <c r="G77" s="34" t="inlineStr">
        <is>
          <t>Pioglitazone 15 mg OD</t>
        </is>
      </c>
      <c r="H77" s="34" t="n"/>
      <c r="I77" s="33" t="inlineStr">
        <is>
          <t>1</t>
        </is>
      </c>
      <c r="J77"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35" t="n"/>
      <c r="L77" s="34" t="inlineStr">
        <is>
          <t>Diabetes mellitus</t>
        </is>
      </c>
      <c r="M77" s="35" t="inlineStr">
        <is>
          <t>Clinic</t>
        </is>
      </c>
      <c r="N77" s="34" t="inlineStr">
        <is>
          <t>Mock PLE-CC 1 ข้อ 37</t>
        </is>
      </c>
      <c r="O77" s="35" t="inlineStr">
        <is>
          <t>Mock</t>
        </is>
      </c>
      <c r="P77" s="35" t="inlineStr">
        <is>
          <t>Mock RxCU83</t>
        </is>
      </c>
      <c r="Q77" s="2" t="n"/>
    </row>
    <row r="78" ht="13.2" customHeight="1" s="49">
      <c r="A78" s="33" t="n">
        <v>76</v>
      </c>
      <c r="B78" s="34" t="inlineStr">
        <is>
          <t>พืชผัก ในข้อใด มีผลลดระดับน ้าตาลในเลือด</t>
        </is>
      </c>
      <c r="C78" s="35" t="n"/>
      <c r="D78" s="34" t="inlineStr">
        <is>
          <t>ยอดฝักแม้ว</t>
        </is>
      </c>
      <c r="E78" s="34" t="inlineStr">
        <is>
          <t>ใบกะหล ่าปลี</t>
        </is>
      </c>
      <c r="F78" s="34" t="inlineStr">
        <is>
          <t>ผลบวบงู</t>
        </is>
      </c>
      <c r="G78" s="34" t="inlineStr">
        <is>
          <t>ผลมะระขี้นก</t>
        </is>
      </c>
      <c r="H78" s="34" t="inlineStr">
        <is>
          <t>ช่อดอกบล็อคโคลี</t>
        </is>
      </c>
      <c r="I78" s="33" t="inlineStr">
        <is>
          <t>2</t>
        </is>
      </c>
      <c r="J78" s="34"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35" t="n"/>
      <c r="L78" s="34" t="inlineStr">
        <is>
          <t>Diabetes mellitus</t>
        </is>
      </c>
      <c r="M78" s="35" t="inlineStr">
        <is>
          <t>Clinic</t>
        </is>
      </c>
      <c r="N78" s="34" t="inlineStr">
        <is>
          <t>Mock PLE-CC 1 ข้อ 39</t>
        </is>
      </c>
      <c r="O78" s="35" t="inlineStr">
        <is>
          <t>Mock</t>
        </is>
      </c>
      <c r="P78" s="35" t="inlineStr">
        <is>
          <t>Mock RxCU83</t>
        </is>
      </c>
      <c r="Q78" s="2" t="n"/>
    </row>
    <row r="79" ht="13.2" customHeight="1" s="49">
      <c r="A79" s="33" t="n">
        <v>77</v>
      </c>
      <c r="B79" s="34" t="inlineStr">
        <is>
          <t>ในการพัฒนาสูตรตำรับยาพ่นจมูกในรูปแบบสารละลาย (Non-pressurized Multiple Use …)
ไม่จำเป็นต้องทำการทดสอบใด</t>
        </is>
      </c>
      <c r="C79" s="35" t="n"/>
      <c r="D79" s="34" t="inlineStr">
        <is>
          <t>Uniformity of dosage unit/delivered dose uniformity</t>
        </is>
      </c>
      <c r="E79" s="34" t="inlineStr">
        <is>
          <t>Droplet size distribution</t>
        </is>
      </c>
      <c r="F79" s="34" t="inlineStr">
        <is>
          <t>Actuator deposition</t>
        </is>
      </c>
      <c r="G79" s="34" t="inlineStr">
        <is>
          <t>Shake requirement</t>
        </is>
      </c>
      <c r="H79" s="34" t="inlineStr">
        <is>
          <t>Extractable/Leachable</t>
        </is>
      </c>
      <c r="I79" s="33" t="inlineStr">
        <is>
          <t>1</t>
        </is>
      </c>
      <c r="J79" s="34"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35" t="n"/>
      <c r="L79" s="34" t="inlineStr">
        <is>
          <t>Diabetes mellitus</t>
        </is>
      </c>
      <c r="M79" s="35" t="inlineStr">
        <is>
          <t>Clinic</t>
        </is>
      </c>
      <c r="N79" s="34" t="inlineStr">
        <is>
          <t>Mock PLE-CC 1 ข้อ 46</t>
        </is>
      </c>
      <c r="O79" s="35" t="inlineStr">
        <is>
          <t>Mock</t>
        </is>
      </c>
      <c r="P79" s="35" t="inlineStr">
        <is>
          <t>Mock RxCU83</t>
        </is>
      </c>
      <c r="Q79" s="2" t="n"/>
    </row>
    <row r="80" ht="13.2" customHeight="1" s="49">
      <c r="A80" s="33" t="n">
        <v>78</v>
      </c>
      <c r="B80" s="34" t="inlineStr">
        <is>
          <t>ข้อใดไม่ใช่ปัจจัยที่มาพิจารณาการตั้งตำรับผลิตภัณฑ์ยาพ่นจมูกรูปแบบสารละลาย</t>
        </is>
      </c>
      <c r="C80" s="35" t="n"/>
      <c r="D80" s="34" t="inlineStr">
        <is>
          <t>Particle size</t>
        </is>
      </c>
      <c r="E80" s="34" t="inlineStr">
        <is>
          <t>Solvent</t>
        </is>
      </c>
      <c r="F80" s="34" t="inlineStr">
        <is>
          <t>Viscosity</t>
        </is>
      </c>
      <c r="G80" s="34" t="inlineStr">
        <is>
          <t>Osmolarity</t>
        </is>
      </c>
      <c r="H80" s="34" t="inlineStr">
        <is>
          <t>pH</t>
        </is>
      </c>
      <c r="I80" s="33" t="inlineStr">
        <is>
          <t>1</t>
        </is>
      </c>
      <c r="J80" s="34"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35" t="n"/>
      <c r="L80" s="34" t="inlineStr">
        <is>
          <t>Diabetes mellitus</t>
        </is>
      </c>
      <c r="M80" s="35" t="inlineStr">
        <is>
          <t>Clinic</t>
        </is>
      </c>
      <c r="N80" s="34" t="inlineStr">
        <is>
          <t>Mock PLE-CC 1 ข้อ 47</t>
        </is>
      </c>
      <c r="O80" s="35" t="inlineStr">
        <is>
          <t>Mock</t>
        </is>
      </c>
      <c r="P80" s="35" t="inlineStr">
        <is>
          <t>Mock RxCU83</t>
        </is>
      </c>
      <c r="Q80" s="2" t="n"/>
    </row>
    <row r="81" ht="13.2" customHeight="1" s="49">
      <c r="A81" s="33" t="n">
        <v>79</v>
      </c>
      <c r="B81" s="34" t="inlineStr">
        <is>
          <t>หัวข้อใดไม่จำเป็นต้องกำหนดในการควบคุมคุณภาพของผลิตภัณฑ์ยาพ่นจมูกรูปแบบสารละลาย</t>
        </is>
      </c>
      <c r="C81" s="35" t="n"/>
      <c r="D81" s="34" t="inlineStr">
        <is>
          <t>Description</t>
        </is>
      </c>
      <c r="E81" s="34" t="inlineStr">
        <is>
          <t>Assay</t>
        </is>
      </c>
      <c r="F81" s="34" t="inlineStr">
        <is>
          <t>Moisture content</t>
        </is>
      </c>
      <c r="G81" s="34" t="inlineStr">
        <is>
          <t>Microbial limit</t>
        </is>
      </c>
      <c r="H81" s="34" t="inlineStr">
        <is>
          <t>Mean delivered dose</t>
        </is>
      </c>
      <c r="I81" s="33" t="inlineStr">
        <is>
          <t>1</t>
        </is>
      </c>
      <c r="J81" s="34"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35" t="n"/>
      <c r="L81" s="34" t="inlineStr">
        <is>
          <t>Diabetes mellitus</t>
        </is>
      </c>
      <c r="M81" s="35" t="inlineStr">
        <is>
          <t>Clinic</t>
        </is>
      </c>
      <c r="N81" s="34" t="inlineStr">
        <is>
          <t>Mock PLE-CC 1 ข้อ 48</t>
        </is>
      </c>
      <c r="O81" s="35" t="inlineStr">
        <is>
          <t>Mock</t>
        </is>
      </c>
      <c r="P81" s="35" t="inlineStr">
        <is>
          <t>Mock RxCU83</t>
        </is>
      </c>
      <c r="Q81" s="2" t="n"/>
    </row>
    <row r="82" ht="13.2" customHeight="1" s="49">
      <c r="A82" s="33" t="n">
        <v>80</v>
      </c>
      <c r="B82" s="34"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35" t="n"/>
      <c r="D82" s="34" t="inlineStr">
        <is>
          <t>Methimazole 10 mg OD</t>
        </is>
      </c>
      <c r="E82" s="34" t="inlineStr">
        <is>
          <t>Pioglitazone 15 mg OD</t>
        </is>
      </c>
      <c r="F82" s="34" t="inlineStr">
        <is>
          <t>A และ B</t>
        </is>
      </c>
      <c r="G82" s="34" t="inlineStr">
        <is>
          <t>ไม่ใช้ทั้ง A และ B</t>
        </is>
      </c>
      <c r="H82" s="34" t="inlineStr">
        <is>
          <t>ตัดสินไม่ได้</t>
        </is>
      </c>
      <c r="I82" s="33" t="inlineStr">
        <is>
          <t>1</t>
        </is>
      </c>
      <c r="J82"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35" t="n"/>
      <c r="L82" s="34" t="inlineStr">
        <is>
          <t>Diabetes mellitus</t>
        </is>
      </c>
      <c r="M82" s="35" t="inlineStr">
        <is>
          <t>Clinic</t>
        </is>
      </c>
      <c r="N82" s="34" t="inlineStr">
        <is>
          <t>Mock PLE-CC 1 ข้อ 49</t>
        </is>
      </c>
      <c r="O82" s="35" t="inlineStr">
        <is>
          <t>Mock</t>
        </is>
      </c>
      <c r="P82" s="35" t="inlineStr">
        <is>
          <t>Mock RxCU83</t>
        </is>
      </c>
      <c r="Q82" s="2" t="n"/>
    </row>
    <row r="83" ht="13.2" customHeight="1" s="49">
      <c r="A83" s="33" t="n">
        <v>81</v>
      </c>
      <c r="B83" s="34" t="inlineStr">
        <is>
          <t>ข้อใดถูกต้องเกี่ยวกับ immune-related adverse events (irAEs)</t>
        </is>
      </c>
      <c r="C83" s="35" t="n"/>
      <c r="D83" s="34" t="inlineStr">
        <is>
          <t>ลำดับการเกิดคือ colitis &gt; endocrinepathy &gt; skin &gt; liver toxicity</t>
        </is>
      </c>
      <c r="E83" s="34" t="inlineStr">
        <is>
          <t>Endocrine toxicity คือการเกิด hypothyroidism รักษาด้วย steroid</t>
        </is>
      </c>
      <c r="F83" s="34" t="inlineStr">
        <is>
          <t>สามารถเกิดได้กับหลายอวัยวะ และเกิดได้แม้หยุดยาไปแล้ว</t>
        </is>
      </c>
      <c r="G83" s="34" t="inlineStr">
        <is>
          <t>ไม่จำเป็นต้องหยุดยา และสามารถหายได้เอง</t>
        </is>
      </c>
      <c r="H83" s="34" t="inlineStr">
        <is>
          <t>Skin จะเกิดเฉพาะกับผู้ป่วยที่มี EGFR mutation positive เท่านั้น</t>
        </is>
      </c>
      <c r="I83" s="33" t="inlineStr">
        <is>
          <t>1</t>
        </is>
      </c>
      <c r="J83" s="34"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35" t="n"/>
      <c r="L83" s="34" t="inlineStr">
        <is>
          <t>Diabetes mellitus</t>
        </is>
      </c>
      <c r="M83" s="35" t="inlineStr">
        <is>
          <t>Clinic</t>
        </is>
      </c>
      <c r="N83" s="34" t="inlineStr">
        <is>
          <t>Mock PLE-CC 1 ข้อ 68</t>
        </is>
      </c>
      <c r="O83" s="35" t="inlineStr">
        <is>
          <t>Mock</t>
        </is>
      </c>
      <c r="P83" s="35" t="inlineStr">
        <is>
          <t>Mock RxCU83</t>
        </is>
      </c>
      <c r="Q83" s="2" t="n"/>
    </row>
    <row r="84" ht="13.2" customHeight="1" s="49">
      <c r="A84" s="33" t="n">
        <v>82</v>
      </c>
      <c r="B84" s="34" t="inlineStr">
        <is>
          <t>ใช้ propranolol ในการป้องกันไมเกรน ควรระวังในผู้ป่วยที่มีโรคร่วมใดมากที่สุด</t>
        </is>
      </c>
      <c r="C84" s="35" t="n"/>
      <c r="D84" s="34" t="inlineStr">
        <is>
          <t>เบาหวาน</t>
        </is>
      </c>
      <c r="E84" s="34" t="inlineStr">
        <is>
          <t>หืด</t>
        </is>
      </c>
      <c r="F84" s="34" t="inlineStr">
        <is>
          <t>ซึมเศร้า</t>
        </is>
      </c>
      <c r="G84" s="34" t="inlineStr">
        <is>
          <t>กรดไหลย้อน</t>
        </is>
      </c>
      <c r="H84" s="34" t="inlineStr">
        <is>
          <t>ไตเรื้อรัง</t>
        </is>
      </c>
      <c r="I84" s="33" t="inlineStr">
        <is>
          <t>1</t>
        </is>
      </c>
      <c r="J84" s="34"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35" t="n"/>
      <c r="L84" s="34" t="inlineStr">
        <is>
          <t>Diabetes mellitus</t>
        </is>
      </c>
      <c r="M84" s="35" t="inlineStr">
        <is>
          <t>Clinic</t>
        </is>
      </c>
      <c r="N84" s="34" t="inlineStr">
        <is>
          <t>Mock PLE-CC 1 ข้อ 111</t>
        </is>
      </c>
      <c r="O84" s="35" t="inlineStr">
        <is>
          <t>Mock</t>
        </is>
      </c>
      <c r="P84" s="35" t="inlineStr">
        <is>
          <t>Mock RxCU83</t>
        </is>
      </c>
      <c r="Q84" s="2" t="n"/>
    </row>
    <row r="85" ht="13.2" customHeight="1" s="49">
      <c r="A85" s="33" t="n">
        <v>83</v>
      </c>
      <c r="B85" s="34"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35" t="n"/>
      <c r="D85" s="34" t="inlineStr">
        <is>
          <t>ให้กินยาจนครบคอร์ส 6-8 เดือน ห้ามหยุดยาเอง ก่อนปรึกษาแพทย์</t>
        </is>
      </c>
      <c r="E85" s="34" t="inlineStr">
        <is>
          <t>ยาอาจทำให้ง่วงซึม หลีกเลี่ยงการขับขี่ยานพาหนะหรือทำงานเครื่องจักร</t>
        </is>
      </c>
      <c r="F85" s="34" t="inlineStr">
        <is>
          <t>หลีกเลี่ยงการออกแดดหรือให้ทาครีมกันแดด เมื่อจำเป็น</t>
        </is>
      </c>
      <c r="G85" s="34" t="inlineStr">
        <is>
          <t>หากมีอาการ ไข้ เจ็บคอ มีแผลในปาก ควรหยุดยาแล้วมาพบแพทย์ทันที</t>
        </is>
      </c>
      <c r="H85" s="34" t="inlineStr">
        <is>
          <t>หากมีผื่นขึ้นแม้เพียงเล็กน้อย ให้หยุดยาทันที</t>
        </is>
      </c>
      <c r="I85" s="33" t="n">
        <v>4</v>
      </c>
      <c r="J85" s="34"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สากลคือ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35" t="n"/>
      <c r="L85" s="34" t="inlineStr">
        <is>
          <t>Hypo/Hyperthyroidism</t>
        </is>
      </c>
      <c r="M85" s="35" t="inlineStr">
        <is>
          <t>Clinic</t>
        </is>
      </c>
      <c r="N85" s="34" t="inlineStr">
        <is>
          <t>PLE_CC1_2567_Key ข้อ 43</t>
        </is>
      </c>
      <c r="O85" s="35" t="inlineStr">
        <is>
          <t>ข้อสอบจริง</t>
        </is>
      </c>
      <c r="P85" s="35" t="inlineStr">
        <is>
          <t>ปี 2567</t>
        </is>
      </c>
      <c r="Q85" s="2" t="n"/>
    </row>
    <row r="86" ht="13.2" customHeight="1" s="49">
      <c r="A86" s="33" t="n">
        <v>84</v>
      </c>
      <c r="B86" s="34"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35" t="n"/>
      <c r="D86" s="34" t="inlineStr">
        <is>
          <t>Metformin + dapagliflozin</t>
        </is>
      </c>
      <c r="E86" s="34" t="inlineStr">
        <is>
          <t>Glipizide + insulin</t>
        </is>
      </c>
      <c r="F86" s="34" t="inlineStr">
        <is>
          <t>Insulin</t>
        </is>
      </c>
      <c r="G86" s="34" t="inlineStr">
        <is>
          <t>Linagliptin</t>
        </is>
      </c>
      <c r="H86" s="34" t="inlineStr">
        <is>
          <t>Metformin + sitagliptin</t>
        </is>
      </c>
      <c r="I86" s="33" t="n">
        <v>1</v>
      </c>
      <c r="J86" s="34"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35" t="n"/>
      <c r="L86" s="34" t="inlineStr">
        <is>
          <t>Diabetes mellitus</t>
        </is>
      </c>
      <c r="M86" s="35" t="inlineStr">
        <is>
          <t>Clinic</t>
        </is>
      </c>
      <c r="N86" s="34" t="inlineStr">
        <is>
          <t>PLE_CC1_2567_Key ข้อ 49</t>
        </is>
      </c>
      <c r="O86" s="35" t="inlineStr">
        <is>
          <t>ข้อสอบจริง</t>
        </is>
      </c>
      <c r="P86" s="35" t="inlineStr">
        <is>
          <t>ปี 2567</t>
        </is>
      </c>
      <c r="Q86" s="2" t="n"/>
    </row>
    <row r="87" ht="13.2" customHeight="1" s="49">
      <c r="A87" s="33" t="n">
        <v>85</v>
      </c>
      <c r="B87" s="34"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35" t="n"/>
      <c r="D87" s="34" t="inlineStr">
        <is>
          <t>TSH สูง, FT3 ปกติ, FT4 ปกติ</t>
        </is>
      </c>
      <c r="E87" s="34" t="inlineStr">
        <is>
          <t>TSH ปกติ, FT3 สูง, FT4 สูง</t>
        </is>
      </c>
      <c r="F87" s="34" t="inlineStr">
        <is>
          <t>TSH ต่ำ, FT3 สูง, FT4 สูง</t>
        </is>
      </c>
      <c r="G87" s="34" t="inlineStr">
        <is>
          <t>TSH ต่ำ, FT3 ต่ำ, FT4 ต่ำ</t>
        </is>
      </c>
      <c r="H87" s="34" t="inlineStr">
        <is>
          <t>TSH สูง, FT3 สูง, FT4 สูง</t>
        </is>
      </c>
      <c r="I87" s="33" t="n">
        <v>3</v>
      </c>
      <c r="J87" s="34"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35" t="n"/>
      <c r="L87" s="34" t="inlineStr">
        <is>
          <t>Hypo/Hyperthyroidism</t>
        </is>
      </c>
      <c r="M87" s="35" t="inlineStr">
        <is>
          <t>Clinic</t>
        </is>
      </c>
      <c r="N87" s="34" t="inlineStr">
        <is>
          <t>PLE_CC1_2567_Key ข้อ 67</t>
        </is>
      </c>
      <c r="O87" s="35" t="inlineStr">
        <is>
          <t>ข้อสอบจริง</t>
        </is>
      </c>
      <c r="P87" s="35" t="inlineStr">
        <is>
          <t>ปี 2567</t>
        </is>
      </c>
      <c r="Q87" s="2" t="n"/>
    </row>
    <row r="88" ht="13.2" customHeight="1" s="49">
      <c r="A88" s="33" t="n">
        <v>86</v>
      </c>
      <c r="B88" s="34" t="inlineStr">
        <is>
          <t>ข้อใดต่อไปนี้เป็นอาการแสดงที่พบได้ในภาวะต่อมไทรอยด์ทำงานเกิน (Hyperthyroidism)?</t>
        </is>
      </c>
      <c r="C88" s="35" t="n"/>
      <c r="D88" s="34" t="inlineStr">
        <is>
          <t>หงุดหงิดง่าย</t>
        </is>
      </c>
      <c r="E88" s="34" t="inlineStr">
        <is>
          <t>ผมร่วง</t>
        </is>
      </c>
      <c r="F88" s="34" t="inlineStr">
        <is>
          <t>ผิวแห้ง</t>
        </is>
      </c>
      <c r="G88" s="34" t="inlineStr">
        <is>
          <t>หัวใจเต้นช้า</t>
        </is>
      </c>
      <c r="H88" s="34" t="inlineStr">
        <is>
          <t>ท้องผูก</t>
        </is>
      </c>
      <c r="I88" s="33" t="n">
        <v>1</v>
      </c>
      <c r="J88" s="34"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35" t="n"/>
      <c r="L88" s="34" t="inlineStr">
        <is>
          <t>Hypo/Hyperthyroidism</t>
        </is>
      </c>
      <c r="M88" s="35" t="inlineStr">
        <is>
          <t>Clinic</t>
        </is>
      </c>
      <c r="N88" s="34" t="inlineStr">
        <is>
          <t>PLE_CC1_2567_Key ข้อ 68</t>
        </is>
      </c>
      <c r="O88" s="35" t="inlineStr">
        <is>
          <t>ข้อสอบจริง</t>
        </is>
      </c>
      <c r="P88" s="35" t="inlineStr">
        <is>
          <t>ปี 2567</t>
        </is>
      </c>
      <c r="Q88" s="2" t="n"/>
    </row>
    <row r="89" ht="13.2" customHeight="1" s="49">
      <c r="A89" s="33" t="n">
        <v>87</v>
      </c>
      <c r="B89" s="34"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35" t="n"/>
      <c r="D89" s="34" t="inlineStr">
        <is>
          <t>จ่ายยาเพิ่มอีก 1 ตัว</t>
        </is>
      </c>
      <c r="E89" s="34" t="inlineStr">
        <is>
          <t>มียาที่ไม่เหมาะสม (Inappropriate drug)</t>
        </is>
      </c>
      <c r="F89" s="34" t="inlineStr">
        <is>
          <t>มียาที่ความถี่ในการบริหารไม่เหมาะสม</t>
        </is>
      </c>
      <c r="G89" s="34" t="inlineStr">
        <is>
          <t>มียาที่ไม่มีข้อบ่งใช้</t>
        </is>
      </c>
      <c r="H89" s="34" t="inlineStr">
        <is>
          <t>เกิดปฏิกิริยาระหว่างยาที่รุนแรง</t>
        </is>
      </c>
      <c r="I89" s="33" t="n">
        <v>2</v>
      </c>
      <c r="J89" s="34"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35" t="n"/>
      <c r="L89" s="34" t="inlineStr">
        <is>
          <t>Hypo/Hyperthyroidism</t>
        </is>
      </c>
      <c r="M89" s="35" t="inlineStr">
        <is>
          <t>Clinic</t>
        </is>
      </c>
      <c r="N89" s="34" t="inlineStr">
        <is>
          <t>PLE_CC1_2567_Key ข้อ 69</t>
        </is>
      </c>
      <c r="O89" s="35" t="inlineStr">
        <is>
          <t>ข้อสอบจริง</t>
        </is>
      </c>
      <c r="P89" s="35" t="inlineStr">
        <is>
          <t>ปี 2567</t>
        </is>
      </c>
      <c r="Q89" s="2" t="n"/>
    </row>
    <row r="90" ht="13.2" customHeight="1" s="49">
      <c r="A90" s="33" t="n">
        <v>88</v>
      </c>
      <c r="B90" s="34" t="inlineStr">
        <is>
          <t>โรคอ้วน, การดื่มแอลกอฮอล์, Metformin</t>
        </is>
      </c>
      <c r="C90" s="35" t="n"/>
      <c r="D90" s="34" t="inlineStr">
        <is>
          <t>Glipizide 5 mg OD</t>
        </is>
      </c>
      <c r="E90" s="34" t="inlineStr">
        <is>
          <t>Empagliflozin 10 mg OD</t>
        </is>
      </c>
      <c r="F90" s="34" t="inlineStr">
        <is>
          <t>Sitagliptin 100 mg OD</t>
        </is>
      </c>
      <c r="G90" s="34" t="inlineStr">
        <is>
          <t>Liraglutide 1.2 mg SC OD</t>
        </is>
      </c>
      <c r="H90" s="34" t="n"/>
      <c r="I90" s="33" t="inlineStr">
        <is>
          <t>1</t>
        </is>
      </c>
      <c r="J90" s="34"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0" s="35" t="n"/>
      <c r="L90" s="34" t="inlineStr">
        <is>
          <t>Diabetes mellitus</t>
        </is>
      </c>
      <c r="M90" s="35" t="inlineStr">
        <is>
          <t>Clinic</t>
        </is>
      </c>
      <c r="N90" s="34" t="inlineStr">
        <is>
          <t>PLE-CC1 ปี 2566 Day 1 ข้อ 1</t>
        </is>
      </c>
      <c r="O90" s="35" t="inlineStr">
        <is>
          <t>ข้อสอบจริง</t>
        </is>
      </c>
      <c r="P90" s="35" t="inlineStr">
        <is>
          <t>ปี 2566</t>
        </is>
      </c>
      <c r="Q90" s="2" t="n"/>
    </row>
    <row r="91" ht="13.2" customHeight="1" s="49">
      <c r="A91" s="33" t="n">
        <v>89</v>
      </c>
      <c r="B91" s="34" t="inlineStr">
        <is>
          <t>การใช้Metformin</t>
        </is>
      </c>
      <c r="C91" s="35" t="n"/>
      <c r="D91" s="34" t="inlineStr">
        <is>
          <t>Liraglutide 1.2 mg SC OD</t>
        </is>
      </c>
      <c r="E91" s="34" t="inlineStr">
        <is>
          <t>Levothyroxine 50 mcg OD</t>
        </is>
      </c>
      <c r="F91" s="34" t="inlineStr">
        <is>
          <t>Propylthiouracil 50 mg TID</t>
        </is>
      </c>
      <c r="G91" s="34" t="inlineStr">
        <is>
          <t>Methimazole 10 mg OD</t>
        </is>
      </c>
      <c r="H91" s="34" t="n"/>
      <c r="I91" s="33" t="inlineStr">
        <is>
          <t>1</t>
        </is>
      </c>
      <c r="J91"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1" s="35" t="n"/>
      <c r="L91" s="34" t="inlineStr">
        <is>
          <t>Diabetes mellitus</t>
        </is>
      </c>
      <c r="M91" s="35" t="inlineStr">
        <is>
          <t>Clinic</t>
        </is>
      </c>
      <c r="N91" s="34" t="inlineStr">
        <is>
          <t>PLE-CC1 ปี 2566 Day 1 ข้อ 5</t>
        </is>
      </c>
      <c r="O91" s="35" t="inlineStr">
        <is>
          <t>ข้อสอบจริง</t>
        </is>
      </c>
      <c r="P91" s="35" t="inlineStr">
        <is>
          <t>ปี 2566</t>
        </is>
      </c>
      <c r="Q91" s="2" t="n"/>
    </row>
    <row r="92" ht="13.2" customHeight="1" s="49">
      <c r="A92" s="33" t="n">
        <v>90</v>
      </c>
      <c r="B92" s="34" t="inlineStr">
        <is>
          <t>Premixed insulin 70/30 ประกอบด้วยอะไรบ้าง. กับระยะเวลาการออกฤทธิ์ ตัวเลือก</t>
        </is>
      </c>
      <c r="C92" s="35" t="n"/>
      <c r="D92" s="34" t="inlineStr">
        <is>
          <t>Methimazole 10 mg OD</t>
        </is>
      </c>
      <c r="E92" s="34" t="inlineStr">
        <is>
          <t>Pioglitazone 15 mg OD</t>
        </is>
      </c>
      <c r="F92" s="34" t="inlineStr">
        <is>
          <t>Insulin glargine 10 units SC HS</t>
        </is>
      </c>
      <c r="G92" s="34" t="inlineStr">
        <is>
          <t>Insulin lispro 4 units SC before meals</t>
        </is>
      </c>
      <c r="H92" s="34" t="n"/>
      <c r="I92" s="33" t="inlineStr">
        <is>
          <t>1</t>
        </is>
      </c>
      <c r="J92"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2" s="35" t="n"/>
      <c r="L92" s="34" t="inlineStr">
        <is>
          <t>Diabetes mellitus</t>
        </is>
      </c>
      <c r="M92" s="35" t="inlineStr">
        <is>
          <t>Clinic</t>
        </is>
      </c>
      <c r="N92" s="34" t="inlineStr">
        <is>
          <t>PLE-CC1 ปี 2566 Day 2 ข้อ 5</t>
        </is>
      </c>
      <c r="O92" s="35" t="inlineStr">
        <is>
          <t>ข้อสอบจริง</t>
        </is>
      </c>
      <c r="P92" s="35" t="inlineStr">
        <is>
          <t>ปี 2566</t>
        </is>
      </c>
      <c r="Q92" s="2" t="n"/>
    </row>
    <row r="93" ht="13.2" customHeight="1" s="49">
      <c r="A93" s="33" t="n">
        <v>91</v>
      </c>
      <c r="B93" s="34" t="inlineStr">
        <is>
          <t>NPH 70% และRegular insulin 30% ชนิดออกฤทธิ์แบบปานกลางและเร็วตามลำดับ</t>
        </is>
      </c>
      <c r="C93" s="35" t="n"/>
      <c r="D93" s="34" t="inlineStr">
        <is>
          <t>Insulin lispro 4 units SC before meals</t>
        </is>
      </c>
      <c r="E93" s="34" t="inlineStr">
        <is>
          <t>NPH 30% และRegular insulin 70% ชนิดออกฤทธิ์ปานกลางและเร็วตามลำดับ</t>
        </is>
      </c>
      <c r="F93" s="34" t="inlineStr">
        <is>
          <t>Semaglutide 0.5 mg SC weekly</t>
        </is>
      </c>
      <c r="G93" s="34" t="inlineStr">
        <is>
          <t>Metformin 500 mg BID</t>
        </is>
      </c>
      <c r="H93" s="34" t="n"/>
      <c r="I93" s="33" t="inlineStr">
        <is>
          <t>1</t>
        </is>
      </c>
      <c r="J93"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(NPH 30% และRegular insulin 70% ชนิดออกฤทธิ์ปานกลางและเร็วตามลำดับ): การเลือก NPH 30% และRegular insulin 70% ชนิดออกฤทธิ์ปานกลางและเร็วตามลำดับ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3" s="35" t="n"/>
      <c r="L93" s="34" t="inlineStr">
        <is>
          <t>Diabetes mellitus</t>
        </is>
      </c>
      <c r="M93" s="35" t="inlineStr">
        <is>
          <t>Clinic</t>
        </is>
      </c>
      <c r="N93" s="34" t="inlineStr">
        <is>
          <t>PLE-CC1 ปี 2566 Day 2 ข้อ 1</t>
        </is>
      </c>
      <c r="O93" s="35" t="inlineStr">
        <is>
          <t>ข้อสอบจริง</t>
        </is>
      </c>
      <c r="P93" s="35" t="inlineStr">
        <is>
          <t>ปี 2566</t>
        </is>
      </c>
      <c r="Q93" s="2" t="n"/>
    </row>
    <row r="94" ht="13.2" customHeight="1" s="49">
      <c r="A94" s="33" t="n">
        <v>92</v>
      </c>
      <c r="B94" s="34"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35" t="n"/>
      <c r="D94" s="34" t="inlineStr">
        <is>
          <t>Metformin 500 mg BID</t>
        </is>
      </c>
      <c r="E94" s="34" t="inlineStr">
        <is>
          <t>Glipizide 5 mg OD</t>
        </is>
      </c>
      <c r="F94" s="34" t="inlineStr">
        <is>
          <t>Empagliflozin 10 mg OD</t>
        </is>
      </c>
      <c r="G94" s="34" t="inlineStr">
        <is>
          <t>Sitagliptin 100 mg OD</t>
        </is>
      </c>
      <c r="H94" s="34" t="n"/>
      <c r="I94" s="33" t="inlineStr">
        <is>
          <t>1</t>
        </is>
      </c>
      <c r="J94"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35" t="n"/>
      <c r="L94" s="34" t="inlineStr">
        <is>
          <t>Diabetes mellitus</t>
        </is>
      </c>
      <c r="M94" s="35" t="inlineStr">
        <is>
          <t>Clinic</t>
        </is>
      </c>
      <c r="N94" s="34" t="inlineStr">
        <is>
          <t>PLE-CC1 ปี 2566 Day 2 ข้อ 95</t>
        </is>
      </c>
      <c r="O94" s="35" t="inlineStr">
        <is>
          <t>ข้อสอบจริง</t>
        </is>
      </c>
      <c r="P94" s="35" t="inlineStr">
        <is>
          <t>ปี 2566</t>
        </is>
      </c>
      <c r="Q94" s="2" t="n"/>
    </row>
    <row r="95" ht="13.2" customHeight="1" s="49">
      <c r="A95" s="33" t="n">
        <v>93</v>
      </c>
      <c r="B95" s="34"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5" s="35" t="n"/>
      <c r="D95" s="34" t="inlineStr">
        <is>
          <t>CUA</t>
        </is>
      </c>
      <c r="E95" s="34" t="inlineStr">
        <is>
          <t>CEA</t>
        </is>
      </c>
      <c r="F95" s="34" t="inlineStr">
        <is>
          <t>CMA</t>
        </is>
      </c>
      <c r="G95" s="34" t="inlineStr">
        <is>
          <t>CBA</t>
        </is>
      </c>
      <c r="H95" s="34" t="inlineStr">
        <is>
          <t>ผลลัพธ์ที่วัดไม่ได้อยู่ในรูปของตัวเงิน (Non-monetary outcome) จึงไม่สามารถทำ CBA ได้</t>
        </is>
      </c>
      <c r="I95" s="33" t="inlineStr">
        <is>
          <t>1</t>
        </is>
      </c>
      <c r="J95" s="34" t="inlineStr">
        <is>
          <t>✅ คำตอบที่ถูกต้อง: ข้อ ก. CUA (Cost-Utility Analysis)
💡 Background:
การประเมินทางเศรษฐศาสตร์สาธารณสุข (Health Economic Evaluation) มี 4 ประเภทหลัก ได้แก่ CMA (Cost-Minimization), CEA (Cost-Effectiveness), CUA (Cost-Utility) และ CBA (Cost-Benefit) การเลือกใช้ขึ้นอยู่กับตัวชี้วัดผลลัพธ์ที่ใช้เปรียบเทียบ
🎯 ทำไมข้อนี้ถึงถูก:
โจทย์ระบุว่าผลลัพธ์ที่วัดคือ 'คุณภาพชีวิต' ซึ่งสอดคล้องกับ CUA ที่ใช้ QALY (Quality-Adjusted Life Year) เป็นหน่วยวัดผลลัพธ์ CUA เหมาะสำหรับการเปรียบเทียบยาหรือมาตรการที่ส่งผลต่อคุณภาพชีวิตแตกต่างกัน
🔍 ข้ออื่นผิดเพราะอะไร:
• ข้อ ข. (CEA): ใช้เมื่อผลลัพธ์เป็นหน่วยทางคลินิก เช่น mmHg ลด, HbA1c ลด, ปีที่รอดชีวิต — ไม่ใช่คุณภาพชีวิต
• ข้อ ค. (CMA): ใช้เมื่อสมมติว่า clinical outcomes เท่ากัน แล้วเปรียบเทียบเฉพาะต้นทุน
• ข้อ ง. (CBA): แปลงผลลัพธ์ทุกอย่างเป็นเงินตรา (Monetary unit) ซึ่งยากในทางปฏิบัติและใช้น้อยกว่า
📖 Guideline อ้างอิง:
[NEED_REVIEW]
📌 จุดจำก่อนสอบ:
คุณภาพชีวิต (QoL) / QALY = CUA; Clinical unit (HbA1c, BP) = CEA; ต้นทุนอย่างเดียว (outcomes เท่ากัน) = CMA</t>
        </is>
      </c>
      <c r="K95" s="35" t="n"/>
      <c r="L95" s="34" t="inlineStr">
        <is>
          <t>Diabetes mellitus</t>
        </is>
      </c>
      <c r="M95" s="35" t="inlineStr">
        <is>
          <t>Clinic</t>
        </is>
      </c>
      <c r="N95" s="34" t="inlineStr">
        <is>
          <t>PLE_CC1_2565_Day1_Key ข้อ 20</t>
        </is>
      </c>
      <c r="O95" s="35" t="inlineStr">
        <is>
          <t>ข้อสอบจริง</t>
        </is>
      </c>
      <c r="P95" s="35" t="inlineStr">
        <is>
          <t>ปี 2565</t>
        </is>
      </c>
      <c r="Q95" s="2" t="n"/>
    </row>
    <row r="96" ht="13.2" customHeight="1" s="49">
      <c r="A96" s="33" t="n">
        <v>94</v>
      </c>
      <c r="B96" s="34"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6" s="35" t="n"/>
      <c r="D96" s="34" t="inlineStr">
        <is>
          <t>Propylthiouracil 50 mg TID</t>
        </is>
      </c>
      <c r="E96" s="34" t="inlineStr">
        <is>
          <t>Methimazole 10 mg OD</t>
        </is>
      </c>
      <c r="F96" s="34" t="inlineStr">
        <is>
          <t>Pioglitazone 15 mg OD</t>
        </is>
      </c>
      <c r="G96" s="34" t="inlineStr">
        <is>
          <t>Insulin glargine 10 units SC HS</t>
        </is>
      </c>
      <c r="H96" s="34" t="n"/>
      <c r="I96" s="33" t="inlineStr">
        <is>
          <t>1</t>
        </is>
      </c>
      <c r="J96"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35" t="n"/>
      <c r="L96" s="34" t="inlineStr">
        <is>
          <t>Diabetes mellitus</t>
        </is>
      </c>
      <c r="M96" s="35" t="inlineStr">
        <is>
          <t>Clinic</t>
        </is>
      </c>
      <c r="N96" s="34" t="inlineStr">
        <is>
          <t>PLE_CC1_2565_Day1_Key ข้อ 57</t>
        </is>
      </c>
      <c r="O96" s="35" t="inlineStr">
        <is>
          <t>ข้อสอบจริง</t>
        </is>
      </c>
      <c r="P96" s="35" t="inlineStr">
        <is>
          <t>ปี 2565</t>
        </is>
      </c>
      <c r="Q96" s="2" t="n"/>
    </row>
    <row r="97" ht="13.2" customHeight="1" s="49">
      <c r="A97" s="33" t="n">
        <v>95</v>
      </c>
      <c r="B97" s="34"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97" s="35" t="n"/>
      <c r="D97" s="34" t="inlineStr">
        <is>
          <t>Insulin glargine 10 units SC HS</t>
        </is>
      </c>
      <c r="E97" s="34" t="inlineStr">
        <is>
          <t>Cumulative incidence ratio = 60/200 ÷ 600/4000 = 2.0</t>
        </is>
      </c>
      <c r="F97" s="34" t="inlineStr">
        <is>
          <t>Incidence Rate Ratio (IRR) = 0.03/0.015 = 2.0 per person-year</t>
        </is>
      </c>
      <c r="G97" s="34" t="inlineStr">
        <is>
          <t>Attributable risk = 0.03 - 0.015 = 0.015 per person-year</t>
        </is>
      </c>
      <c r="H97" s="34" t="inlineStr">
        <is>
          <t>Prevalence ratio ไม่สามารถคำนวณได้จากข้อมูลที่ให้มา</t>
        </is>
      </c>
      <c r="I97" s="33" t="inlineStr">
        <is>
          <t>1</t>
        </is>
      </c>
      <c r="J97" s="34" t="inlineStr">
        <is>
          <t>✅ คำตอบที่ถูกต้อง: [NEED_REVIEW — choices ข.-จ. สูญหาย, เฉลยไม่ตรงกับโจทย์ Biostatistics]
💡 Background:
โจทย์ถามเกี่ยวกับการศึกษาแบบ Cohort ติดตามผู้หญิงเบาหวาน 200 คน (2000 person-year) และไม่เบาหวาน 4000 คน (40000 person-year) พบการเสียชีวิต 60 และ 600 รายตามลำดับ ถามหาค่าสถิติเปรียบเทียบ
🎯 ทำไมข้อนี้ถึงถูก:
Incidence Rate ของกลุ่มเบาหวาน = 60/2000 = 0.03/person-year; ไม่เบาหวาน = 600/40000 = 0.015/person-year Incidence Rate Ratio (IRR) = 0.03/0.015 = 2.0 (ผู้ป่วยเบาหวานมีอัตราตายเป็น 2 เท่าของกลุ่มไม่เบาหวาน) ตัวเลือกที่ถูกต้องน่าจะเกี่ยวกับ IRR = 2 หรือ Incidence rate ที่คำนวณได้ [NEED_REVIEW]
📖 Guideline อ้างอิง:
[NEED_REVIEW]
📌 จุดจำก่อนสอบ:
Cohort study ใช้ Incidence Rate Ratio (IRR) = (cases/person-time exposed) / (cases/person-time unexposed)</t>
        </is>
      </c>
      <c r="K97" s="35" t="n"/>
      <c r="L97" s="34" t="inlineStr">
        <is>
          <t>Diabetes mellitus</t>
        </is>
      </c>
      <c r="M97" s="35" t="inlineStr">
        <is>
          <t>Clinic</t>
        </is>
      </c>
      <c r="N97" s="34" t="inlineStr">
        <is>
          <t>PLE_CC1_2565_Day1_Key ข้อ 86</t>
        </is>
      </c>
      <c r="O97" s="35" t="inlineStr">
        <is>
          <t>ข้อสอบจริง</t>
        </is>
      </c>
      <c r="P97" s="35" t="inlineStr">
        <is>
          <t>ปี 2565</t>
        </is>
      </c>
      <c r="Q97" s="2" t="n"/>
    </row>
    <row r="98" ht="13.2" customHeight="1" s="49">
      <c r="A98" s="33" t="n">
        <v>96</v>
      </c>
      <c r="B98" s="34" t="inlineStr">
        <is>
          <t>Hypothyroidism/Hyperthyroidism</t>
        </is>
      </c>
      <c r="C98" s="35" t="n"/>
      <c r="D98" s="34" t="inlineStr">
        <is>
          <t>Semaglutide 0.5 mg SC weekly</t>
        </is>
      </c>
      <c r="E98" s="34" t="inlineStr">
        <is>
          <t>Metformin 500 mg BID</t>
        </is>
      </c>
      <c r="F98" s="34" t="inlineStr">
        <is>
          <t>Glipizide 5 mg OD</t>
        </is>
      </c>
      <c r="G98" s="34" t="inlineStr">
        <is>
          <t>Empagliflozin 10 mg OD</t>
        </is>
      </c>
      <c r="H98" s="34" t="n"/>
      <c r="I98" s="33" t="inlineStr">
        <is>
          <t>1</t>
        </is>
      </c>
      <c r="J98" s="34" t="inlineStr">
        <is>
          <t>✅ คำตอบที่ถูกต้อง: [NEED_REVIEW — โจทย์และตัวเลือกไม่สอดคล้องกัน (โจทย์ถาม Hypo/Hyperthyroid แต่ตัวเลือกเป็นยาเบาหวาน)]
💡 Background:
ข้อสอบนี้มีความไม่สอดคล้องกันระหว่างโจทย์และตัวเลือก โจทย์ระบุหัวข้อ Hypothyroidism/Hyperthyroidism แต่ตัวเลือกทั้งหมดเป็นยารักษาเบาหวาน (Semaglutide, Metformin, Glipizide, Empagliflozin) ไม่สามารถระบุเฉลยที่ถูกต้องได้จากข้อมูลที่มี
🎯 ทำไมข้อนี้ถึงถูก:
[NEED_REVIEW — ต้องตรวจสอบและแก้ไขโจทย์/ตัวเลือกจากต้นฉบับ]
📖 Guideline อ้างอิง:
[NEED_REVIEW]
📌 จุดจำก่อนสอบ:
ข้อนี้ต้องได้รับการทบทวนจากคณะกรรมการก่อนนำไปใช้</t>
        </is>
      </c>
      <c r="K98" s="35" t="n"/>
      <c r="L98" s="34" t="inlineStr">
        <is>
          <t>Hypo/Hyperthyroidism</t>
        </is>
      </c>
      <c r="M98" s="35" t="inlineStr">
        <is>
          <t>Clinic</t>
        </is>
      </c>
      <c r="N98" s="34" t="inlineStr">
        <is>
          <t>PLE_CC1_2565_Day1_Key ข้อ 6</t>
        </is>
      </c>
      <c r="O98" s="35" t="inlineStr">
        <is>
          <t>ข้อสอบจริง</t>
        </is>
      </c>
      <c r="P98" s="35" t="inlineStr">
        <is>
          <t>ปี 2565</t>
        </is>
      </c>
      <c r="Q98" s="2" t="n"/>
    </row>
    <row r="99" ht="13.2" customHeight="1" s="49">
      <c r="A99" s="33" t="n">
        <v>97</v>
      </c>
      <c r="B99" s="34" t="inlineStr">
        <is>
          <t>ผู$ป&amp;วยรายนี้ควรได$ยาอะไร กรVWXวยไDเZน โรคเบาหวานและโรคไตเ[อ\ง</t>
        </is>
      </c>
      <c r="C99" s="35" t="n"/>
      <c r="D99" s="34" t="inlineStr">
        <is>
          <t>Simvastatin 40 mg</t>
        </is>
      </c>
      <c r="E99" s="34" t="inlineStr">
        <is>
          <t>Simvastatin 80 mg</t>
        </is>
      </c>
      <c r="F99" s="34" t="inlineStr">
        <is>
          <t>Rosuvastatin 20 mg</t>
        </is>
      </c>
      <c r="G99" s="34" t="inlineStr">
        <is>
          <t>Atorvastatin 40 mg</t>
        </is>
      </c>
      <c r="H99" s="34" t="inlineStr">
        <is>
          <t>Pravastatin 40 mg</t>
        </is>
      </c>
      <c r="I99" s="33" t="inlineStr">
        <is>
          <t>1</t>
        </is>
      </c>
      <c r="J99" s="34" t="inlineStr">
        <is>
          <t>✅ คำตอบที่ถูกต้อง: ข้อ ก. Simvastatin 40 mg
💡 Background:
ผู้ป่วยเบาหวานที่มีโรคไตเรื้อรัง (CKD) มีความเสี่ยง Cardiovascular สูง จำเป็นต้องได้รับ Statin therapy การเลือก Statin ในผู้ป่วย CKD ต้องพิจารณาการขับออกทางไต เนื่องจาก Statin บางชนิดสะสมในผู้ป่วย CKD
🎯 ทำไมข้อนี้ถึงถูก:
Simvastatin 40 mg เป็นตัวเลือกที่เหมาะสมในผู้ป่วย CKD เพราะกำจัดผ่านตับเป็นหลัก (ไม่ต้องปรับขนาดตาม eGFR) Rosuvastatin ควรระวังใน eGFR &lt;30 mL/min (ขับออกทางไต 10%); Atorvastatin กำจัดทางตับเช่นกัน แต่ขนาด Simvastatin 40 mg ถือเป็นขนาดปานกลาง (Moderate-intensity) ที่เหมาะสม
🔍 ข้ออื่นผิดเพราะอะไร:
• ข้อ ข. (Simvastatin 80 mg): Simvastatin 80 mg เพิ่มความเสี่ยง Myopathy/Rhabdomyolysis สูงมาก; FDA ไม่แนะนำการเริ่มต้นที่ 80 mg ในผู้ป่วยรายใหม่
• ข้อ ค. (Rosuvastatin 20 mg): Rosuvastatin ขับออกทางไตประมาณ 10% หากใช้ขนาดสูงใน eGFR ต่ำ อาจสะสมได้
• ข้อ ง. (Atorvastatin 40 mg): Atorvastatin ก็ใช้ได้ใน CKD แต่ไม่ใช่ตัวเลือกแรกเมื่อเทียบกับ Simvastatin ในบริบทโจทย์นี้
📖 Guideline อ้างอิง:
Kidney Disease: Improving Global Outcomes (KDIGO) Lipid Management in CKD 2013
📌 จุดจำก่อนสอบ:
Simvastatin 80 mg — ห้ามเริ่มใหม่ (FDA warning); Rosuvastatin — ระวังใน eGFR &lt;30</t>
        </is>
      </c>
      <c r="K99" s="35" t="n"/>
      <c r="L99" s="34" t="inlineStr">
        <is>
          <t>Diabetes mellitus</t>
        </is>
      </c>
      <c r="M99" s="35" t="inlineStr">
        <is>
          <t>Clinic</t>
        </is>
      </c>
      <c r="N99" s="34" t="inlineStr">
        <is>
          <t>PLE_CC1_2565_Day2_Key ข้อ 2</t>
        </is>
      </c>
      <c r="O99" s="35" t="inlineStr">
        <is>
          <t>ข้อสอบจริง</t>
        </is>
      </c>
      <c r="P99" s="35" t="inlineStr">
        <is>
          <t>ปี 2565</t>
        </is>
      </c>
      <c r="Q99" s="2" t="n"/>
    </row>
    <row r="100" ht="13.2" customHeight="1" s="49">
      <c r="A100" s="33" t="n">
        <v>98</v>
      </c>
      <c r="B100" s="34" t="inlineStr">
        <is>
          <t>หากแพทย6ต$องการเพิ่ม insulin อีกตัว ควรให$อินซูลินแบบใด 2,000 mg/day (High dose)</t>
        </is>
      </c>
      <c r="C100" s="35" t="n"/>
      <c r="D100" s="34" t="inlineStr">
        <is>
          <t>Lispro</t>
        </is>
      </c>
      <c r="E100" s="34" t="inlineStr">
        <is>
          <t>Glulisine</t>
        </is>
      </c>
      <c r="F100" s="34" t="inlineStr">
        <is>
          <t>Glargine</t>
        </is>
      </c>
      <c r="G100" s="34" t="inlineStr">
        <is>
          <t>Aspart</t>
        </is>
      </c>
      <c r="H100" s="34" t="inlineStr">
        <is>
          <t>Regular insulin</t>
        </is>
      </c>
      <c r="I100" s="33" t="inlineStr">
        <is>
          <t>1</t>
        </is>
      </c>
      <c r="J100" s="34"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35" t="n"/>
      <c r="L100" s="34" t="inlineStr">
        <is>
          <t>Diabetes mellitus</t>
        </is>
      </c>
      <c r="M100" s="35" t="inlineStr">
        <is>
          <t>Clinic</t>
        </is>
      </c>
      <c r="N100" s="34" t="inlineStr">
        <is>
          <t>PLE_CC1_2565_Day2_Key ข้อ 17</t>
        </is>
      </c>
      <c r="O100" s="35" t="inlineStr">
        <is>
          <t>ข้อสอบจริง</t>
        </is>
      </c>
      <c r="P100" s="35" t="inlineStr">
        <is>
          <t>ปี 2565</t>
        </is>
      </c>
      <c r="Q100" s="2" t="n"/>
    </row>
    <row r="101" ht="13.2" customHeight="1" s="49">
      <c r="A101" s="33" t="n">
        <v>99</v>
      </c>
      <c r="B101" s="34" t="inlineStr">
        <is>
          <t>ผู้ป่วย KDIGO stage 3a ได้ metformin 850 mg/day, Glipizide และยาอื่น ๆ มากมาย ยังคุมระดับน้ำตาลไม่ได้ ควรจัดการยังไงจึงจะเหมาะสมที่สุด</t>
        </is>
      </c>
      <c r="C101" s="35" t="n"/>
      <c r="D101" s="34" t="inlineStr">
        <is>
          <t>เพิ่ม Glipizide</t>
        </is>
      </c>
      <c r="E101" s="34" t="inlineStr">
        <is>
          <t>หยุด Metformin</t>
        </is>
      </c>
      <c r="F101" s="34" t="inlineStr">
        <is>
          <t>Insulin lispro 4 units SC before meals</t>
        </is>
      </c>
      <c r="G101" s="34" t="inlineStr">
        <is>
          <t>Dapagliflozin 10 mg OD</t>
        </is>
      </c>
      <c r="H101" s="34" t="n"/>
      <c r="I101" s="33" t="inlineStr">
        <is>
          <t>1</t>
        </is>
      </c>
      <c r="J101" s="34"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(หยุด Metformin): ยา หยุด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35" t="n"/>
      <c r="L101" s="34" t="inlineStr">
        <is>
          <t>Diabetes mellitus</t>
        </is>
      </c>
      <c r="M101" s="35" t="inlineStr">
        <is>
          <t>Clinic</t>
        </is>
      </c>
      <c r="N101" s="34" t="inlineStr">
        <is>
          <t>PLE_CC1_2564_All_Key ข้อ 112</t>
        </is>
      </c>
      <c r="O101" s="35" t="inlineStr">
        <is>
          <t>ข้อสอบจริง</t>
        </is>
      </c>
      <c r="P101" s="35" t="inlineStr">
        <is>
          <t>ปี 2564</t>
        </is>
      </c>
      <c r="Q101" s="2" t="n"/>
    </row>
    <row r="102" ht="13.2" customHeight="1" s="49">
      <c r="A102" s="33" t="n">
        <v>100</v>
      </c>
      <c r="B102" s="34"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2" s="35" t="n"/>
      <c r="D102" s="34" t="inlineStr">
        <is>
          <t>Trigger tool</t>
        </is>
      </c>
      <c r="E102" s="34" t="inlineStr">
        <is>
          <t>Medication reconciliation</t>
        </is>
      </c>
      <c r="F102" s="34" t="inlineStr">
        <is>
          <t>DUE</t>
        </is>
      </c>
      <c r="G102" s="34" t="inlineStr">
        <is>
          <t>ADR management</t>
        </is>
      </c>
      <c r="H102" s="34" t="inlineStr">
        <is>
          <t>Risk management</t>
        </is>
      </c>
      <c r="I102" s="33" t="n">
        <v>2</v>
      </c>
      <c r="J102" s="34" t="inlineStr">
        <is>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is>
      </c>
      <c r="K102" s="35" t="n"/>
      <c r="L102" s="34" t="inlineStr">
        <is>
          <t>Diabetes mellitus</t>
        </is>
      </c>
      <c r="M102" s="35" t="inlineStr">
        <is>
          <t>Clinic</t>
        </is>
      </c>
      <c r="N102" s="34" t="inlineStr">
        <is>
          <t>ข้อ 66 (PLE_CC1_2562_Key.md)</t>
        </is>
      </c>
      <c r="O102" s="35" t="inlineStr">
        <is>
          <t>ข้อสอบจริง</t>
        </is>
      </c>
      <c r="P102" s="35" t="inlineStr">
        <is>
          <t>ปี 2562</t>
        </is>
      </c>
    </row>
    <row r="103" ht="13.2" customHeight="1" s="49">
      <c r="A103" s="33" t="n">
        <v>101</v>
      </c>
      <c r="B103" s="34" t="inlineStr">
        <is>
          <t>ข้อใดคือข้อห้ามใช้ของยา hydroxychloroquine DMARDS EnesLe, vanisesfas X Isimavied donor le -OGulasise G</t>
        </is>
      </c>
      <c r="C103" s="35" t="n"/>
      <c r="D103" s="34" t="inlineStr">
        <is>
          <t>Retinopathy</t>
        </is>
      </c>
      <c r="E103" s="34" t="inlineStr">
        <is>
          <t>Diabetes mellitus</t>
        </is>
      </c>
      <c r="F103" s="34" t="inlineStr">
        <is>
          <t>Malaria</t>
        </is>
      </c>
      <c r="G103" s="34" t="inlineStr">
        <is>
          <t>Rheumatoid arthritis</t>
        </is>
      </c>
      <c r="H103" s="34" t="inlineStr">
        <is>
          <t>Asthma</t>
        </is>
      </c>
      <c r="I103" s="33" t="inlineStr">
        <is>
          <t>1</t>
        </is>
      </c>
      <c r="J103" s="34"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3" s="35" t="n"/>
      <c r="L103" s="34" t="inlineStr">
        <is>
          <t>Diabetes mellitus</t>
        </is>
      </c>
      <c r="M103" s="35" t="inlineStr">
        <is>
          <t>Clinic</t>
        </is>
      </c>
      <c r="N103" s="34" t="inlineStr">
        <is>
          <t>ข้อ 112 (PLE_CC1_2562_Key.md)</t>
        </is>
      </c>
      <c r="O103" s="35" t="inlineStr">
        <is>
          <t>ข้อสอบจริง</t>
        </is>
      </c>
      <c r="P103" s="35" t="inlineStr">
        <is>
          <t>ปี 2562</t>
        </is>
      </c>
    </row>
    <row r="104" ht="13.2" customHeight="1" s="49">
      <c r="A104" s="33" t="n">
        <v>102</v>
      </c>
      <c r="B104" s="34" t="inlineStr">
        <is>
          <t>Insulin glargine สามารถให้ในตอนเช้าได้หรือไม่</t>
        </is>
      </c>
      <c r="C104" s="35" t="n"/>
      <c r="D104" s="34" t="inlineStr">
        <is>
          <t>ไม่ได้ เพราะจะท้าให้เกิดภาวะ hypoglycemia ขึ น</t>
        </is>
      </c>
      <c r="E104" s="34" t="inlineStr">
        <is>
          <t>ได้ เพราะออกฤทธิ์ 24 ชั่วโมง</t>
        </is>
      </c>
      <c r="F104" s="34" t="inlineStr">
        <is>
          <t>ได้ เพราะลด HbA1C ได้ดีกว่ายาตัวอื่น ๆ</t>
        </is>
      </c>
      <c r="G104" s="34" t="inlineStr">
        <is>
          <t>ไม่ได้ เพราะลดการสร้างกลูโคสจากตับ</t>
        </is>
      </c>
      <c r="H104" s="34" t="inlineStr">
        <is>
          <t>ไม่ได้ เพราะอาจจะเกิดอันตรกิริยากับ metformin และ glibenclamide ที่รับประทานในตอนเช้าได้</t>
        </is>
      </c>
      <c r="I104" s="33" t="inlineStr">
        <is>
          <t>1</t>
        </is>
      </c>
      <c r="J104" s="34"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4" s="35" t="n"/>
      <c r="L104" s="34" t="inlineStr">
        <is>
          <t>Diabetes mellitus</t>
        </is>
      </c>
      <c r="M104" s="35" t="inlineStr">
        <is>
          <t>Clinic</t>
        </is>
      </c>
      <c r="N104" s="34" t="inlineStr">
        <is>
          <t>ข้อ 18 (PLE_CC1_2559.md)</t>
        </is>
      </c>
      <c r="O104" s="35" t="inlineStr">
        <is>
          <t>ข้อสอบจริง</t>
        </is>
      </c>
      <c r="P104" s="35" t="inlineStr">
        <is>
          <t>ปี 2559</t>
        </is>
      </c>
    </row>
    <row r="105" ht="13.2" customHeight="1" s="49">
      <c r="A105" s="33" t="n">
        <v>103</v>
      </c>
      <c r="B105" s="34" t="inlineStr">
        <is>
          <t>ข้อใดคือ preservative ของ Insulin glargine</t>
        </is>
      </c>
      <c r="C105" s="35" t="n"/>
      <c r="D105" s="34" t="inlineStr">
        <is>
          <t>Meta-cresol</t>
        </is>
      </c>
      <c r="E105" s="34" t="inlineStr">
        <is>
          <t>Phenol</t>
        </is>
      </c>
      <c r="F105" s="34" t="inlineStr">
        <is>
          <t>Chlorobutanol</t>
        </is>
      </c>
      <c r="G105" s="34" t="inlineStr">
        <is>
          <t>ก และ ข ถูก</t>
        </is>
      </c>
      <c r="H105" s="34" t="inlineStr">
        <is>
          <t>ก และ ค ถูก</t>
        </is>
      </c>
      <c r="I105" s="33" t="inlineStr">
        <is>
          <t>1</t>
        </is>
      </c>
      <c r="J105" s="34"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35" t="n"/>
      <c r="L105" s="34" t="inlineStr">
        <is>
          <t>Diabetes mellitus</t>
        </is>
      </c>
      <c r="M105" s="35" t="inlineStr">
        <is>
          <t>Clinic</t>
        </is>
      </c>
      <c r="N105" s="34" t="inlineStr">
        <is>
          <t>ข้อ 23 (PLE_CC1_2559.md)</t>
        </is>
      </c>
      <c r="O105" s="35" t="inlineStr">
        <is>
          <t>ข้อสอบจริง</t>
        </is>
      </c>
      <c r="P105" s="35" t="inlineStr">
        <is>
          <t>ปี 2559</t>
        </is>
      </c>
    </row>
    <row r="106" ht="13.2" customHeight="1" s="49">
      <c r="A106" s="33" t="n">
        <v>104</v>
      </c>
      <c r="B106" s="34" t="inlineStr">
        <is>
          <t>Insulin glargine ผลิตมาจากอะไร</t>
        </is>
      </c>
      <c r="C106" s="35" t="n"/>
      <c r="D106" s="34" t="inlineStr">
        <is>
          <t>ตับอ่อนของวัว</t>
        </is>
      </c>
      <c r="E106" s="34" t="inlineStr">
        <is>
          <t>ตับอ่อนของหมู</t>
        </is>
      </c>
      <c r="F106" s="34" t="inlineStr">
        <is>
          <t>ตับอ่อนของคน</t>
        </is>
      </c>
      <c r="G106" s="34" t="inlineStr">
        <is>
          <t>Recombinant DNA</t>
        </is>
      </c>
      <c r="H106" s="34" t="inlineStr">
        <is>
          <t>Recombinant DNA E.coli เป็น complex partial seizure</t>
        </is>
      </c>
      <c r="I106" s="33" t="inlineStr">
        <is>
          <t>1</t>
        </is>
      </c>
      <c r="J106" s="34"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6" s="35" t="n"/>
      <c r="L106" s="34" t="inlineStr">
        <is>
          <t>Diabetes mellitus</t>
        </is>
      </c>
      <c r="M106" s="35" t="inlineStr">
        <is>
          <t>Clinic</t>
        </is>
      </c>
      <c r="N106" s="34" t="inlineStr">
        <is>
          <t>ข้อ 25 (PLE_CC1_2559.md)</t>
        </is>
      </c>
      <c r="O106" s="35" t="inlineStr">
        <is>
          <t>ข้อสอบจริง</t>
        </is>
      </c>
      <c r="P106" s="35" t="inlineStr">
        <is>
          <t>ปี 2559</t>
        </is>
      </c>
    </row>
    <row r="107" ht="13.2" customHeight="1" s="49">
      <c r="A107" s="33" t="n">
        <v>105</v>
      </c>
      <c r="B107" s="34" t="inlineStr">
        <is>
          <t>ผู้ป่วยหญิงน้ำหนัก 85 kg สูง 160 cm FBS 165 mg/dl, HbA1C 8.0 Scr 1 ควรได้รับการรักษาอย่างไร</t>
        </is>
      </c>
      <c r="C107" s="35" t="n"/>
      <c r="D107" s="34" t="inlineStr">
        <is>
          <t>Insulin</t>
        </is>
      </c>
      <c r="E107" s="34" t="inlineStr">
        <is>
          <t>Metformin</t>
        </is>
      </c>
      <c r="F107" s="34" t="inlineStr">
        <is>
          <t>Pioglitazone</t>
        </is>
      </c>
      <c r="G107" s="34" t="inlineStr">
        <is>
          <t>Glibenclamide</t>
        </is>
      </c>
      <c r="H107" s="34" t="inlineStr">
        <is>
          <t>Acarbose</t>
        </is>
      </c>
      <c r="I107" s="33" t="inlineStr">
        <is>
          <t>1</t>
        </is>
      </c>
      <c r="J107" s="34"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35" t="n"/>
      <c r="L107" s="34" t="inlineStr">
        <is>
          <t>Diabetes mellitus</t>
        </is>
      </c>
      <c r="M107" s="35" t="inlineStr">
        <is>
          <t>Clinic</t>
        </is>
      </c>
      <c r="N107" s="34" t="inlineStr">
        <is>
          <t>ข้อ 70 (PLE_CC1_2558_Key.md)</t>
        </is>
      </c>
      <c r="O107" s="35" t="inlineStr">
        <is>
          <t>ข้อสอบจริง</t>
        </is>
      </c>
      <c r="P107" s="35" t="inlineStr">
        <is>
          <t>ปี 2558</t>
        </is>
      </c>
    </row>
    <row r="108" ht="13.2" customHeight="1" s="49">
      <c r="A108" s="33" t="n">
        <v>106</v>
      </c>
      <c r="B108" s="34" t="inlineStr">
        <is>
          <t>น้ำที่ใช้ในการผลิต insulin คือ</t>
        </is>
      </c>
      <c r="C108" s="35" t="n"/>
      <c r="D108" s="34" t="inlineStr">
        <is>
          <t>Deionized water</t>
        </is>
      </c>
      <c r="E108" s="34" t="inlineStr">
        <is>
          <t>Purified water</t>
        </is>
      </c>
      <c r="F108" s="34" t="inlineStr">
        <is>
          <t>Distilled water</t>
        </is>
      </c>
      <c r="G108" s="34" t="inlineStr">
        <is>
          <t>Water for injection</t>
        </is>
      </c>
      <c r="H108" s="34" t="inlineStr">
        <is>
          <t>Sterile water for injection</t>
        </is>
      </c>
      <c r="I108" s="33" t="inlineStr">
        <is>
          <t>1</t>
        </is>
      </c>
      <c r="J108" s="34"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35" t="n"/>
      <c r="L108" s="34" t="inlineStr">
        <is>
          <t>Diabetes mellitus</t>
        </is>
      </c>
      <c r="M108" s="35" t="inlineStr">
        <is>
          <t>Clinic</t>
        </is>
      </c>
      <c r="N108" s="34" t="inlineStr">
        <is>
          <t>ข้อ 75 (PLE_CC1_2558_Key.md)</t>
        </is>
      </c>
      <c r="O108" s="35" t="inlineStr">
        <is>
          <t>ข้อสอบจริง</t>
        </is>
      </c>
      <c r="P108" s="35" t="inlineStr">
        <is>
          <t>ปี 2558</t>
        </is>
      </c>
    </row>
    <row r="109" ht="13.2" customHeight="1" s="49">
      <c r="A109" s="33" t="n">
        <v>107</v>
      </c>
      <c r="B109" s="34" t="inlineStr">
        <is>
          <t>ยาเบาหวานที่ได้รับออกฤทธิ์อย่างไร</t>
        </is>
      </c>
      <c r="C109" s="35" t="n"/>
      <c r="D109" s="34" t="inlineStr">
        <is>
          <t>ช่วยลด insulin resistance</t>
        </is>
      </c>
      <c r="E109" s="34" t="inlineStr">
        <is>
          <t>กระตุ้นการทำงานของ receptor</t>
        </is>
      </c>
      <c r="F109" s="34" t="inlineStr">
        <is>
          <t>ยับยั้ง DPP-IV</t>
        </is>
      </c>
      <c r="G109" s="34" t="inlineStr">
        <is>
          <t>Pioglitazone 15 mg OD</t>
        </is>
      </c>
      <c r="H109" s="34" t="inlineStr">
        <is>
          <t>Insulin glargine 10 units SC HS</t>
        </is>
      </c>
      <c r="I109" s="33" t="inlineStr">
        <is>
          <t>1</t>
        </is>
      </c>
      <c r="J109" s="34"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35" t="n"/>
      <c r="L109" s="34" t="inlineStr">
        <is>
          <t>Diabetes mellitus</t>
        </is>
      </c>
      <c r="M109" s="35" t="inlineStr">
        <is>
          <t>Clinic</t>
        </is>
      </c>
      <c r="N109" s="34" t="inlineStr">
        <is>
          <t>ข้อ 83 (PLE_CC1_2558_Key.md)</t>
        </is>
      </c>
      <c r="O109" s="35" t="inlineStr">
        <is>
          <t>ข้อสอบจริง</t>
        </is>
      </c>
      <c r="P109" s="35" t="inlineStr">
        <is>
          <t>ปี 2558</t>
        </is>
      </c>
    </row>
    <row r="110" ht="13.2" customHeight="1" s="49">
      <c r="A110" s="33" t="n">
        <v>108</v>
      </c>
      <c r="B110" s="34" t="inlineStr">
        <is>
          <t>Insulin ในประเทศไทย ใช้กระบวนการไรผลิต</t>
        </is>
      </c>
      <c r="C110" s="35" t="n"/>
      <c r="D110" s="34" t="inlineStr">
        <is>
          <t>สกัดจากตับอ่อนหมู</t>
        </is>
      </c>
      <c r="E110" s="34" t="inlineStr">
        <is>
          <t>จากการเพาะเลี้ยงเซลล์ตับอ่อนคน</t>
        </is>
      </c>
      <c r="F110" s="34" t="inlineStr">
        <is>
          <t>recombinant technology</t>
        </is>
      </c>
      <c r="G110" s="34" t="inlineStr">
        <is>
          <t>ก และ ข</t>
        </is>
      </c>
      <c r="H110" s="34" t="inlineStr">
        <is>
          <t>ก และ ค</t>
        </is>
      </c>
      <c r="I110" s="33" t="inlineStr">
        <is>
          <t>1</t>
        </is>
      </c>
      <c r="J110" s="34"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35" t="n"/>
      <c r="L110" s="34" t="inlineStr">
        <is>
          <t>Diabetes mellitus</t>
        </is>
      </c>
      <c r="M110" s="35" t="inlineStr">
        <is>
          <t>Clinic</t>
        </is>
      </c>
      <c r="N110" s="34" t="inlineStr">
        <is>
          <t>ข้อ 84 (PLE_CC1_2558_Key.md)</t>
        </is>
      </c>
      <c r="O110" s="35" t="inlineStr">
        <is>
          <t>ข้อสอบจริง</t>
        </is>
      </c>
      <c r="P110" s="35" t="inlineStr">
        <is>
          <t>ปี 2558</t>
        </is>
      </c>
    </row>
    <row r="111" ht="13.2" customHeight="1" s="49">
      <c r="A111" s="33" t="n">
        <v>109</v>
      </c>
      <c r="B111" s="34" t="inlineStr">
        <is>
          <t>ข้อใดถูกต้องเกี่ยวกับ insulin</t>
        </is>
      </c>
      <c r="C111" s="35" t="n"/>
      <c r="D111" s="34" t="inlineStr">
        <is>
          <t>ออกฤทธิ์คล้าย GLP-1 analogue</t>
        </is>
      </c>
      <c r="E111" s="34" t="inlineStr">
        <is>
          <t>เพิ่ม insulin receptor</t>
        </is>
      </c>
      <c r="F111" s="34" t="inlineStr">
        <is>
          <t>ใช้สำลีชุบ alcohol เช็ดที่ปลายเข็มก่อนฉีด</t>
        </is>
      </c>
      <c r="G111" s="34" t="inlineStr">
        <is>
          <t>ควรฉีดซ้ำที่เดิม เพื่อให้ยาออกฤทธิ์ได้เท่าเดิม</t>
        </is>
      </c>
      <c r="H111" s="34" t="inlineStr">
        <is>
          <t>หลังจากเปิดใช้แล้วเก็บได้นาน 2 เดือน</t>
        </is>
      </c>
      <c r="I111" s="33" t="inlineStr">
        <is>
          <t>1</t>
        </is>
      </c>
      <c r="J111" s="34"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35" t="n"/>
      <c r="L111" s="34" t="inlineStr">
        <is>
          <t>Diabetes mellitus</t>
        </is>
      </c>
      <c r="M111" s="35" t="inlineStr">
        <is>
          <t>Clinic</t>
        </is>
      </c>
      <c r="N111" s="34" t="inlineStr">
        <is>
          <t>ข้อ 85 (PLE_CC1_2558_Key.md)</t>
        </is>
      </c>
      <c r="O111" s="35" t="inlineStr">
        <is>
          <t>ข้อสอบจริง</t>
        </is>
      </c>
      <c r="P111" s="35" t="inlineStr">
        <is>
          <t>ปี 2558</t>
        </is>
      </c>
    </row>
    <row r="112" ht="13.2" customHeight="1" s="49">
      <c r="A112" s="33" t="n">
        <v>110</v>
      </c>
      <c r="B112" s="34" t="inlineStr">
        <is>
          <t>ข้อใดไม่ใช่อาการของผู้ป่วยเบาหวาน</t>
        </is>
      </c>
      <c r="C112" s="35" t="n"/>
      <c r="D112" s="34" t="inlineStr">
        <is>
          <t>หิวบ่อย/กินเยอะ</t>
        </is>
      </c>
      <c r="E112" s="34" t="inlineStr">
        <is>
          <t>ปัสสาวะบ่อย</t>
        </is>
      </c>
      <c r="F112" s="34" t="inlineStr">
        <is>
          <t>อาการร้อนวูบวาบ</t>
        </is>
      </c>
      <c r="G112" s="34" t="inlineStr">
        <is>
          <t>ดื่มน้ำบ่อย/กระหายน้ำบ่อย</t>
        </is>
      </c>
      <c r="H112" s="34" t="inlineStr">
        <is>
          <t>น้ำหนักลด</t>
        </is>
      </c>
      <c r="I112" s="33" t="inlineStr">
        <is>
          <t>1</t>
        </is>
      </c>
      <c r="J112" s="34"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35" t="n"/>
      <c r="L112" s="34" t="inlineStr">
        <is>
          <t>Diabetes mellitus</t>
        </is>
      </c>
      <c r="M112" s="35" t="inlineStr">
        <is>
          <t>Clinic</t>
        </is>
      </c>
      <c r="N112" s="34" t="inlineStr">
        <is>
          <t>ข้อ 74 (Pharmtutor_2024_Set1.md)</t>
        </is>
      </c>
      <c r="O112" s="35" t="inlineStr">
        <is>
          <t>Mock</t>
        </is>
      </c>
      <c r="P112" s="35" t="inlineStr">
        <is>
          <t>Mock Pharmtutor 2024</t>
        </is>
      </c>
    </row>
    <row r="113" ht="13.2" customHeight="1" s="49">
      <c r="A113" s="33" t="n">
        <v>111</v>
      </c>
      <c r="B113" s="34" t="inlineStr">
        <is>
          <t>ข้อใดคือเป้าหมายของการรักษาผู้ป่วยเบาหวาน</t>
        </is>
      </c>
      <c r="C113" s="35" t="n"/>
      <c r="D113" s="34" t="inlineStr">
        <is>
          <t>HbA1C &lt; 6.5%</t>
        </is>
      </c>
      <c r="E113" s="34" t="inlineStr">
        <is>
          <t>HbA1C &lt; 7%</t>
        </is>
      </c>
      <c r="F113" s="34" t="inlineStr">
        <is>
          <t>HbA1C &lt; 7.5%</t>
        </is>
      </c>
      <c r="G113" s="34" t="inlineStr">
        <is>
          <t>Preprandial glucose &lt; 80 mg/dL</t>
        </is>
      </c>
      <c r="H113" s="34" t="inlineStr">
        <is>
          <t>Peak postprandial glucose &lt; 200 mg/dL</t>
        </is>
      </c>
      <c r="I113" s="33" t="inlineStr">
        <is>
          <t>1</t>
        </is>
      </c>
      <c r="J113" s="34"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35" t="n"/>
      <c r="L113" s="34" t="inlineStr">
        <is>
          <t>Diabetes mellitus</t>
        </is>
      </c>
      <c r="M113" s="35" t="inlineStr">
        <is>
          <t>Clinic</t>
        </is>
      </c>
      <c r="N113" s="34" t="inlineStr">
        <is>
          <t>ข้อ 75 (Pharmtutor_2024_Set1.md)</t>
        </is>
      </c>
      <c r="O113" s="35" t="inlineStr">
        <is>
          <t>Mock</t>
        </is>
      </c>
      <c r="P113" s="35" t="inlineStr">
        <is>
          <t>Mock Pharmtutor 2024</t>
        </is>
      </c>
    </row>
    <row r="114" ht="13.2" customHeight="1" s="49">
      <c r="A114" s="33" t="n">
        <v>112</v>
      </c>
      <c r="B114" s="34" t="inlineStr">
        <is>
          <t>การดัดแปลง insulin ในข้อใดทำให้ออกฤทธิ์ได้เร็วขึ้น</t>
        </is>
      </c>
      <c r="C114" s="35" t="n"/>
      <c r="D114" s="34" t="inlineStr">
        <is>
          <t>เติม protamine</t>
        </is>
      </c>
      <c r="E114" s="34" t="inlineStr">
        <is>
          <t>เติม arginine 2 หมู่</t>
        </is>
      </c>
      <c r="F114" s="34" t="inlineStr">
        <is>
          <t>เติม zinc chloride</t>
        </is>
      </c>
      <c r="G114" s="34" t="inlineStr">
        <is>
          <t>เติม myristic acid</t>
        </is>
      </c>
      <c r="H114" s="34" t="inlineStr">
        <is>
          <t>สลับ amino acid ระหว่าง Lysine และ Proline</t>
        </is>
      </c>
      <c r="I114" s="33" t="inlineStr">
        <is>
          <t>1</t>
        </is>
      </c>
      <c r="J114" s="34"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35" t="n"/>
      <c r="L114" s="34" t="inlineStr">
        <is>
          <t>Diabetes mellitus</t>
        </is>
      </c>
      <c r="M114" s="35" t="inlineStr">
        <is>
          <t>Clinic</t>
        </is>
      </c>
      <c r="N114" s="34" t="inlineStr">
        <is>
          <t>ข้อ 78 (Pharmtutor_2024_Set1.md)</t>
        </is>
      </c>
      <c r="O114" s="35" t="inlineStr">
        <is>
          <t>Mock</t>
        </is>
      </c>
      <c r="P114" s="35" t="inlineStr">
        <is>
          <t>Mock Pharmtutor 2024</t>
        </is>
      </c>
    </row>
    <row r="115" ht="13.2" customHeight="1" s="49">
      <c r="A115" s="33" t="n">
        <v>113</v>
      </c>
      <c r="B115" s="34" t="inlineStr">
        <is>
          <t>ยารักษาเบาหวาน ที่ควรเริ่มเป็นอันดับแรก ในผู้ป่วยรายนี้ คือข้อใด</t>
        </is>
      </c>
      <c r="C115" s="35" t="n"/>
      <c r="D115" s="34" t="inlineStr">
        <is>
          <t>Glipizide</t>
        </is>
      </c>
      <c r="E115" s="34" t="inlineStr">
        <is>
          <t>Metformin</t>
        </is>
      </c>
      <c r="F115" s="34" t="inlineStr">
        <is>
          <t>Pioglitazone</t>
        </is>
      </c>
      <c r="G115" s="34" t="inlineStr">
        <is>
          <t>Insulin glargine</t>
        </is>
      </c>
      <c r="H115" s="34" t="inlineStr">
        <is>
          <t>Acarbose</t>
        </is>
      </c>
      <c r="I115" s="33" t="inlineStr">
        <is>
          <t>1</t>
        </is>
      </c>
      <c r="J115" s="34"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5" s="35" t="n"/>
      <c r="L115" s="34" t="inlineStr">
        <is>
          <t>Diabetes mellitus</t>
        </is>
      </c>
      <c r="M115" s="35" t="inlineStr">
        <is>
          <t>Clinic</t>
        </is>
      </c>
      <c r="N115" s="34" t="inlineStr">
        <is>
          <t>ข้อ 70 (Pharmtutor_2024_Set2.md)</t>
        </is>
      </c>
      <c r="O115" s="35" t="inlineStr">
        <is>
          <t>Mock</t>
        </is>
      </c>
      <c r="P115" s="35" t="inlineStr">
        <is>
          <t>Mock Pharmtutor 2024</t>
        </is>
      </c>
    </row>
    <row r="116" ht="13.2" customHeight="1" s="49">
      <c r="A116" s="33" t="n">
        <v>114</v>
      </c>
      <c r="B116" s="34" t="inlineStr">
        <is>
          <t>เป้าหมายการรักษาเบาหวาน (ควบคุมทั่วไป) ในผู้ป่วยรายนี้</t>
        </is>
      </c>
      <c r="C116" s="35" t="n"/>
      <c r="D116" s="34" t="inlineStr">
        <is>
          <t>FBS &lt; 70 mg/dL</t>
        </is>
      </c>
      <c r="E116" s="34" t="inlineStr">
        <is>
          <t>HbA1C &lt;8%</t>
        </is>
      </c>
      <c r="F116" s="34" t="inlineStr">
        <is>
          <t>Peak Post prandial glucose &lt; 180 mg/dL</t>
        </is>
      </c>
      <c r="G116" s="34" t="inlineStr">
        <is>
          <t>OGTT &lt; 126 mg/dL</t>
        </is>
      </c>
      <c r="H116" s="34" t="inlineStr">
        <is>
          <t>Random plasma glucose &lt; 250 mg/dL</t>
        </is>
      </c>
      <c r="I116" s="33" t="inlineStr">
        <is>
          <t>1</t>
        </is>
      </c>
      <c r="J116" s="34"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35" t="n"/>
      <c r="L116" s="34" t="inlineStr">
        <is>
          <t>Diabetes mellitus</t>
        </is>
      </c>
      <c r="M116" s="35" t="inlineStr">
        <is>
          <t>Clinic</t>
        </is>
      </c>
      <c r="N116" s="34" t="inlineStr">
        <is>
          <t>ข้อ 71 (Pharmtutor_2024_Set2.md)</t>
        </is>
      </c>
      <c r="O116" s="35" t="inlineStr">
        <is>
          <t>Mock</t>
        </is>
      </c>
      <c r="P116" s="35" t="inlineStr">
        <is>
          <t>Mock Pharmtutor 2024</t>
        </is>
      </c>
    </row>
    <row r="117" ht="13.2" customHeight="1" s="49">
      <c r="A117" s="33" t="n">
        <v>115</v>
      </c>
      <c r="B117" s="34" t="inlineStr">
        <is>
          <t>การปรับปรุงโปรงสร้างของ insulin ในข้อใด ทำให้สามารถออกฤทธิ์ได้ยาวนานมากขึ้น</t>
        </is>
      </c>
      <c r="C117" s="35" t="n"/>
      <c r="D117" s="34" t="inlineStr">
        <is>
          <t>เพิ่มการละลายของ insulin</t>
        </is>
      </c>
      <c r="E117" s="34" t="inlineStr">
        <is>
          <t>ลดความสามารถในการก่อ hexamer ของ insulin</t>
        </is>
      </c>
      <c r="F117" s="34" t="inlineStr">
        <is>
          <t>การเติมกรดไขมัน เช่น myristic acid</t>
        </is>
      </c>
      <c r="G117" s="34" t="inlineStr">
        <is>
          <t>สลับกรดอะมิโน ระหว่าง lysine และ proline</t>
        </is>
      </c>
      <c r="H117" s="34" t="inlineStr">
        <is>
          <t>ไม่มีข้อใดถูก</t>
        </is>
      </c>
      <c r="I117" s="33" t="inlineStr">
        <is>
          <t>1</t>
        </is>
      </c>
      <c r="J117" s="34"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35" t="n"/>
      <c r="L117" s="34" t="inlineStr">
        <is>
          <t>Diabetes mellitus</t>
        </is>
      </c>
      <c r="M117" s="35" t="inlineStr">
        <is>
          <t>Clinic</t>
        </is>
      </c>
      <c r="N117" s="34" t="inlineStr">
        <is>
          <t>ข้อ 72 (Pharmtutor_2024_Set2.md)</t>
        </is>
      </c>
      <c r="O117" s="35" t="inlineStr">
        <is>
          <t>Mock</t>
        </is>
      </c>
      <c r="P117" s="35" t="inlineStr">
        <is>
          <t>Mock Pharmtutor 2024</t>
        </is>
      </c>
    </row>
    <row r="118" ht="13.2" customHeight="1" s="49">
      <c r="A118" s="33" t="n">
        <v>116</v>
      </c>
      <c r="B118" s="34"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18" s="35" t="n"/>
      <c r="D118" s="34" t="inlineStr">
        <is>
          <t>Propylthiouracil 50 mg TID</t>
        </is>
      </c>
      <c r="E118" s="34" t="inlineStr">
        <is>
          <t>Methimazole 10 mg OD</t>
        </is>
      </c>
      <c r="F118" s="34" t="inlineStr">
        <is>
          <t>Pioglitazone 15 mg OD</t>
        </is>
      </c>
      <c r="G118" s="34" t="inlineStr">
        <is>
          <t>Insulin glargine 10 units SC HS</t>
        </is>
      </c>
      <c r="H118" s="34" t="inlineStr">
        <is>
          <t>Insulin lispro 4 units SC before meals</t>
        </is>
      </c>
      <c r="I118" s="33" t="inlineStr">
        <is>
          <t>1</t>
        </is>
      </c>
      <c r="J118"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8" s="35" t="n"/>
      <c r="L118" s="34" t="inlineStr">
        <is>
          <t>Diabetes mellitus</t>
        </is>
      </c>
      <c r="M118" s="35" t="inlineStr">
        <is>
          <t>Clinic</t>
        </is>
      </c>
      <c r="N118" s="34" t="inlineStr">
        <is>
          <t>ข้อ 10 (PLE_CC1_2557.md)</t>
        </is>
      </c>
      <c r="O118" s="35" t="inlineStr">
        <is>
          <t>ข้อสอบจริง</t>
        </is>
      </c>
      <c r="P118" s="35" t="inlineStr">
        <is>
          <t>ปี 2557</t>
        </is>
      </c>
    </row>
    <row r="119" ht="13.2" customHeight="1" s="49">
      <c r="A119" s="33" t="n">
        <v>117</v>
      </c>
      <c r="B119" s="34"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19" s="35" t="n"/>
      <c r="D119" s="34" t="inlineStr">
        <is>
          <t>Insulin glargine 10 units SC HS</t>
        </is>
      </c>
      <c r="E119" s="34" t="inlineStr">
        <is>
          <t>Insulin lispro 4 units SC before meals</t>
        </is>
      </c>
      <c r="F119" s="34" t="inlineStr">
        <is>
          <t>Dapagliflozin 10 mg OD</t>
        </is>
      </c>
      <c r="G119" s="34" t="inlineStr">
        <is>
          <t>Semaglutide 0.5 mg SC weekly</t>
        </is>
      </c>
      <c r="H119" s="34" t="inlineStr">
        <is>
          <t>Metformin 500 mg BID</t>
        </is>
      </c>
      <c r="I119" s="33" t="inlineStr">
        <is>
          <t>1</t>
        </is>
      </c>
      <c r="J119"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35" t="n"/>
      <c r="L119" s="34" t="inlineStr">
        <is>
          <t>Diabetes mellitus</t>
        </is>
      </c>
      <c r="M119" s="35" t="inlineStr">
        <is>
          <t>Clinic</t>
        </is>
      </c>
      <c r="N119" s="34" t="inlineStr">
        <is>
          <t>ข้อ 16 (PLE_CC1_2557.md)</t>
        </is>
      </c>
      <c r="O119" s="35" t="inlineStr">
        <is>
          <t>ข้อสอบจริง</t>
        </is>
      </c>
      <c r="P119" s="35" t="inlineStr">
        <is>
          <t>ปี 2557</t>
        </is>
      </c>
    </row>
    <row r="120" ht="13.2" customHeight="1" s="49">
      <c r="A120" s="33" t="n">
        <v>118</v>
      </c>
      <c r="B120" s="34"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0" s="35" t="n"/>
      <c r="D120" s="34" t="inlineStr">
        <is>
          <t>Semaglutide 0.5 mg SC weekly</t>
        </is>
      </c>
      <c r="E120" s="34" t="inlineStr">
        <is>
          <t>Metformin 500 mg BID</t>
        </is>
      </c>
      <c r="F120" s="34" t="inlineStr">
        <is>
          <t>Glipizide 5 mg OD</t>
        </is>
      </c>
      <c r="G120" s="34" t="inlineStr">
        <is>
          <t>Empagliflozin 10 mg OD</t>
        </is>
      </c>
      <c r="H120" s="34" t="inlineStr">
        <is>
          <t>Sitagliptin 100 mg OD</t>
        </is>
      </c>
      <c r="I120" s="33" t="inlineStr">
        <is>
          <t>1</t>
        </is>
      </c>
      <c r="J120"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0" s="35" t="n"/>
      <c r="L120" s="34" t="inlineStr">
        <is>
          <t>Diabetes mellitus</t>
        </is>
      </c>
      <c r="M120" s="35" t="inlineStr">
        <is>
          <t>Clinic</t>
        </is>
      </c>
      <c r="N120" s="34" t="inlineStr">
        <is>
          <t>ข้อ 33 (PLE_CC1_2557.md)</t>
        </is>
      </c>
      <c r="O120" s="35" t="inlineStr">
        <is>
          <t>ข้อสอบจริง</t>
        </is>
      </c>
      <c r="P120" s="35" t="inlineStr">
        <is>
          <t>ปี 2557</t>
        </is>
      </c>
    </row>
    <row r="121" ht="13.2" customHeight="1" s="49">
      <c r="A121" s="33" t="n">
        <v>119</v>
      </c>
      <c r="B121" s="34"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 6 หญิงไทย อายุ 26 ปี ต้องการใช้ยาคุมกำเนิดชนิด รับประทาน</t>
        </is>
      </c>
      <c r="C121" s="35" t="n"/>
      <c r="D121" s="34" t="inlineStr">
        <is>
          <t>Empagliflozin 10 mg OD</t>
        </is>
      </c>
      <c r="E121" s="34" t="inlineStr">
        <is>
          <t>Sitagliptin 100 mg OD</t>
        </is>
      </c>
      <c r="F121" s="34" t="inlineStr">
        <is>
          <t>Liraglutide 1.2 mg SC OD</t>
        </is>
      </c>
      <c r="G121" s="34" t="inlineStr">
        <is>
          <t>Levothyroxine 50 mcg OD</t>
        </is>
      </c>
      <c r="H121" s="34" t="inlineStr">
        <is>
          <t>Propylthiouracil 50 mg TID</t>
        </is>
      </c>
      <c r="I121" s="33" t="inlineStr">
        <is>
          <t>1</t>
        </is>
      </c>
      <c r="J121"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1" s="35" t="n"/>
      <c r="L121" s="34" t="inlineStr">
        <is>
          <t>Diabetes mellitus</t>
        </is>
      </c>
      <c r="M121" s="35" t="inlineStr">
        <is>
          <t>Clinic</t>
        </is>
      </c>
      <c r="N121" s="34" t="inlineStr">
        <is>
          <t>ข้อ 36 (PLE_CC1_2557.md)</t>
        </is>
      </c>
      <c r="O121" s="35" t="inlineStr">
        <is>
          <t>ข้อสอบจริง</t>
        </is>
      </c>
      <c r="P121" s="35" t="inlineStr">
        <is>
          <t>ปี 2557</t>
        </is>
      </c>
    </row>
    <row r="122" ht="13.2" customHeight="1" s="49">
      <c r="A122" s="33" t="n">
        <v>120</v>
      </c>
      <c r="B122" s="34"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2" s="35" t="n"/>
      <c r="D122" s="34" t="inlineStr">
        <is>
          <t>Levothyroxine 50 mcg OD</t>
        </is>
      </c>
      <c r="E122" s="34" t="inlineStr">
        <is>
          <t>Propylthiouracil 50 mg TID</t>
        </is>
      </c>
      <c r="F122" s="34" t="inlineStr">
        <is>
          <t>Methimazole 10 mg OD</t>
        </is>
      </c>
      <c r="G122" s="34" t="inlineStr">
        <is>
          <t>Pioglitazone 15 mg OD</t>
        </is>
      </c>
      <c r="H122" s="34" t="inlineStr">
        <is>
          <t>Insulin glargine 10 units SC HS</t>
        </is>
      </c>
      <c r="I122" s="33" t="inlineStr">
        <is>
          <t>1</t>
        </is>
      </c>
      <c r="J122"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2" s="35" t="n"/>
      <c r="L122" s="34" t="inlineStr">
        <is>
          <t>Diabetes mellitus</t>
        </is>
      </c>
      <c r="M122" s="35" t="inlineStr">
        <is>
          <t>Clinic</t>
        </is>
      </c>
      <c r="N122" s="34" t="inlineStr">
        <is>
          <t>ข้อ 37 (PLE_CC1_2557.md)</t>
        </is>
      </c>
      <c r="O122" s="35" t="inlineStr">
        <is>
          <t>ข้อสอบจริง</t>
        </is>
      </c>
      <c r="P122" s="35" t="inlineStr">
        <is>
          <t>ปี 2557</t>
        </is>
      </c>
    </row>
    <row r="123" ht="13.2" customHeight="1" s="49">
      <c r="A123" s="33" t="n">
        <v>121</v>
      </c>
      <c r="B123" s="34" t="inlineStr">
        <is>
          <t>Insulin อีก 2 เดือนต่อมา ผู้ป่วยมาพบแพทย์ตามนัด ผลตรวจร่างกายเป็นดังนี้ FBS 123, HbA1C 6.8, BP 150/98, urine analysis : protein 1.5 g/ 24 h</t>
        </is>
      </c>
      <c r="C123" s="35" t="n"/>
      <c r="D123" s="34" t="inlineStr">
        <is>
          <t>จากข้อมูลข้างต้น ควรรักษาอย่างไร</t>
        </is>
      </c>
      <c r="E123" s="34" t="inlineStr">
        <is>
          <t>Insulin glargine 10 units SC HS</t>
        </is>
      </c>
      <c r="F123" s="34" t="inlineStr">
        <is>
          <t>Insulin lispro 4 units SC before meals</t>
        </is>
      </c>
      <c r="G123" s="34" t="inlineStr">
        <is>
          <t>Dapagliflozin 10 mg OD</t>
        </is>
      </c>
      <c r="H123" s="34" t="inlineStr">
        <is>
          <t>Semaglutide 0.5 mg SC weekly</t>
        </is>
      </c>
      <c r="I123" s="33" t="inlineStr">
        <is>
          <t>1</t>
        </is>
      </c>
      <c r="J123" s="34"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35" t="n"/>
      <c r="L123" s="34" t="inlineStr">
        <is>
          <t>Diabetes mellitus</t>
        </is>
      </c>
      <c r="M123" s="35" t="inlineStr">
        <is>
          <t>Clinic</t>
        </is>
      </c>
      <c r="N123" s="34" t="inlineStr">
        <is>
          <t>ข้อ 5 (PLE_CC1_2556.md)</t>
        </is>
      </c>
      <c r="O123" s="35" t="inlineStr">
        <is>
          <t>ข้อสอบจริง</t>
        </is>
      </c>
      <c r="P123" s="35" t="inlineStr">
        <is>
          <t>ปี 2556</t>
        </is>
      </c>
    </row>
    <row r="124" ht="13.2" customHeight="1" s="49">
      <c r="A124" s="33" t="n">
        <v>122</v>
      </c>
      <c r="B124" s="34" t="inlineStr">
        <is>
          <t>โจทย์ให้ค่าแลปมา FBS สูง HbA1C สูง ALT 200 กว่า, AST 200 กว่า, BUN 17, Cr 0.8 จากข้อมูลดังกล่าวยาตัวใดปลอดภัยที่สุด</t>
        </is>
      </c>
      <c r="C124" s="35" t="n"/>
      <c r="D124" s="34" t="inlineStr">
        <is>
          <t>Dapagliflozin 10 mg OD</t>
        </is>
      </c>
      <c r="E124" s="34" t="inlineStr">
        <is>
          <t>Semaglutide 0.5 mg SC weekly</t>
        </is>
      </c>
      <c r="F124" s="34" t="inlineStr">
        <is>
          <t>Metformin 500 mg BID</t>
        </is>
      </c>
      <c r="G124" s="34" t="inlineStr">
        <is>
          <t>Glipizide 5 mg OD</t>
        </is>
      </c>
      <c r="H124" s="34" t="inlineStr">
        <is>
          <t>Empagliflozin 10 mg OD</t>
        </is>
      </c>
      <c r="I124" s="33" t="inlineStr">
        <is>
          <t>1</t>
        </is>
      </c>
      <c r="J124"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4" s="35" t="n"/>
      <c r="L124" s="34" t="inlineStr">
        <is>
          <t>Diabetes mellitus</t>
        </is>
      </c>
      <c r="M124" s="35" t="inlineStr">
        <is>
          <t>Clinic</t>
        </is>
      </c>
      <c r="N124" s="34" t="inlineStr">
        <is>
          <t>ข้อ 6 (PLE_CC1_2556.md)</t>
        </is>
      </c>
      <c r="O124" s="35" t="inlineStr">
        <is>
          <t>ข้อสอบจริง</t>
        </is>
      </c>
      <c r="P124" s="35" t="inlineStr">
        <is>
          <t>ปี 2556</t>
        </is>
      </c>
    </row>
    <row r="125" ht="13.2" customHeight="1" s="49">
      <c r="A125" s="33" t="n">
        <v>123</v>
      </c>
      <c r="B125" s="34" t="inlineStr">
        <is>
          <t>ข้อใดไม่ถูกต้องเกี่ยวกับ NPH insulin</t>
        </is>
      </c>
      <c r="C125" s="35" t="n"/>
      <c r="D125" s="34" t="inlineStr">
        <is>
          <t>Glipizide 5 mg OD</t>
        </is>
      </c>
      <c r="E125" s="34" t="inlineStr">
        <is>
          <t>Empagliflozin 10 mg OD</t>
        </is>
      </c>
      <c r="F125" s="34" t="inlineStr">
        <is>
          <t>Sitagliptin 100 mg OD</t>
        </is>
      </c>
      <c r="G125" s="34" t="inlineStr">
        <is>
          <t>Liraglutide 1.2 mg SC OD</t>
        </is>
      </c>
      <c r="H125" s="34" t="inlineStr">
        <is>
          <t>Levothyroxine 50 mcg OD</t>
        </is>
      </c>
      <c r="I125" s="33" t="inlineStr">
        <is>
          <t>1</t>
        </is>
      </c>
      <c r="J125" s="34"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5" s="35" t="n"/>
      <c r="L125" s="34" t="inlineStr">
        <is>
          <t>Diabetes mellitus</t>
        </is>
      </c>
      <c r="M125" s="35" t="inlineStr">
        <is>
          <t>Clinic</t>
        </is>
      </c>
      <c r="N125" s="34" t="inlineStr">
        <is>
          <t>ข้อ 9 (PLE_CC1_2556.md)</t>
        </is>
      </c>
      <c r="O125" s="35" t="inlineStr">
        <is>
          <t>ข้อสอบจริง</t>
        </is>
      </c>
      <c r="P125" s="35" t="inlineStr">
        <is>
          <t>ปี 2556</t>
        </is>
      </c>
    </row>
    <row r="126" ht="13.2" customHeight="1" s="49">
      <c r="A126" s="33" t="n">
        <v>124</v>
      </c>
      <c r="B126" s="34" t="inlineStr">
        <is>
          <t>เป็น intermediate acting insulin</t>
        </is>
      </c>
      <c r="C126" s="35" t="n"/>
      <c r="D126" s="34" t="inlineStr">
        <is>
          <t>Liraglutide 1.2 mg SC OD</t>
        </is>
      </c>
      <c r="E126" s="34" t="inlineStr">
        <is>
          <t>Levothyroxine 50 mcg OD</t>
        </is>
      </c>
      <c r="F126" s="34" t="inlineStr">
        <is>
          <t>Propylthiouracil 50 mg TID</t>
        </is>
      </c>
      <c r="G126" s="34" t="inlineStr">
        <is>
          <t>Methimazole 10 mg OD</t>
        </is>
      </c>
      <c r="H126" s="34" t="inlineStr">
        <is>
          <t>Pioglitazone 15 mg OD</t>
        </is>
      </c>
      <c r="I126" s="33" t="inlineStr">
        <is>
          <t>1</t>
        </is>
      </c>
      <c r="J126"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6" s="35" t="n"/>
      <c r="L126" s="34" t="inlineStr">
        <is>
          <t>Diabetes mellitus</t>
        </is>
      </c>
      <c r="M126" s="35" t="inlineStr">
        <is>
          <t>Clinic</t>
        </is>
      </c>
      <c r="N126" s="34" t="inlineStr">
        <is>
          <t>ข้อ 2 (PLE_CC1_2556.md)</t>
        </is>
      </c>
      <c r="O126" s="35" t="inlineStr">
        <is>
          <t>ข้อสอบจริง</t>
        </is>
      </c>
      <c r="P126" s="35" t="inlineStr">
        <is>
          <t>ปี 2556</t>
        </is>
      </c>
    </row>
    <row r="127" ht="13.2" customHeight="1" s="49">
      <c r="A127" s="33" t="n">
        <v>125</v>
      </c>
      <c r="B127" s="34" t="inlineStr">
        <is>
          <t>insulin resistant</t>
        </is>
      </c>
      <c r="C127" s="35" t="n"/>
      <c r="D127" s="34" t="inlineStr">
        <is>
          <t>Methimazole 10 mg OD</t>
        </is>
      </c>
      <c r="E127" s="34" t="inlineStr">
        <is>
          <t>Pioglitazone 15 mg OD</t>
        </is>
      </c>
      <c r="F127" s="34" t="inlineStr">
        <is>
          <t>Insulin glargine 10 units SC HS</t>
        </is>
      </c>
      <c r="G127" s="34" t="inlineStr">
        <is>
          <t>Insulin lispro 4 units SC before meals</t>
        </is>
      </c>
      <c r="H127" s="34" t="inlineStr">
        <is>
          <t>Dapagliflozin 10 mg OD</t>
        </is>
      </c>
      <c r="I127" s="33" t="inlineStr">
        <is>
          <t>1</t>
        </is>
      </c>
      <c r="J127"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7" s="35" t="n"/>
      <c r="L127" s="34" t="inlineStr">
        <is>
          <t>Diabetes mellitus</t>
        </is>
      </c>
      <c r="M127" s="35" t="inlineStr">
        <is>
          <t>Clinic</t>
        </is>
      </c>
      <c r="N127" s="34" t="inlineStr">
        <is>
          <t>ข้อ 4 (PLE_CC1_2555 Day 2.md)</t>
        </is>
      </c>
      <c r="O127" s="35" t="inlineStr">
        <is>
          <t>ข้อสอบจริง</t>
        </is>
      </c>
      <c r="P127" s="35" t="inlineStr">
        <is>
          <t>ปี 2555</t>
        </is>
      </c>
    </row>
    <row r="128" ht="13.2" customHeight="1" s="49">
      <c r="A128" s="33" t="n">
        <v>126</v>
      </c>
      <c r="B128" s="34" t="inlineStr">
        <is>
          <t>อาการของไทรอยด์เป็นพิษ</t>
        </is>
      </c>
      <c r="C128" s="35" t="n"/>
      <c r="D128" s="34"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28" s="34" t="inlineStr">
        <is>
          <t>Dapagliflozin 10 mg OD</t>
        </is>
      </c>
      <c r="F128" s="34" t="inlineStr">
        <is>
          <t>Semaglutide 0.5 mg SC weekly</t>
        </is>
      </c>
      <c r="G128" s="34" t="inlineStr">
        <is>
          <t>Metformin 500 mg BID</t>
        </is>
      </c>
      <c r="H128" s="34" t="inlineStr">
        <is>
          <t>Glipizide 5 mg OD</t>
        </is>
      </c>
      <c r="I128" s="33" t="inlineStr">
        <is>
          <t>1</t>
        </is>
      </c>
      <c r="J128" s="34"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8" s="35" t="n"/>
      <c r="L128" s="34" t="inlineStr">
        <is>
          <t>Diabetes mellitus</t>
        </is>
      </c>
      <c r="M128" s="35" t="inlineStr">
        <is>
          <t>Clinic</t>
        </is>
      </c>
      <c r="N128" s="34" t="inlineStr">
        <is>
          <t>ข้อ 4 (PLE_CC1_2554 SET2.md)</t>
        </is>
      </c>
      <c r="O128" s="35" t="inlineStr">
        <is>
          <t>ข้อสอบจริง</t>
        </is>
      </c>
      <c r="P128" s="35" t="inlineStr">
        <is>
          <t>ปี 2554</t>
        </is>
      </c>
    </row>
    <row r="129" ht="13.2" customHeight="1" s="49">
      <c r="A129" s="33" t="n">
        <v>127</v>
      </c>
      <c r="B129" s="34" t="inlineStr">
        <is>
          <t>ยาที่ใช้รักษา Hyperthyroidism คือยาใด</t>
        </is>
      </c>
      <c r="C129" s="35" t="n"/>
      <c r="D129" s="34" t="inlineStr">
        <is>
          <t>Propylthiouracil (PTU), Methimazole (MTZ or MMI), Carbimazole(CBZ) เพราะยาดังกล่าวเป็นยาAntithyroid drugs Ref: ชีทอ.วรนุช</t>
        </is>
      </c>
      <c r="E129" s="34" t="inlineStr">
        <is>
          <t>Glipizide 5 mg OD</t>
        </is>
      </c>
      <c r="F129" s="34" t="inlineStr">
        <is>
          <t>Empagliflozin 10 mg OD</t>
        </is>
      </c>
      <c r="G129" s="34" t="inlineStr">
        <is>
          <t>Sitagliptin 100 mg OD</t>
        </is>
      </c>
      <c r="H129" s="34" t="inlineStr">
        <is>
          <t>Liraglutide 1.2 mg SC OD</t>
        </is>
      </c>
      <c r="I129" s="33" t="inlineStr">
        <is>
          <t>1</t>
        </is>
      </c>
      <c r="J129" s="34"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9" s="35" t="n"/>
      <c r="L129" s="34" t="inlineStr">
        <is>
          <t>Diabetes mellitus</t>
        </is>
      </c>
      <c r="M129" s="35" t="inlineStr">
        <is>
          <t>Clinic</t>
        </is>
      </c>
      <c r="N129" s="34" t="inlineStr">
        <is>
          <t>ข้อ 5 (PLE_CC1_2554 SET2.md)</t>
        </is>
      </c>
      <c r="O129" s="35" t="inlineStr">
        <is>
          <t>ข้อสอบจริง</t>
        </is>
      </c>
      <c r="P129" s="35" t="inlineStr">
        <is>
          <t>ปี 2554</t>
        </is>
      </c>
    </row>
    <row r="130" ht="13.2" customHeight="1" s="49">
      <c r="A130" s="33" t="n">
        <v>128</v>
      </c>
      <c r="B130" s="34" t="inlineStr">
        <is>
          <t>หากผู้ป่วยรายนี้ได้รับยา methotrexate ซึ่งเป็นยากลุ่ม DMARDs ควรให้ยาใดเพิ่ม เพื่อลดผลข้างเคียงของยา methotrexate ?</t>
        </is>
      </c>
      <c r="C130" s="35" t="n"/>
      <c r="D130" s="34" t="inlineStr">
        <is>
          <t>omeprazole</t>
        </is>
      </c>
      <c r="E130" s="34" t="inlineStr">
        <is>
          <t>calcium carbonate</t>
        </is>
      </c>
      <c r="F130" s="34" t="inlineStr">
        <is>
          <t>folic acid</t>
        </is>
      </c>
      <c r="G130" s="34" t="inlineStr">
        <is>
          <t>vitamin K</t>
        </is>
      </c>
      <c r="H130" s="34" t="inlineStr">
        <is>
          <t>finasteride</t>
        </is>
      </c>
      <c r="I130" s="33" t="inlineStr">
        <is>
          <t>3</t>
        </is>
      </c>
      <c r="J130" s="34" t="inlineStr">
        <is>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is>
      </c>
      <c r="K130" s="35" t="n"/>
      <c r="L130" s="34" t="inlineStr">
        <is>
          <t>Diabetes mellitus</t>
        </is>
      </c>
      <c r="M130" s="35" t="inlineStr">
        <is>
          <t>Clinic</t>
        </is>
      </c>
      <c r="N130" s="34" t="inlineStr">
        <is>
          <t>ข้อ 4 (PLE_CC1_2554 SET2.md)</t>
        </is>
      </c>
      <c r="O130" s="35" t="inlineStr">
        <is>
          <t>ข้อสอบจริง</t>
        </is>
      </c>
      <c r="P130" s="35" t="inlineStr">
        <is>
          <t>ปี 2554</t>
        </is>
      </c>
    </row>
    <row r="131" ht="13.2" customHeight="1" s="49">
      <c r="A131" s="33" t="n">
        <v>129</v>
      </c>
      <c r="B131" s="34" t="inlineStr">
        <is>
          <t>อาการจากต่อมไทรอยด์โต: ผู้ป่วยจะมาพบแพทย์ด้วยอาการมีก้อนที่คอหรือคอโตกว่าปกติ</t>
        </is>
      </c>
      <c r="C131" s="35" t="n"/>
      <c r="D131" s="34" t="inlineStr">
        <is>
          <t>Propylthiouracil 50 mg TID</t>
        </is>
      </c>
      <c r="E131" s="34" t="inlineStr">
        <is>
          <t>Methimazole 10 mg OD</t>
        </is>
      </c>
      <c r="F131" s="34" t="inlineStr">
        <is>
          <t>Pioglitazone 15 mg OD</t>
        </is>
      </c>
      <c r="G131" s="34" t="inlineStr">
        <is>
          <t>Insulin glargine 10 units SC HS</t>
        </is>
      </c>
      <c r="H131" s="34" t="inlineStr">
        <is>
          <t>Insulin lispro 4 units SC before meals</t>
        </is>
      </c>
      <c r="I131" s="33" t="inlineStr">
        <is>
          <t>1</t>
        </is>
      </c>
      <c r="J131"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1" s="35" t="n"/>
      <c r="L131" s="34" t="inlineStr">
        <is>
          <t>Diabetes mellitus</t>
        </is>
      </c>
      <c r="M131" s="35" t="inlineStr">
        <is>
          <t>Clinic</t>
        </is>
      </c>
      <c r="N131" s="34" t="inlineStr">
        <is>
          <t>ข้อ 1 (PLE_CC1_2554 SET2.md)</t>
        </is>
      </c>
      <c r="O131" s="35" t="inlineStr">
        <is>
          <t>ข้อสอบจริง</t>
        </is>
      </c>
      <c r="P131" s="35" t="inlineStr">
        <is>
          <t>ปี 2554</t>
        </is>
      </c>
    </row>
    <row r="132" ht="13.2" customHeight="1" s="49">
      <c r="A132" s="33" t="n">
        <v>130</v>
      </c>
      <c r="B132" s="34"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is>
      </c>
      <c r="C132" s="35" t="n"/>
      <c r="D132" s="34" t="inlineStr">
        <is>
          <t>Insulin glargine 10 units SC HS</t>
        </is>
      </c>
      <c r="E132" s="34" t="inlineStr">
        <is>
          <t>Insulin lispro 4 units SC before meals</t>
        </is>
      </c>
      <c r="F132" s="34" t="inlineStr">
        <is>
          <t>Dapagliflozin 10 mg OD</t>
        </is>
      </c>
      <c r="G132" s="34" t="inlineStr">
        <is>
          <t>Semaglutide 0.5 mg SC weekly</t>
        </is>
      </c>
      <c r="H132" s="34" t="inlineStr">
        <is>
          <t>Metformin 500 mg BID</t>
        </is>
      </c>
      <c r="I132" s="33" t="inlineStr">
        <is>
          <t>1</t>
        </is>
      </c>
      <c r="J132" s="34" t="inlineStr">
        <is>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is>
      </c>
      <c r="K132" s="35" t="n"/>
      <c r="L132" s="34" t="inlineStr">
        <is>
          <t>Diabetes mellitus</t>
        </is>
      </c>
      <c r="M132" s="35" t="inlineStr">
        <is>
          <t>Clinic</t>
        </is>
      </c>
      <c r="N132" s="34" t="inlineStr">
        <is>
          <t>ข้อ 6 (PLE_CC1_Practice_Exam.md)</t>
        </is>
      </c>
      <c r="O132" s="35" t="inlineStr">
        <is>
          <t>Mock</t>
        </is>
      </c>
      <c r="P132" s="35" t="inlineStr">
        <is>
          <t>Mock สภาเภสัชฯ Practice</t>
        </is>
      </c>
    </row>
    <row r="133" ht="13.2" customHeight="1" s="49">
      <c r="A133" s="33" t="n">
        <v>131</v>
      </c>
      <c r="B133" s="34" t="inlineStr">
        <is>
          <t>ยาใดต่อไปนี้สามารถใช้ในหญิง Hyperthyroidism ที่ตั้งครรภ์ได้</t>
        </is>
      </c>
      <c r="C133" s="35" t="n"/>
      <c r="D133" s="34" t="inlineStr">
        <is>
          <t>Propylthyouracil (PTU)</t>
        </is>
      </c>
      <c r="E133" s="34" t="inlineStr">
        <is>
          <t>Methimazole</t>
        </is>
      </c>
      <c r="F133" s="34" t="inlineStr">
        <is>
          <t>Levothyroxine</t>
        </is>
      </c>
      <c r="G133" s="34" t="inlineStr">
        <is>
          <t>ข้อ ก, ข ถูก</t>
        </is>
      </c>
      <c r="H133" s="34" t="inlineStr">
        <is>
          <t>ข้อ ก,ข,ค ถูก</t>
        </is>
      </c>
      <c r="I133" s="33" t="inlineStr">
        <is>
          <t>1</t>
        </is>
      </c>
      <c r="J133" s="34"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35" t="n"/>
      <c r="L133" s="34" t="inlineStr">
        <is>
          <t>Diabetes mellitus</t>
        </is>
      </c>
      <c r="M133" s="35" t="inlineStr">
        <is>
          <t>Clinic</t>
        </is>
      </c>
      <c r="N133" s="34" t="inlineStr">
        <is>
          <t>ข้อ 24 (PLE_CC1_Practice_Exam.md)</t>
        </is>
      </c>
      <c r="O133" s="35" t="inlineStr">
        <is>
          <t>Mock</t>
        </is>
      </c>
      <c r="P133" s="35" t="inlineStr">
        <is>
          <t>Mock สภาเภสัชฯ Practice</t>
        </is>
      </c>
    </row>
    <row r="134" ht="13.2" customHeight="1" s="49">
      <c r="A134" s="33" t="n">
        <v>132</v>
      </c>
      <c r="B134" s="34" t="inlineStr">
        <is>
          <t>ข้อใดไม่ใช่อาการข้างเคียงที่เกิดขึ้นถ้าผู้ป่วยที่มีภาวะขาดไทรอยด์ ได้รับยา Levothyroxine ที่มีขนาดสูง เกินไป</t>
        </is>
      </c>
      <c r="C134" s="35" t="n"/>
      <c r="D134" s="34" t="inlineStr">
        <is>
          <t>น้ำหนักตัวเพิ่ม</t>
        </is>
      </c>
      <c r="E134" s="34" t="inlineStr">
        <is>
          <t>ทนร้อนไม่ได้</t>
        </is>
      </c>
      <c r="F134" s="34" t="inlineStr">
        <is>
          <t>หัวใจเต้นเร็ว</t>
        </is>
      </c>
      <c r="G134" s="34" t="inlineStr">
        <is>
          <t>กระดูกบาง</t>
        </is>
      </c>
      <c r="H134" s="34" t="inlineStr">
        <is>
          <t>ชัก</t>
        </is>
      </c>
      <c r="I134" s="33" t="inlineStr">
        <is>
          <t>1</t>
        </is>
      </c>
      <c r="J134" s="34"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4" s="35" t="n"/>
      <c r="L134" s="34" t="inlineStr">
        <is>
          <t>Diabetes mellitus</t>
        </is>
      </c>
      <c r="M134" s="35" t="inlineStr">
        <is>
          <t>Clinic</t>
        </is>
      </c>
      <c r="N134" s="34" t="inlineStr">
        <is>
          <t>ข้อ 25 (PLE_CC1_Practice_Exam.md)</t>
        </is>
      </c>
      <c r="O134" s="35" t="inlineStr">
        <is>
          <t>Mock</t>
        </is>
      </c>
      <c r="P134" s="35" t="inlineStr">
        <is>
          <t>Mock สภาเภสัชฯ Practice</t>
        </is>
      </c>
    </row>
    <row r="135" ht="13.2" customHeight="1" s="49">
      <c r="A135" s="33" t="n">
        <v>133</v>
      </c>
      <c r="B135" s="34" t="inlineStr">
        <is>
          <t>ข้อใดไม่ใช่อาการหรืออาการแสดงของภาวะ Hypothyroidism</t>
        </is>
      </c>
      <c r="C135" s="35" t="n"/>
      <c r="D135" s="34" t="inlineStr">
        <is>
          <t>Bradycardia</t>
        </is>
      </c>
      <c r="E135" s="34" t="inlineStr">
        <is>
          <t>ทนต่อความเย็นไม่ได้</t>
        </is>
      </c>
      <c r="F135" s="34" t="inlineStr">
        <is>
          <t>ซึมเศร้า อ่อนเพลีย</t>
        </is>
      </c>
      <c r="G135" s="34" t="inlineStr">
        <is>
          <t>ผิวหนังแห้ง</t>
        </is>
      </c>
      <c r="H135" s="34" t="inlineStr">
        <is>
          <t>น้ำหนักลด</t>
        </is>
      </c>
      <c r="I135" s="33" t="inlineStr">
        <is>
          <t>1</t>
        </is>
      </c>
      <c r="J135" s="34"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35" t="n"/>
      <c r="L135" s="34" t="inlineStr">
        <is>
          <t>Diabetes mellitus</t>
        </is>
      </c>
      <c r="M135" s="35" t="inlineStr">
        <is>
          <t>Clinic</t>
        </is>
      </c>
      <c r="N135" s="34" t="inlineStr">
        <is>
          <t>ข้อ 26 (PLE_CC1_Practice_Exam.md)</t>
        </is>
      </c>
      <c r="O135" s="35" t="inlineStr">
        <is>
          <t>Mock</t>
        </is>
      </c>
      <c r="P135" s="35" t="inlineStr">
        <is>
          <t>Mock สภาเภสัชฯ Practice</t>
        </is>
      </c>
    </row>
    <row r="136" ht="13.2" customHeight="1" s="49">
      <c r="A136" s="33" t="n">
        <v>134</v>
      </c>
      <c r="B136" s="34"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6" s="35" t="n"/>
      <c r="D136" s="34" t="inlineStr">
        <is>
          <t>Ferrous sulfate</t>
        </is>
      </c>
      <c r="E136" s="34" t="inlineStr">
        <is>
          <t>Sucralfate</t>
        </is>
      </c>
      <c r="F136" s="34" t="inlineStr">
        <is>
          <t>Phenytoin</t>
        </is>
      </c>
      <c r="G136" s="34" t="inlineStr">
        <is>
          <t>Cholestyramine</t>
        </is>
      </c>
      <c r="H136" s="34" t="inlineStr">
        <is>
          <t>Sodium polystyrene sulfonate</t>
        </is>
      </c>
      <c r="I136" s="33" t="inlineStr">
        <is>
          <t>1</t>
        </is>
      </c>
      <c r="J136" s="34"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6" s="35" t="n"/>
      <c r="L136" s="34" t="inlineStr">
        <is>
          <t>Diabetes mellitus</t>
        </is>
      </c>
      <c r="M136" s="35" t="inlineStr">
        <is>
          <t>Clinic</t>
        </is>
      </c>
      <c r="N136" s="34" t="inlineStr">
        <is>
          <t>ข้อ 27 (PLE_CC1_Practice_Exam.md)</t>
        </is>
      </c>
      <c r="O136" s="35" t="inlineStr">
        <is>
          <t>Mock</t>
        </is>
      </c>
      <c r="P136" s="35" t="inlineStr">
        <is>
          <t>Mock สภาเภสัชฯ Practice</t>
        </is>
      </c>
    </row>
    <row r="137" ht="13.2" customHeight="1" s="49">
      <c r="A137" s="33" t="n">
        <v>135</v>
      </c>
      <c r="B137" s="34" t="inlineStr">
        <is>
          <t>ข้อใดควรให้ก่อนผ่าตัดต่อมไทรอยด์เพื่อลดเลือดที่มาเลี้ยงต่อมไทรอยด์</t>
        </is>
      </c>
      <c r="C137" s="35" t="n"/>
      <c r="D137" s="34" t="inlineStr">
        <is>
          <t>Propylthiouracil</t>
        </is>
      </c>
      <c r="E137" s="34" t="inlineStr">
        <is>
          <t>Methimazole</t>
        </is>
      </c>
      <c r="F137" s="34" t="inlineStr">
        <is>
          <t>KI solution</t>
        </is>
      </c>
      <c r="G137" s="34" t="inlineStr">
        <is>
          <t>Propranolol</t>
        </is>
      </c>
      <c r="H137" s="34" t="inlineStr">
        <is>
          <t>Radioactive iodine</t>
        </is>
      </c>
      <c r="I137" s="33" t="inlineStr">
        <is>
          <t>1</t>
        </is>
      </c>
      <c r="J137" s="34"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7" s="35" t="n"/>
      <c r="L137" s="34" t="inlineStr">
        <is>
          <t>Diabetes mellitus</t>
        </is>
      </c>
      <c r="M137" s="35" t="inlineStr">
        <is>
          <t>Clinic</t>
        </is>
      </c>
      <c r="N137" s="34" t="inlineStr">
        <is>
          <t>ข้อ 31 (PLE_CC1_Practice_Exam.md)</t>
        </is>
      </c>
      <c r="O137" s="35" t="inlineStr">
        <is>
          <t>Mock</t>
        </is>
      </c>
      <c r="P137" s="35" t="inlineStr">
        <is>
          <t>Mock สภาเภสัชฯ Practice</t>
        </is>
      </c>
    </row>
    <row r="138" ht="13.2" customHeight="1" s="49">
      <c r="A138" s="33" t="n">
        <v>136</v>
      </c>
      <c r="B138" s="34" t="inlineStr">
        <is>
          <t>ยาในข้อใดควรใช้รักษาใน ผู้ป่วยหญิงให้นมบุตรที่เป็นไทรอยด์พิษ</t>
        </is>
      </c>
      <c r="C138" s="35" t="n"/>
      <c r="D138" s="34" t="inlineStr">
        <is>
          <t>Methimazole</t>
        </is>
      </c>
      <c r="E138" s="34" t="inlineStr">
        <is>
          <t>Propylthiouracil</t>
        </is>
      </c>
      <c r="F138" s="34" t="inlineStr">
        <is>
          <t>Radioactive iodine</t>
        </is>
      </c>
      <c r="G138" s="34" t="inlineStr">
        <is>
          <t>ข้อ ก. และ ข้อ ข. สามารถใช้ได้ทั้งคู่</t>
        </is>
      </c>
      <c r="H138" s="34" t="inlineStr">
        <is>
          <t>ยาทุกข้อสามารถใช้ได้</t>
        </is>
      </c>
      <c r="I138" s="33" t="n">
        <v>2</v>
      </c>
      <c r="J138" s="34" t="inlineStr">
        <is>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is>
      </c>
      <c r="K138" s="35" t="n"/>
      <c r="L138" s="34" t="inlineStr">
        <is>
          <t>Diabetes mellitus</t>
        </is>
      </c>
      <c r="M138" s="35" t="inlineStr">
        <is>
          <t>Clinic</t>
        </is>
      </c>
      <c r="N138" s="34" t="inlineStr">
        <is>
          <t>ข้อ 32 (PLE_CC1_Practice_Exam.md)</t>
        </is>
      </c>
      <c r="O138" s="35" t="inlineStr">
        <is>
          <t>Mock</t>
        </is>
      </c>
      <c r="P138" s="35" t="inlineStr">
        <is>
          <t>Mock สภาเภสัชฯ Practice</t>
        </is>
      </c>
    </row>
    <row r="139" ht="13.2" customHeight="1" s="49">
      <c r="A139" s="33" t="n">
        <v>137</v>
      </c>
      <c r="B139" s="34"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39" s="35" t="n"/>
      <c r="D139" s="34" t="inlineStr">
        <is>
          <t>Liraglutide 1.2 mg SC OD</t>
        </is>
      </c>
      <c r="E139" s="34" t="inlineStr">
        <is>
          <t>Levothyroxine 50 mcg OD</t>
        </is>
      </c>
      <c r="F139" s="34" t="inlineStr">
        <is>
          <t>Propylthiouracil 50 mg TID</t>
        </is>
      </c>
      <c r="G139" s="34" t="inlineStr">
        <is>
          <t>Methimazole 10 mg OD</t>
        </is>
      </c>
      <c r="H139" s="34" t="inlineStr">
        <is>
          <t>Pioglitazone 15 mg OD</t>
        </is>
      </c>
      <c r="I139" s="33" t="inlineStr">
        <is>
          <t>1</t>
        </is>
      </c>
      <c r="J139"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39" s="35" t="n"/>
      <c r="L139" s="34" t="inlineStr">
        <is>
          <t>Diabetes mellitus</t>
        </is>
      </c>
      <c r="M139" s="35" t="inlineStr">
        <is>
          <t>Clinic</t>
        </is>
      </c>
      <c r="N139" s="34" t="inlineStr">
        <is>
          <t>ข้อ 1 (PLE_CC1_Practice_Exam.md)</t>
        </is>
      </c>
      <c r="O139" s="35" t="inlineStr">
        <is>
          <t>Mock</t>
        </is>
      </c>
      <c r="P139" s="35" t="inlineStr">
        <is>
          <t>Mock สภาเภสัชฯ Practice</t>
        </is>
      </c>
    </row>
    <row r="140" ht="13.2" customHeight="1" s="49">
      <c r="A140" s="33" t="n">
        <v>138</v>
      </c>
      <c r="B140" s="34"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0" s="35" t="n"/>
      <c r="D140" s="34" t="inlineStr">
        <is>
          <t>Methimazole 10 mg OD</t>
        </is>
      </c>
      <c r="E140" s="34" t="inlineStr">
        <is>
          <t>Pioglitazone 15 mg OD</t>
        </is>
      </c>
      <c r="F140" s="34" t="inlineStr">
        <is>
          <t>Insulin glargine 10 units SC HS</t>
        </is>
      </c>
      <c r="G140" s="34" t="inlineStr">
        <is>
          <t>Insulin lispro 4 units SC before meals</t>
        </is>
      </c>
      <c r="H140" s="34" t="inlineStr">
        <is>
          <t>Dapagliflozin 10 mg OD</t>
        </is>
      </c>
      <c r="I140" s="33" t="inlineStr">
        <is>
          <t>1</t>
        </is>
      </c>
      <c r="J140"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0" s="35" t="n"/>
      <c r="L140" s="34" t="inlineStr">
        <is>
          <t>Diabetes mellitus</t>
        </is>
      </c>
      <c r="M140" s="35" t="inlineStr">
        <is>
          <t>Clinic</t>
        </is>
      </c>
      <c r="N140" s="34" t="inlineStr">
        <is>
          <t>ข้อ 17 (PLE_CC1_Practice_Exam.md)</t>
        </is>
      </c>
      <c r="O140" s="35" t="inlineStr">
        <is>
          <t>Mock</t>
        </is>
      </c>
      <c r="P140" s="35" t="inlineStr">
        <is>
          <t>Mock สภาเภสัชฯ Practice</t>
        </is>
      </c>
    </row>
    <row r="141" ht="13.2" customHeight="1" s="49">
      <c r="A141" s="33" t="n">
        <v>139</v>
      </c>
      <c r="B141" s="34" t="inlineStr">
        <is>
          <t>ตอบ ข. มีอาการท้องเสีย หงุดหงิดง่าย เหงื่อออกมาก เนื่องจาก เป็นอาการของ Hyperthyroid</t>
        </is>
      </c>
      <c r="C141" s="35" t="n"/>
      <c r="D141" s="34" t="inlineStr">
        <is>
          <t>ผิดตรงน้ำหนักเพิ่ม</t>
        </is>
      </c>
      <c r="E141" s="34" t="inlineStr">
        <is>
          <t>และง.ผิด Graves’ disease คือ สาเหตุหลัก ส่วน Hashimoto’s thyroiditis คือสาเหตุหลักของ hypothyroidism</t>
        </is>
      </c>
      <c r="F141" s="34" t="inlineStr">
        <is>
          <t>ผิดพบในเพศหญิงมากกว่าเพศชาย</t>
        </is>
      </c>
      <c r="G141" s="34" t="inlineStr">
        <is>
          <t>Metformin 500 mg BID</t>
        </is>
      </c>
      <c r="H141" s="34" t="inlineStr">
        <is>
          <t>Glipizide 5 mg OD</t>
        </is>
      </c>
      <c r="I141" s="33" t="inlineStr">
        <is>
          <t>1</t>
        </is>
      </c>
      <c r="J141" s="34"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1" s="35" t="n"/>
      <c r="L141" s="34" t="inlineStr">
        <is>
          <t>Diabetes mellitus</t>
        </is>
      </c>
      <c r="M141" s="35" t="inlineStr">
        <is>
          <t>Clinic</t>
        </is>
      </c>
      <c r="N141" s="34" t="inlineStr">
        <is>
          <t>ข้อ 21 (PLE_CC1_Practice_Exam.md)</t>
        </is>
      </c>
      <c r="O141" s="35" t="inlineStr">
        <is>
          <t>Mock</t>
        </is>
      </c>
      <c r="P141" s="35" t="inlineStr">
        <is>
          <t>Mock สภาเภสัชฯ Practice</t>
        </is>
      </c>
    </row>
    <row r="142" ht="13.2" customHeight="1" s="49">
      <c r="A142" s="33" t="n">
        <v>140</v>
      </c>
      <c r="B142" s="34"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2" s="35" t="n"/>
      <c r="D142" s="34" t="inlineStr">
        <is>
          <t>Metformin 500 mg BID</t>
        </is>
      </c>
      <c r="E142" s="34" t="inlineStr">
        <is>
          <t>Glipizide 5 mg OD</t>
        </is>
      </c>
      <c r="F142" s="34" t="inlineStr">
        <is>
          <t>Empagliflozin 10 mg OD</t>
        </is>
      </c>
      <c r="G142" s="34" t="inlineStr">
        <is>
          <t>Sitagliptin 100 mg OD</t>
        </is>
      </c>
      <c r="H142" s="34" t="inlineStr">
        <is>
          <t>Liraglutide 1.2 mg SC OD</t>
        </is>
      </c>
      <c r="I142" s="33" t="inlineStr">
        <is>
          <t>1</t>
        </is>
      </c>
      <c r="J142"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35" t="n"/>
      <c r="L142" s="34" t="inlineStr">
        <is>
          <t>Diabetes mellitus</t>
        </is>
      </c>
      <c r="M142" s="35" t="inlineStr">
        <is>
          <t>Clinic</t>
        </is>
      </c>
      <c r="N142" s="34" t="inlineStr">
        <is>
          <t>ข้อ 26 (PLE_CC1_Practice_Exam.md)</t>
        </is>
      </c>
      <c r="O142" s="35" t="inlineStr">
        <is>
          <t>Mock</t>
        </is>
      </c>
      <c r="P142" s="35" t="inlineStr">
        <is>
          <t>Mock สภาเภสัชฯ Practice</t>
        </is>
      </c>
    </row>
    <row r="143" ht="13.2" customHeight="1" s="49">
      <c r="A143" s="33" t="n">
        <v>141</v>
      </c>
      <c r="B143" s="34" t="inlineStr">
        <is>
          <t>ตอบ ค. Myxedema พัฒนาขึ้นเฉพาะในคนที่เป็นโรค Hypothyroidism ซึ่งเกิดจากต่อมไทรอยด์ทำงานน้อยผิดปกติ</t>
        </is>
      </c>
      <c r="C143" s="35" t="n"/>
      <c r="D143" s="34" t="inlineStr">
        <is>
          <t>Sitagliptin 100 mg OD</t>
        </is>
      </c>
      <c r="E143" s="34" t="inlineStr">
        <is>
          <t>Liraglutide 1.2 mg SC OD</t>
        </is>
      </c>
      <c r="F143" s="34" t="inlineStr">
        <is>
          <t>Levothyroxine 50 mcg OD</t>
        </is>
      </c>
      <c r="G143" s="34" t="inlineStr">
        <is>
          <t>Propylthiouracil 50 mg TID</t>
        </is>
      </c>
      <c r="H143" s="34" t="inlineStr">
        <is>
          <t>Methimazole 10 mg OD</t>
        </is>
      </c>
      <c r="I143" s="33" t="inlineStr">
        <is>
          <t>1</t>
        </is>
      </c>
      <c r="J143" s="34"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3" s="35" t="n"/>
      <c r="L143" s="34" t="inlineStr">
        <is>
          <t>Diabetes mellitus</t>
        </is>
      </c>
      <c r="M143" s="35" t="inlineStr">
        <is>
          <t>Clinic</t>
        </is>
      </c>
      <c r="N143" s="34" t="inlineStr">
        <is>
          <t>ข้อ 28 (PLE_CC1_Practice_Exam.md)</t>
        </is>
      </c>
      <c r="O143" s="35" t="inlineStr">
        <is>
          <t>Mock</t>
        </is>
      </c>
      <c r="P143" s="35" t="inlineStr">
        <is>
          <t>Mock สภาเภสัชฯ Practice</t>
        </is>
      </c>
    </row>
    <row r="144" ht="13.2" customHeight="1" s="49">
      <c r="A144" s="33" t="n">
        <v>142</v>
      </c>
      <c r="B144" s="34"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4" s="35" t="n"/>
      <c r="D144" s="34" t="inlineStr">
        <is>
          <t>Propylthiouracil 50 mg TID</t>
        </is>
      </c>
      <c r="E144" s="34" t="inlineStr">
        <is>
          <t>Methimazole 10 mg OD</t>
        </is>
      </c>
      <c r="F144" s="34" t="inlineStr">
        <is>
          <t>Pioglitazone 15 mg OD</t>
        </is>
      </c>
      <c r="G144" s="34" t="inlineStr">
        <is>
          <t>Insulin glargine 10 units SC HS</t>
        </is>
      </c>
      <c r="H144" s="34" t="inlineStr">
        <is>
          <t>Insulin lispro 4 units SC before meals</t>
        </is>
      </c>
      <c r="I144" s="33" t="inlineStr">
        <is>
          <t>1</t>
        </is>
      </c>
      <c r="J144"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4" s="35" t="n"/>
      <c r="L144" s="34" t="inlineStr">
        <is>
          <t>Diabetes mellitus</t>
        </is>
      </c>
      <c r="M144" s="35" t="inlineStr">
        <is>
          <t>Clinic</t>
        </is>
      </c>
      <c r="N144" s="34" t="inlineStr">
        <is>
          <t>ข้อ 29 (PLE_CC1_Practice_Exam.md)</t>
        </is>
      </c>
      <c r="O144" s="35" t="inlineStr">
        <is>
          <t>Mock</t>
        </is>
      </c>
      <c r="P144" s="35" t="inlineStr">
        <is>
          <t>Mock สภาเภสัชฯ Practice</t>
        </is>
      </c>
    </row>
    <row r="145" ht="13.2" customHeight="1" s="49">
      <c r="A145" s="33" t="n">
        <v>143</v>
      </c>
      <c r="B145" s="34"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5" s="35" t="n"/>
      <c r="D145" s="34" t="inlineStr">
        <is>
          <t>Insulin glargine 10 units SC HS</t>
        </is>
      </c>
      <c r="E145" s="34" t="inlineStr">
        <is>
          <t>Insulin lispro 4 units SC before meals</t>
        </is>
      </c>
      <c r="F145" s="34" t="inlineStr">
        <is>
          <t>Dapagliflozin 10 mg OD</t>
        </is>
      </c>
      <c r="G145" s="34" t="inlineStr">
        <is>
          <t>Semaglutide 0.5 mg SC weekly</t>
        </is>
      </c>
      <c r="H145" s="34" t="inlineStr">
        <is>
          <t>Metformin 500 mg BID</t>
        </is>
      </c>
      <c r="I145" s="33" t="inlineStr">
        <is>
          <t>1</t>
        </is>
      </c>
      <c r="J145"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5" s="35" t="n"/>
      <c r="L145" s="34" t="inlineStr">
        <is>
          <t>Diabetes mellitus</t>
        </is>
      </c>
      <c r="M145" s="35" t="inlineStr">
        <is>
          <t>Clinic</t>
        </is>
      </c>
      <c r="N145" s="34" t="inlineStr">
        <is>
          <t>ข้อ 8 (PLE_CC1_Practice_Exam.md)</t>
        </is>
      </c>
      <c r="O145" s="35" t="inlineStr">
        <is>
          <t>Mock</t>
        </is>
      </c>
      <c r="P145" s="35" t="inlineStr">
        <is>
          <t>Mock สภาเภสัชฯ Practice</t>
        </is>
      </c>
    </row>
    <row r="146" ht="13.2" customHeight="1" s="49">
      <c r="A146" s="33" t="n">
        <v>144</v>
      </c>
      <c r="B146" s="34"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6" s="35" t="n"/>
      <c r="D146" s="34" t="inlineStr">
        <is>
          <t>Timolol</t>
        </is>
      </c>
      <c r="E146" s="34" t="inlineStr">
        <is>
          <t>Pilocarpine</t>
        </is>
      </c>
      <c r="F146" s="34" t="inlineStr">
        <is>
          <t>Acetazolamide</t>
        </is>
      </c>
      <c r="G146" s="34" t="inlineStr">
        <is>
          <t>Betaxolol</t>
        </is>
      </c>
      <c r="H146" s="34" t="inlineStr">
        <is>
          <t>Brimonidine</t>
        </is>
      </c>
      <c r="I146" s="33" t="inlineStr">
        <is>
          <t>1</t>
        </is>
      </c>
      <c r="J146" s="34"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6" s="35" t="n"/>
      <c r="L146" s="34" t="inlineStr">
        <is>
          <t>Diabetes mellitus</t>
        </is>
      </c>
      <c r="M146" s="35" t="inlineStr">
        <is>
          <t>Clinic</t>
        </is>
      </c>
      <c r="N146" s="34" t="inlineStr">
        <is>
          <t>ข้อ 2 (PLE_CC1_Practice_Exam.md)</t>
        </is>
      </c>
      <c r="O146" s="35" t="inlineStr">
        <is>
          <t>Mock</t>
        </is>
      </c>
      <c r="P146" s="35" t="inlineStr">
        <is>
          <t>Mock สภาเภสัชฯ Practice</t>
        </is>
      </c>
    </row>
    <row r="147" ht="13.2" customHeight="1" s="49">
      <c r="A147" s="33" t="n">
        <v>145</v>
      </c>
      <c r="B147" s="34" t="inlineStr">
        <is>
          <t>ผู้ป่วยที่มีประวัติโรคเบาหวาน</t>
        </is>
      </c>
      <c r="C147" s="35" t="n"/>
      <c r="D147" s="34" t="inlineStr">
        <is>
          <t>Empagliflozin 10 mg OD</t>
        </is>
      </c>
      <c r="E147" s="34" t="inlineStr">
        <is>
          <t>Sitagliptin 100 mg OD</t>
        </is>
      </c>
      <c r="F147" s="34" t="inlineStr">
        <is>
          <t>Liraglutide 1.2 mg SC OD</t>
        </is>
      </c>
      <c r="G147" s="34" t="inlineStr">
        <is>
          <t>Levothyroxine 50 mcg OD</t>
        </is>
      </c>
      <c r="H147" s="34" t="inlineStr">
        <is>
          <t>Propylthiouracil 50 mg TID</t>
        </is>
      </c>
      <c r="I147" s="33" t="inlineStr">
        <is>
          <t>1</t>
        </is>
      </c>
      <c r="J147"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7" s="35" t="n"/>
      <c r="L147" s="34" t="inlineStr">
        <is>
          <t>Diabetes mellitus</t>
        </is>
      </c>
      <c r="M147" s="35" t="inlineStr">
        <is>
          <t>Clinic</t>
        </is>
      </c>
      <c r="N147" s="34" t="inlineStr">
        <is>
          <t>ข้อ 3 (PLE_CC1_Practice_Exam.md)</t>
        </is>
      </c>
      <c r="O147" s="35" t="inlineStr">
        <is>
          <t>Mock</t>
        </is>
      </c>
      <c r="P147" s="35" t="inlineStr">
        <is>
          <t>Mock สภาเภสัชฯ Practice</t>
        </is>
      </c>
    </row>
    <row r="148" ht="13.2" customHeight="1" s="49">
      <c r="A148" s="33" t="n">
        <v>146</v>
      </c>
      <c r="B148" s="34" t="inlineStr">
        <is>
          <t>กระตุ้นการหลั่ง insulin จาก pancreatic beta cells</t>
        </is>
      </c>
      <c r="C148" s="35" t="n"/>
      <c r="D148" s="34" t="inlineStr">
        <is>
          <t>Levothyroxine 50 mcg OD</t>
        </is>
      </c>
      <c r="E148" s="34" t="inlineStr">
        <is>
          <t>Propylthiouracil 50 mg TID</t>
        </is>
      </c>
      <c r="F148" s="34" t="inlineStr">
        <is>
          <t>Methimazole 10 mg OD</t>
        </is>
      </c>
      <c r="G148" s="34" t="inlineStr">
        <is>
          <t>Pioglitazone 15 mg OD</t>
        </is>
      </c>
      <c r="H148" s="34" t="inlineStr">
        <is>
          <t>Insulin glargine 10 units SC HS</t>
        </is>
      </c>
      <c r="I148" s="33" t="inlineStr">
        <is>
          <t>1</t>
        </is>
      </c>
      <c r="J148"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8" s="35" t="n"/>
      <c r="L148" s="34" t="inlineStr">
        <is>
          <t>Diabetes mellitus</t>
        </is>
      </c>
      <c r="M148" s="35" t="inlineStr">
        <is>
          <t>Clinic</t>
        </is>
      </c>
      <c r="N148" s="34" t="inlineStr">
        <is>
          <t>ข้อ 3 (PLE_CC1_Key_Rx20_UBU.md)</t>
        </is>
      </c>
      <c r="O148" s="35" t="inlineStr">
        <is>
          <t>Mock</t>
        </is>
      </c>
      <c r="P148" s="35" t="inlineStr">
        <is>
          <t>Mock Rx20 UBU</t>
        </is>
      </c>
    </row>
    <row r="149" ht="13.2" customHeight="1" s="49">
      <c r="A149" s="33" t="n">
        <v>147</v>
      </c>
      <c r="B149" s="34" t="inlineStr">
        <is>
          <t>ข้อใดไม่ใช่อาการแทรกซ้อนของโรคเบาหวาน เ%นHlme Metformm AวยลดMหNกOวใด</t>
        </is>
      </c>
      <c r="C149" s="35" t="n"/>
      <c r="D149" s="34" t="inlineStr">
        <is>
          <t>- - sulfonyl Ohea กระPนการหQง lhsulmi หกbeta - all ในOบRอน</t>
        </is>
      </c>
      <c r="E149" s="34" t="inlineStr">
        <is>
          <t>Insulin glargine 10 units SC HS</t>
        </is>
      </c>
      <c r="F149" s="34" t="inlineStr">
        <is>
          <t>Insulin lispro 4 units SC before meals</t>
        </is>
      </c>
      <c r="G149" s="34" t="inlineStr">
        <is>
          <t>Dapagliflozin 10 mg OD</t>
        </is>
      </c>
      <c r="H149" s="34" t="inlineStr">
        <is>
          <t>Semaglutide 0.5 mg SC weekly</t>
        </is>
      </c>
      <c r="I149" s="33" t="inlineStr">
        <is>
          <t>1</t>
        </is>
      </c>
      <c r="J149" s="34"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35" t="n"/>
      <c r="L149" s="34" t="inlineStr">
        <is>
          <t>Diabetes mellitus</t>
        </is>
      </c>
      <c r="M149" s="35" t="inlineStr">
        <is>
          <t>Clinic</t>
        </is>
      </c>
      <c r="N149" s="34" t="inlineStr">
        <is>
          <t>ข้อ 48 (PLE_CC1_Key_Rx20_UBU.md)</t>
        </is>
      </c>
      <c r="O149" s="35" t="inlineStr">
        <is>
          <t>Mock</t>
        </is>
      </c>
      <c r="P149" s="35" t="inlineStr">
        <is>
          <t>Mock Rx20 UBU</t>
        </is>
      </c>
    </row>
    <row r="150" ht="13.2" customHeight="1" s="49">
      <c r="A150" s="33" t="n">
        <v>148</v>
      </c>
      <c r="B150" s="34" t="inlineStr">
        <is>
          <t>ทำ DMSO เมื่อมีอาการปวดเป็นเวลา 7 วัน</t>
        </is>
      </c>
      <c r="C150" s="35" t="n"/>
      <c r="D150" s="34" t="inlineStr">
        <is>
          <t>Dapagliflozin 10 mg OD</t>
        </is>
      </c>
      <c r="E150" s="34" t="inlineStr">
        <is>
          <t>Semaglutide 0.5 mg SC weekly</t>
        </is>
      </c>
      <c r="F150" s="34" t="inlineStr">
        <is>
          <t>Metformin 500 mg BID</t>
        </is>
      </c>
      <c r="G150" s="34" t="inlineStr">
        <is>
          <t>Glipizide 5 mg OD</t>
        </is>
      </c>
      <c r="H150" s="34" t="inlineStr">
        <is>
          <t>Empagliflozin 10 mg OD</t>
        </is>
      </c>
      <c r="I150" s="33" t="inlineStr">
        <is>
          <t>1</t>
        </is>
      </c>
      <c r="J150"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 s="35" t="n"/>
      <c r="L150" s="34" t="inlineStr">
        <is>
          <t>Diabetes mellitus</t>
        </is>
      </c>
      <c r="M150" s="35" t="inlineStr">
        <is>
          <t>Clinic</t>
        </is>
      </c>
      <c r="N150" s="34" t="inlineStr">
        <is>
          <t>ข้อ 4 (PLE_CC1_Key_Rx20_UBU.md)</t>
        </is>
      </c>
      <c r="O150" s="35" t="inlineStr">
        <is>
          <t>Mock</t>
        </is>
      </c>
      <c r="P150" s="35" t="inlineStr">
        <is>
          <t>Mock Rx20 UBU</t>
        </is>
      </c>
    </row>
    <row r="151" ht="13.2" customHeight="1" s="49">
      <c r="A151" s="33" t="n">
        <v>149</v>
      </c>
      <c r="B151" s="34" t="inlineStr">
        <is>
          <t>Insulin ควรใช้เป็นลำดับแแรกในการเริ่มรักษาผู้ป่วยเบาหวานชนิดที่ 2 หากไม่มีข้อห้ามใช้</t>
        </is>
      </c>
      <c r="C151" s="35" t="n"/>
      <c r="D151" s="34" t="inlineStr">
        <is>
          <t>Glipizide 5 mg OD</t>
        </is>
      </c>
      <c r="E151" s="34" t="inlineStr">
        <is>
          <t>Empagliflozin 10 mg OD</t>
        </is>
      </c>
      <c r="F151" s="34" t="inlineStr">
        <is>
          <t>Sitagliptin 100 mg OD</t>
        </is>
      </c>
      <c r="G151" s="34" t="inlineStr">
        <is>
          <t>Liraglutide 1.2 mg SC OD</t>
        </is>
      </c>
      <c r="H151" s="34" t="inlineStr">
        <is>
          <t>Levothyroxine 50 mcg OD</t>
        </is>
      </c>
      <c r="I151" s="33" t="inlineStr">
        <is>
          <t>5</t>
        </is>
      </c>
      <c r="J151" s="34"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35" t="n"/>
      <c r="L151" s="34" t="inlineStr">
        <is>
          <t>Diabetes mellitus</t>
        </is>
      </c>
      <c r="M151" s="35" t="inlineStr">
        <is>
          <t>Clinic</t>
        </is>
      </c>
      <c r="N151" s="34" t="inlineStr">
        <is>
          <t>ข้อ 4 (PLE_CC1_Key_Rx20_UBU.md)</t>
        </is>
      </c>
      <c r="O151" s="35" t="inlineStr">
        <is>
          <t>Mock</t>
        </is>
      </c>
      <c r="P151" s="35" t="inlineStr">
        <is>
          <t>Mock Rx20 UBU</t>
        </is>
      </c>
    </row>
    <row r="152" ht="13.2" customHeight="1" s="49">
      <c r="A152" s="33" t="n">
        <v>150</v>
      </c>
      <c r="B152" s="34" t="inlineStr">
        <is>
          <t>ต่อมาผู้ป่วยมีผลตรวจร่างกายดังนี้ FBS 164 mg/dl, HbA1c 9.5 %, BUN 12, Scr 0.8, AST 210, ALT 250 ยาในข้อใดสามารถใช้ได้ปลอดภัยในผู้ป่วยรายนี้</t>
        </is>
      </c>
      <c r="C152" s="35" t="n"/>
      <c r="D152" s="34" t="inlineStr">
        <is>
          <t>Liraglutide 1.2 mg SC OD</t>
        </is>
      </c>
      <c r="E152" s="34" t="inlineStr">
        <is>
          <t>Levothyroxine 50 mcg OD</t>
        </is>
      </c>
      <c r="F152" s="34" t="inlineStr">
        <is>
          <t>Propylthiouracil 50 mg TID</t>
        </is>
      </c>
      <c r="G152" s="34" t="inlineStr">
        <is>
          <t>Methimazole 10 mg OD</t>
        </is>
      </c>
      <c r="H152" s="34" t="inlineStr">
        <is>
          <t>Pioglitazone 15 mg OD</t>
        </is>
      </c>
      <c r="I152" s="33" t="inlineStr">
        <is>
          <t>1</t>
        </is>
      </c>
      <c r="J152"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2" s="35" t="n"/>
      <c r="L152" s="34" t="inlineStr">
        <is>
          <t>Diabetes mellitus</t>
        </is>
      </c>
      <c r="M152" s="35" t="inlineStr">
        <is>
          <t>Clinic</t>
        </is>
      </c>
      <c r="N152" s="34" t="inlineStr">
        <is>
          <t>ข้อ 6 (PLE_CC1_Key_Rx20_UBU.md)</t>
        </is>
      </c>
      <c r="O152" s="35" t="inlineStr">
        <is>
          <t>Mock</t>
        </is>
      </c>
      <c r="P152" s="35" t="inlineStr">
        <is>
          <t>Mock Rx20 UBU</t>
        </is>
      </c>
    </row>
    <row r="153" ht="13.2" customHeight="1" s="49">
      <c r="A153" s="33" t="n">
        <v>151</v>
      </c>
      <c r="B153" s="34" t="inlineStr">
        <is>
          <t>จัดเป็น intermediate insulin</t>
        </is>
      </c>
      <c r="C153" s="35" t="n"/>
      <c r="D153" s="34" t="inlineStr">
        <is>
          <t>Methimazole 10 mg OD</t>
        </is>
      </c>
      <c r="E153" s="34" t="inlineStr">
        <is>
          <t>Pioglitazone 15 mg OD</t>
        </is>
      </c>
      <c r="F153" s="34" t="inlineStr">
        <is>
          <t>Insulin glargine 10 units SC HS</t>
        </is>
      </c>
      <c r="G153" s="34" t="inlineStr">
        <is>
          <t>Insulin lispro 4 units SC before meals</t>
        </is>
      </c>
      <c r="H153" s="34" t="inlineStr">
        <is>
          <t>Dapagliflozin 10 mg OD</t>
        </is>
      </c>
      <c r="I153" s="33" t="inlineStr">
        <is>
          <t>1</t>
        </is>
      </c>
      <c r="J153"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3" s="35" t="n"/>
      <c r="L153" s="34" t="inlineStr">
        <is>
          <t>Diabetes mellitus</t>
        </is>
      </c>
      <c r="M153" s="35" t="inlineStr">
        <is>
          <t>Clinic</t>
        </is>
      </c>
      <c r="N153" s="34" t="inlineStr">
        <is>
          <t>ข้อ 3 (PLE_CC1_Key_Rx20_UBU.md)</t>
        </is>
      </c>
      <c r="O153" s="35" t="inlineStr">
        <is>
          <t>Mock</t>
        </is>
      </c>
      <c r="P153" s="35" t="inlineStr">
        <is>
          <t>Mock Rx20 UBU</t>
        </is>
      </c>
    </row>
    <row r="154" ht="13.2" customHeight="1" s="49">
      <c r="A154" s="33" t="n">
        <v>152</v>
      </c>
      <c r="B154" s="34"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4" s="35" t="n"/>
      <c r="D154" s="34" t="inlineStr">
        <is>
          <t>Insulin lispro 4 units SC before meals</t>
        </is>
      </c>
      <c r="E154" s="34" t="inlineStr">
        <is>
          <t>Dapagliflozin 10 mg OD</t>
        </is>
      </c>
      <c r="F154" s="34" t="inlineStr">
        <is>
          <t>Semaglutide 0.5 mg SC weekly</t>
        </is>
      </c>
      <c r="G154" s="34" t="inlineStr">
        <is>
          <t>Metformin 500 mg BID</t>
        </is>
      </c>
      <c r="H154" s="34" t="inlineStr">
        <is>
          <t>Glipizide 5 mg OD</t>
        </is>
      </c>
      <c r="I154" s="33" t="inlineStr">
        <is>
          <t>1</t>
        </is>
      </c>
      <c r="J154"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4" s="35" t="n"/>
      <c r="L154" s="34" t="inlineStr">
        <is>
          <t>Diabetes mellitus</t>
        </is>
      </c>
      <c r="M154" s="35" t="inlineStr">
        <is>
          <t>Clinic</t>
        </is>
      </c>
      <c r="N154" s="34" t="inlineStr">
        <is>
          <t>ข้อ 5 (PLE_CC1_Key_Rx20_UBU.md)</t>
        </is>
      </c>
      <c r="O154" s="35" t="inlineStr">
        <is>
          <t>Mock</t>
        </is>
      </c>
      <c r="P154" s="35" t="inlineStr">
        <is>
          <t>Mock Rx20 UBU</t>
        </is>
      </c>
    </row>
    <row r="155" ht="13.2" customHeight="1" s="49">
      <c r="A155" s="33" t="n">
        <v>153</v>
      </c>
      <c r="B155" s="34"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5" s="35" t="n"/>
      <c r="D155" s="34" t="inlineStr">
        <is>
          <t>Metformin 500 mg BID</t>
        </is>
      </c>
      <c r="E155" s="34" t="inlineStr">
        <is>
          <t>Glipizide 5 mg OD</t>
        </is>
      </c>
      <c r="F155" s="34" t="inlineStr">
        <is>
          <t>Empagliflozin 10 mg OD</t>
        </is>
      </c>
      <c r="G155" s="34" t="inlineStr">
        <is>
          <t>Sitagliptin 100 mg OD</t>
        </is>
      </c>
      <c r="H155" s="34" t="inlineStr">
        <is>
          <t>Liraglutide 1.2 mg SC OD</t>
        </is>
      </c>
      <c r="I155" s="33" t="inlineStr">
        <is>
          <t>1</t>
        </is>
      </c>
      <c r="J155"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5" s="35" t="n"/>
      <c r="L155" s="34" t="inlineStr">
        <is>
          <t>Diabetes mellitus</t>
        </is>
      </c>
      <c r="M155" s="35" t="inlineStr">
        <is>
          <t>Clinic</t>
        </is>
      </c>
      <c r="N155" s="34" t="inlineStr">
        <is>
          <t>ข้อ 2 (PLE_CC1_Key_Rx20_UBU.md)</t>
        </is>
      </c>
      <c r="O155" s="35" t="inlineStr">
        <is>
          <t>Mock</t>
        </is>
      </c>
      <c r="P155" s="35" t="inlineStr">
        <is>
          <t>Mock Rx20 UBU</t>
        </is>
      </c>
    </row>
    <row r="156" ht="13.2" customHeight="1" s="49">
      <c r="A156" s="33" t="n">
        <v>154</v>
      </c>
      <c r="B156" s="34" t="inlineStr">
        <is>
          <t>การพัฒนายา Insulin ให$อยูGในรูปสารประกอบเชิงซ$อน สามารถใช$สารใด</t>
        </is>
      </c>
      <c r="C156" s="35" t="n"/>
      <c r="D156" s="34" t="inlineStr">
        <is>
          <t>Protamine sulfate</t>
        </is>
      </c>
      <c r="E156" s="34" t="inlineStr">
        <is>
          <t>Calcium carbonate</t>
        </is>
      </c>
      <c r="F156" s="34" t="inlineStr">
        <is>
          <t>Triethanolamine</t>
        </is>
      </c>
      <c r="G156" s="34" t="inlineStr">
        <is>
          <t>Sodium chloride</t>
        </is>
      </c>
      <c r="H156" s="34" t="inlineStr">
        <is>
          <t>Dextrose</t>
        </is>
      </c>
      <c r="I156" s="33" t="inlineStr">
        <is>
          <t>1</t>
        </is>
      </c>
      <c r="J156" s="34"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6" s="35" t="n"/>
      <c r="L156" s="34" t="inlineStr">
        <is>
          <t>Diabetes mellitus</t>
        </is>
      </c>
      <c r="M156" s="35" t="inlineStr">
        <is>
          <t>Clinic</t>
        </is>
      </c>
      <c r="N156" s="34" t="inlineStr">
        <is>
          <t>ข้อ 13 (PLE_CC1_Key_Rx20_UBU.md)</t>
        </is>
      </c>
      <c r="O156" s="35" t="inlineStr">
        <is>
          <t>Mock</t>
        </is>
      </c>
      <c r="P156" s="35" t="inlineStr">
        <is>
          <t>Mock Rx20 UBU</t>
        </is>
      </c>
    </row>
    <row r="157" ht="13.2" customHeight="1" s="49">
      <c r="A157" s="33" t="n">
        <v>155</v>
      </c>
      <c r="B157" s="34" t="inlineStr">
        <is>
          <t>NPH Insulin มีจำหนGายที่ใด</t>
        </is>
      </c>
      <c r="C157" s="35" t="n"/>
      <c r="D157" s="34" t="inlineStr">
        <is>
          <t>ร$านขายยาแผนป[จจุบัน</t>
        </is>
      </c>
      <c r="E157" s="34" t="inlineStr">
        <is>
          <t>ร$านขายยาอันตรายและยาควบคุมพิเศษ</t>
        </is>
      </c>
      <c r="F157" s="34" t="inlineStr">
        <is>
          <t>สถานพยาบาลของแพทยเ_วชปฏิบัติทั่วไป</t>
        </is>
      </c>
      <c r="G157" s="34" t="inlineStr">
        <is>
          <t>สถานพยาบาลที่รับผู$ป&amp;วยไว$ค$างคืน</t>
        </is>
      </c>
      <c r="H157" s="34" t="inlineStr">
        <is>
          <t>ร้านขายของชำทั่วไป</t>
        </is>
      </c>
      <c r="I157" s="33" t="inlineStr">
        <is>
          <t>2</t>
        </is>
      </c>
      <c r="J157" s="34" t="inlineStr">
        <is>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is>
      </c>
      <c r="K157" s="35" t="n"/>
      <c r="L157" s="34" t="inlineStr">
        <is>
          <t>Diabetes mellitus</t>
        </is>
      </c>
      <c r="M157" s="35" t="inlineStr">
        <is>
          <t>Clinic</t>
        </is>
      </c>
      <c r="N157" s="34" t="inlineStr">
        <is>
          <t>ข้อ 19 (PLE_CC1_Key_Rx20_UBU.md)</t>
        </is>
      </c>
      <c r="O157" s="35" t="inlineStr">
        <is>
          <t>Mock</t>
        </is>
      </c>
      <c r="P157" s="35" t="inlineStr">
        <is>
          <t>Mock Rx20 UBU</t>
        </is>
      </c>
    </row>
    <row r="158" ht="13.2" customHeight="1" s="49">
      <c r="A158" s="33" t="n">
        <v>156</v>
      </c>
      <c r="B158" s="34" t="inlineStr">
        <is>
          <t>มีประวัติเปญนเบาหวานขณะตั้งครรภ_</t>
        </is>
      </c>
      <c r="C158" s="35" t="n"/>
      <c r="D158" s="34" t="inlineStr">
        <is>
          <t>Insulin glargine 10 units SC HS</t>
        </is>
      </c>
      <c r="E158" s="34" t="inlineStr">
        <is>
          <t>Insulin lispro 4 units SC before meals</t>
        </is>
      </c>
      <c r="F158" s="34" t="inlineStr">
        <is>
          <t>Dapagliflozin 10 mg OD</t>
        </is>
      </c>
      <c r="G158" s="34" t="inlineStr">
        <is>
          <t>Semaglutide 0.5 mg SC weekly</t>
        </is>
      </c>
      <c r="H158" s="34" t="inlineStr">
        <is>
          <t>Metformin 500 mg BID</t>
        </is>
      </c>
      <c r="I158" s="33" t="inlineStr">
        <is>
          <t>1</t>
        </is>
      </c>
      <c r="J158"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8" s="35" t="n"/>
      <c r="L158" s="34" t="inlineStr">
        <is>
          <t>Diabetes mellitus</t>
        </is>
      </c>
      <c r="M158" s="35" t="inlineStr">
        <is>
          <t>Clinic</t>
        </is>
      </c>
      <c r="N158" s="34" t="inlineStr">
        <is>
          <t>ข้อ 3 (PLE_CC1_Key_Rx20_UBU.md)</t>
        </is>
      </c>
      <c r="O158" s="35" t="inlineStr">
        <is>
          <t>Mock</t>
        </is>
      </c>
      <c r="P158" s="35" t="inlineStr">
        <is>
          <t>Mock Rx20 UBU</t>
        </is>
      </c>
    </row>
    <row r="159" ht="13.2" customHeight="1" s="49">
      <c r="A159" s="33" t="n">
        <v>157</v>
      </c>
      <c r="B159" s="34" t="inlineStr">
        <is>
          <t>......ให$ประโยคมาเกี่ยวกับอุบัติการณ_การเกิดโรคเบาหวาน ถามวGา คำวGา “อุบัติการณ_” หมายความวGาอยGางไร</t>
        </is>
      </c>
      <c r="C159" s="35" t="n"/>
      <c r="D159" s="34" t="inlineStr">
        <is>
          <t>Semaglutide 0.5 mg SC weekly</t>
        </is>
      </c>
      <c r="E159" s="34" t="inlineStr">
        <is>
          <t>Metformin 500 mg BID</t>
        </is>
      </c>
      <c r="F159" s="34" t="inlineStr">
        <is>
          <t>Glipizide 5 mg OD</t>
        </is>
      </c>
      <c r="G159" s="34" t="inlineStr">
        <is>
          <t>Empagliflozin 10 mg OD</t>
        </is>
      </c>
      <c r="H159" s="34" t="inlineStr">
        <is>
          <t>Sitagliptin 100 mg OD</t>
        </is>
      </c>
      <c r="I159" s="33" t="inlineStr">
        <is>
          <t>1</t>
        </is>
      </c>
      <c r="J159"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59" s="35" t="n"/>
      <c r="L159" s="34" t="inlineStr">
        <is>
          <t>Diabetes mellitus</t>
        </is>
      </c>
      <c r="M159" s="35" t="inlineStr">
        <is>
          <t>Clinic</t>
        </is>
      </c>
      <c r="N159" s="34" t="inlineStr">
        <is>
          <t>ข้อ 106 (PLE_CC1_Key_Rx20_UBU.md)</t>
        </is>
      </c>
      <c r="O159" s="35" t="inlineStr">
        <is>
          <t>Mock</t>
        </is>
      </c>
      <c r="P159" s="35" t="inlineStr">
        <is>
          <t>Mock Rx20 UBU</t>
        </is>
      </c>
    </row>
    <row r="160" ht="13.2" customHeight="1" s="49">
      <c r="A160" s="33" t="n">
        <v>158</v>
      </c>
      <c r="B160" s="34" t="inlineStr">
        <is>
          <t>จำนวนผู$ป&amp;วยโรคเบาหวานรายใหมGจำนวนประชากรทั้งหมด ในพื้นที่ ในชGวงเวลาหนึ่ง</t>
        </is>
      </c>
      <c r="C160" s="35" t="n"/>
      <c r="D160" s="34" t="inlineStr">
        <is>
          <t>Empagliflozin 10 mg OD</t>
        </is>
      </c>
      <c r="E160" s="34" t="inlineStr">
        <is>
          <t>Sitagliptin 100 mg OD</t>
        </is>
      </c>
      <c r="F160" s="34" t="inlineStr">
        <is>
          <t>Liraglutide 1.2 mg SC OD</t>
        </is>
      </c>
      <c r="G160" s="34" t="inlineStr">
        <is>
          <t>Levothyroxine 50 mcg OD</t>
        </is>
      </c>
      <c r="H160" s="34" t="inlineStr">
        <is>
          <t>Propylthiouracil 50 mg TID</t>
        </is>
      </c>
      <c r="I160" s="33" t="inlineStr">
        <is>
          <t>1</t>
        </is>
      </c>
      <c r="J160"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0" s="35" t="n"/>
      <c r="L160" s="34" t="inlineStr">
        <is>
          <t>Diabetes mellitus</t>
        </is>
      </c>
      <c r="M160" s="35" t="inlineStr">
        <is>
          <t>Clinic</t>
        </is>
      </c>
      <c r="N160" s="34" t="inlineStr">
        <is>
          <t>ข้อ 1 (PLE_CC1_Key_Rx20_UBU.md)</t>
        </is>
      </c>
      <c r="O160" s="35" t="inlineStr">
        <is>
          <t>Mock</t>
        </is>
      </c>
      <c r="P160" s="35" t="inlineStr">
        <is>
          <t>Mock Rx20 UBU</t>
        </is>
      </c>
    </row>
    <row r="161" ht="13.2" customHeight="1" s="49">
      <c r="A161" s="33" t="n">
        <v>159</v>
      </c>
      <c r="B161" s="34" t="inlineStr">
        <is>
          <t>จำนวนผู$ป&amp;วยโรคเบาหวานรายใหมGตGอจำนวนประชากรที่มีความเสี่ยงที่จะเกิดโรคเบาห วาน</t>
        </is>
      </c>
      <c r="C161" s="35" t="n"/>
      <c r="D161" s="34" t="inlineStr">
        <is>
          <t>Levothyroxine 50 mcg OD</t>
        </is>
      </c>
      <c r="E161" s="34" t="inlineStr">
        <is>
          <t>Propylthiouracil 50 mg TID</t>
        </is>
      </c>
      <c r="F161" s="34" t="inlineStr">
        <is>
          <t>Methimazole 10 mg OD</t>
        </is>
      </c>
      <c r="G161" s="34" t="inlineStr">
        <is>
          <t>Pioglitazone 15 mg OD</t>
        </is>
      </c>
      <c r="H161" s="34" t="inlineStr">
        <is>
          <t>Insulin glargine 10 units SC HS</t>
        </is>
      </c>
      <c r="I161" s="33" t="inlineStr">
        <is>
          <t>1</t>
        </is>
      </c>
      <c r="J161"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1" s="35" t="n"/>
      <c r="L161" s="34" t="inlineStr">
        <is>
          <t>Diabetes mellitus</t>
        </is>
      </c>
      <c r="M161" s="35" t="inlineStr">
        <is>
          <t>Clinic</t>
        </is>
      </c>
      <c r="N161" s="34" t="inlineStr">
        <is>
          <t>ข้อ 2 (PLE_CC1_Key_Rx20_UBU.md)</t>
        </is>
      </c>
      <c r="O161" s="35" t="inlineStr">
        <is>
          <t>Mock</t>
        </is>
      </c>
      <c r="P161" s="35" t="inlineStr">
        <is>
          <t>Mock Rx20 UBU</t>
        </is>
      </c>
    </row>
    <row r="162" ht="13.2" customHeight="1" s="49">
      <c r="A162" s="33" t="n">
        <v>160</v>
      </c>
      <c r="B162" s="34" t="inlineStr">
        <is>
          <t>จำนวนผู$ป&amp;วยโรคเบาหวานตGอจำนวนประชากรที่มีความเสี่ยงที่จะเกิดโรคเบาหวาน ณ จุดเวลาใดเวลาหนึ่ง</t>
        </is>
      </c>
      <c r="C162" s="35" t="n"/>
      <c r="D162" s="34" t="inlineStr">
        <is>
          <t>Pioglitazone 15 mg OD</t>
        </is>
      </c>
      <c r="E162" s="34" t="inlineStr">
        <is>
          <t>Insulin glargine 10 units SC HS</t>
        </is>
      </c>
      <c r="F162" s="34" t="inlineStr">
        <is>
          <t>Insulin lispro 4 units SC before meals</t>
        </is>
      </c>
      <c r="G162" s="34" t="inlineStr">
        <is>
          <t>Dapagliflozin 10 mg OD</t>
        </is>
      </c>
      <c r="H162" s="34" t="inlineStr">
        <is>
          <t>Semaglutide 0.5 mg SC weekly</t>
        </is>
      </c>
      <c r="I162" s="33" t="inlineStr">
        <is>
          <t>1</t>
        </is>
      </c>
      <c r="J162" s="34"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2" s="35" t="n"/>
      <c r="L162" s="34" t="inlineStr">
        <is>
          <t>Diabetes mellitus</t>
        </is>
      </c>
      <c r="M162" s="35" t="inlineStr">
        <is>
          <t>Clinic</t>
        </is>
      </c>
      <c r="N162" s="34" t="inlineStr">
        <is>
          <t>ข้อ 4 (PLE_CC1_Key_Rx20_UBU.md)</t>
        </is>
      </c>
      <c r="O162" s="35" t="inlineStr">
        <is>
          <t>Mock</t>
        </is>
      </c>
      <c r="P162" s="35" t="inlineStr">
        <is>
          <t>Mock Rx20 UBU</t>
        </is>
      </c>
    </row>
    <row r="163" ht="13.2" customHeight="1" s="49">
      <c r="A163" s="33" t="n">
        <v>161</v>
      </c>
      <c r="B163" s="34"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3" s="35" t="n"/>
      <c r="D163" s="34" t="inlineStr">
        <is>
          <t>Dapagliflozin 10 mg OD</t>
        </is>
      </c>
      <c r="E163" s="34" t="inlineStr">
        <is>
          <t>Semaglutide 0.5 mg SC weekly</t>
        </is>
      </c>
      <c r="F163" s="34" t="inlineStr">
        <is>
          <t>Metformin 500 mg BID</t>
        </is>
      </c>
      <c r="G163" s="34" t="inlineStr">
        <is>
          <t>Glipizide 5 mg OD</t>
        </is>
      </c>
      <c r="H163" s="34" t="inlineStr">
        <is>
          <t>Empagliflozin 10 mg OD</t>
        </is>
      </c>
      <c r="I163" s="33" t="inlineStr">
        <is>
          <t>1</t>
        </is>
      </c>
      <c r="J163"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3" s="35" t="n"/>
      <c r="L163" s="34" t="inlineStr">
        <is>
          <t>Diabetes mellitus</t>
        </is>
      </c>
      <c r="M163" s="35" t="inlineStr">
        <is>
          <t>Clinic</t>
        </is>
      </c>
      <c r="N163" s="34" t="inlineStr">
        <is>
          <t>ข้อ 5 (PLE_CC1_Key_Rx20_UBU.md)</t>
        </is>
      </c>
      <c r="O163" s="35" t="inlineStr">
        <is>
          <t>Mock</t>
        </is>
      </c>
      <c r="P163" s="35" t="inlineStr">
        <is>
          <t>Mock Rx20 UBU</t>
        </is>
      </c>
    </row>
    <row r="164" ht="13.2" customHeight="1" s="49">
      <c r="A164" s="33" t="n">
        <v>162</v>
      </c>
      <c r="B164" s="34"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64" s="35" t="n"/>
      <c r="D164" s="34" t="inlineStr">
        <is>
          <t>Metformin 500 mg PO BID</t>
        </is>
      </c>
      <c r="E164" s="34" t="inlineStr">
        <is>
          <t>Empagliflozin 10 mg PO OD</t>
        </is>
      </c>
      <c r="F164" s="34" t="inlineStr">
        <is>
          <t>Sitagliptin 100 mg PO OD</t>
        </is>
      </c>
      <c r="G164" s="34" t="inlineStr">
        <is>
          <t>Glipizide 5 mg PO OD</t>
        </is>
      </c>
      <c r="H164" s="34" t="inlineStr">
        <is>
          <t>Pioglitazone 15 mg PO OD</t>
        </is>
      </c>
      <c r="I164" s="33" t="n">
        <v>1</v>
      </c>
      <c r="J164" s="34"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64" s="35" t="n"/>
      <c r="L164" s="34" t="inlineStr">
        <is>
          <t>Diabetes mellitus</t>
        </is>
      </c>
      <c r="M164" s="35" t="inlineStr">
        <is>
          <t>Clinic</t>
        </is>
      </c>
      <c r="N164" s="34" t="inlineStr">
        <is>
          <t>ข้อ 5 (PLE_CC1_Key_Rx20_UBU.md)</t>
        </is>
      </c>
      <c r="O164" s="35" t="inlineStr">
        <is>
          <t>Mock</t>
        </is>
      </c>
      <c r="P164" s="35" t="inlineStr">
        <is>
          <t>Mock Rx20 UBU</t>
        </is>
      </c>
    </row>
    <row r="165" ht="13.2" customHeight="1" s="49">
      <c r="A165" s="33" t="n">
        <v>163</v>
      </c>
      <c r="B165" s="34" t="inlineStr">
        <is>
          <t>ยาเบาหวานที่ผู้ป่วยควรได้รับ</t>
        </is>
      </c>
      <c r="C165" s="35" t="n"/>
      <c r="D165" s="34" t="inlineStr">
        <is>
          <t>Metformin</t>
        </is>
      </c>
      <c r="E165" s="34" t="inlineStr">
        <is>
          <t>RI</t>
        </is>
      </c>
      <c r="F165" s="34" t="inlineStr">
        <is>
          <t>Repaglinide</t>
        </is>
      </c>
      <c r="G165" s="34" t="inlineStr">
        <is>
          <t>Glibenclamide</t>
        </is>
      </c>
      <c r="H165" s="34"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5" s="33" t="inlineStr">
        <is>
          <t>1</t>
        </is>
      </c>
      <c r="J165" s="34"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5" s="35" t="n"/>
      <c r="L165" s="34" t="inlineStr">
        <is>
          <t>Diabetes mellitus</t>
        </is>
      </c>
      <c r="M165" s="35" t="inlineStr">
        <is>
          <t>Clinic</t>
        </is>
      </c>
      <c r="N165" s="34" t="inlineStr">
        <is>
          <t>ข้อ 2 (PLE_CC1_Key_Rx20_UBU.md)</t>
        </is>
      </c>
      <c r="O165" s="35" t="inlineStr">
        <is>
          <t>Mock</t>
        </is>
      </c>
      <c r="P165" s="35" t="inlineStr">
        <is>
          <t>Mock Rx20 UBU</t>
        </is>
      </c>
    </row>
    <row r="166" ht="13.2" customHeight="1" s="49">
      <c r="A166" s="33" t="n">
        <v>164</v>
      </c>
      <c r="B166" s="34" t="inlineStr">
        <is>
          <t>ใช้ยามานานคุมน้ำตาลดี แต่อยู่ดีๆ FBS กับ HBA1C เกิน (อยู่ที่ประมาณ 9 กว่าๆ) เกิดจากอะไร</t>
        </is>
      </c>
      <c r="C166" s="35" t="n"/>
      <c r="D166" s="34" t="inlineStr">
        <is>
          <t>Methimazole 10 mg OD</t>
        </is>
      </c>
      <c r="E166" s="34" t="inlineStr">
        <is>
          <t>Pioglitazone 15 mg OD</t>
        </is>
      </c>
      <c r="F166" s="34" t="inlineStr">
        <is>
          <t>Insulin glargine 10 units SC HS</t>
        </is>
      </c>
      <c r="G166" s="34" t="inlineStr">
        <is>
          <t>Insulin lispro 4 units SC before meals</t>
        </is>
      </c>
      <c r="H166" s="34" t="inlineStr">
        <is>
          <t>Dapagliflozin 10 mg OD</t>
        </is>
      </c>
      <c r="I166" s="33" t="inlineStr">
        <is>
          <t>1</t>
        </is>
      </c>
      <c r="J166"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6" s="35" t="n"/>
      <c r="L166" s="34" t="inlineStr">
        <is>
          <t>Diabetes mellitus</t>
        </is>
      </c>
      <c r="M166" s="35" t="inlineStr">
        <is>
          <t>Clinic</t>
        </is>
      </c>
      <c r="N166" s="34" t="inlineStr">
        <is>
          <t>ข้อ 2 (PLE_CC1_Key_Rx20_UBU.md)</t>
        </is>
      </c>
      <c r="O166" s="35" t="inlineStr">
        <is>
          <t>Mock</t>
        </is>
      </c>
      <c r="P166" s="35" t="inlineStr">
        <is>
          <t>Mock Rx20 UBU</t>
        </is>
      </c>
    </row>
    <row r="167" ht="13.2" customHeight="1" s="49">
      <c r="A167" s="33" t="n">
        <v>165</v>
      </c>
      <c r="B167" s="34" t="inlineStr">
        <is>
          <t>เป็น insulin sensitizer</t>
        </is>
      </c>
      <c r="C167" s="35" t="n"/>
      <c r="D167" s="34" t="inlineStr">
        <is>
          <t>Insulin lispro 4 units SC before meals</t>
        </is>
      </c>
      <c r="E167" s="34" t="inlineStr">
        <is>
          <t>Dapagliflozin 10 mg OD</t>
        </is>
      </c>
      <c r="F167" s="34" t="inlineStr">
        <is>
          <t>Semaglutide 0.5 mg SC weekly</t>
        </is>
      </c>
      <c r="G167" s="34" t="inlineStr">
        <is>
          <t>Metformin 500 mg BID</t>
        </is>
      </c>
      <c r="H167" s="34" t="inlineStr">
        <is>
          <t>Glipizide 5 mg OD</t>
        </is>
      </c>
      <c r="I167" s="33" t="inlineStr">
        <is>
          <t>1</t>
        </is>
      </c>
      <c r="J167"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7" s="35" t="n"/>
      <c r="L167" s="34" t="inlineStr">
        <is>
          <t>Diabetes mellitus</t>
        </is>
      </c>
      <c r="M167" s="35" t="inlineStr">
        <is>
          <t>Clinic</t>
        </is>
      </c>
      <c r="N167" s="34" t="inlineStr">
        <is>
          <t>ข้อ 1 (PLE_CC1_Key_Rx20_UBU.md)</t>
        </is>
      </c>
      <c r="O167" s="35" t="inlineStr">
        <is>
          <t>Mock</t>
        </is>
      </c>
      <c r="P167" s="35" t="inlineStr">
        <is>
          <t>Mock Rx20 UBU</t>
        </is>
      </c>
    </row>
    <row r="168" ht="13.2" customHeight="1" s="49">
      <c r="A168" s="33" t="n">
        <v>166</v>
      </c>
      <c r="B168" s="34" t="inlineStr">
        <is>
          <t>ไม่เลือกเป็นยาอันดับแรก เพราะลด HbA1Cไม่ดี</t>
        </is>
      </c>
      <c r="C168" s="35" t="n"/>
      <c r="D168" s="34" t="inlineStr">
        <is>
          <t>ผิด เพราะ เป็น insulin secretagogues</t>
        </is>
      </c>
      <c r="E168" s="34" t="inlineStr">
        <is>
          <t>Glipizide 5 mg OD</t>
        </is>
      </c>
      <c r="F168" s="34" t="inlineStr">
        <is>
          <t>Empagliflozin 10 mg OD</t>
        </is>
      </c>
      <c r="G168" s="34" t="inlineStr">
        <is>
          <t>Sitagliptin 100 mg OD</t>
        </is>
      </c>
      <c r="H168" s="34" t="inlineStr">
        <is>
          <t>Liraglutide 1.2 mg SC OD</t>
        </is>
      </c>
      <c r="I168" s="33" t="inlineStr">
        <is>
          <t>3</t>
        </is>
      </c>
      <c r="J168" s="34"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8" s="35" t="n"/>
      <c r="L168" s="34" t="inlineStr">
        <is>
          <t>Diabetes mellitus</t>
        </is>
      </c>
      <c r="M168" s="35" t="inlineStr">
        <is>
          <t>Clinic</t>
        </is>
      </c>
      <c r="N168" s="34" t="inlineStr">
        <is>
          <t>ข้อ 4 (PLE_CC1_Key_Rx20_UBU.md)</t>
        </is>
      </c>
      <c r="O168" s="35" t="inlineStr">
        <is>
          <t>Mock</t>
        </is>
      </c>
      <c r="P168" s="35" t="inlineStr">
        <is>
          <t>Mock Rx20 UBU</t>
        </is>
      </c>
    </row>
    <row r="169" ht="13.2" customHeight="1" s="49">
      <c r="A169" s="33" t="n">
        <v>167</v>
      </c>
      <c r="B169" s="34" t="inlineStr">
        <is>
          <t>ผิด เพราะ สามารถเลือกเป็นยาอันดับแรก และลด HbA1C ได้</t>
        </is>
      </c>
      <c r="C169" s="35" t="n"/>
      <c r="D169" s="34" t="inlineStr">
        <is>
          <t>Sitagliptin 100 mg OD</t>
        </is>
      </c>
      <c r="E169" s="34" t="inlineStr">
        <is>
          <t>Liraglutide 1.2 mg SC OD</t>
        </is>
      </c>
      <c r="F169" s="34" t="inlineStr">
        <is>
          <t>Levothyroxine 50 mcg OD</t>
        </is>
      </c>
      <c r="G169" s="34" t="inlineStr">
        <is>
          <t>Propylthiouracil 50 mg TID</t>
        </is>
      </c>
      <c r="H169" s="34" t="inlineStr">
        <is>
          <t>Methimazole 10 mg OD</t>
        </is>
      </c>
      <c r="I169" s="33" t="inlineStr">
        <is>
          <t>1</t>
        </is>
      </c>
      <c r="J169" s="34"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69" s="35" t="n"/>
      <c r="L169" s="34" t="inlineStr">
        <is>
          <t>Diabetes mellitus</t>
        </is>
      </c>
      <c r="M169" s="35" t="inlineStr">
        <is>
          <t>Clinic</t>
        </is>
      </c>
      <c r="N169" s="34" t="inlineStr">
        <is>
          <t>ข้อ 4 (PLE_CC1_Key_Rx20_UBU.md)</t>
        </is>
      </c>
      <c r="O169" s="35" t="inlineStr">
        <is>
          <t>Mock</t>
        </is>
      </c>
      <c r="P169" s="35" t="inlineStr">
        <is>
          <t>Mock Rx20 UBU</t>
        </is>
      </c>
    </row>
    <row r="170" ht="13.2" customHeight="1" s="49">
      <c r="A170" s="33" t="n">
        <v>168</v>
      </c>
      <c r="B170" s="34" t="inlineStr">
        <is>
          <t>Insulin NPH ก่อนนอน</t>
        </is>
      </c>
      <c r="C170" s="35" t="n"/>
      <c r="D170" s="34" t="inlineStr">
        <is>
          <t>Propylthiouracil 50 mg TID</t>
        </is>
      </c>
      <c r="E170" s="34" t="inlineStr">
        <is>
          <t>Methimazole 10 mg OD</t>
        </is>
      </c>
      <c r="F170" s="34" t="inlineStr">
        <is>
          <t>Pioglitazone 15 mg OD</t>
        </is>
      </c>
      <c r="G170" s="34" t="inlineStr">
        <is>
          <t>Insulin glargine 10 units SC HS</t>
        </is>
      </c>
      <c r="H170" s="34" t="inlineStr">
        <is>
          <t>Insulin lispro 4 units SC before meals</t>
        </is>
      </c>
      <c r="I170" s="33" t="inlineStr">
        <is>
          <t>1</t>
        </is>
      </c>
      <c r="J170"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0" s="35" t="n"/>
      <c r="L170" s="34" t="inlineStr">
        <is>
          <t>Diabetes mellitus</t>
        </is>
      </c>
      <c r="M170" s="35" t="inlineStr">
        <is>
          <t>Clinic</t>
        </is>
      </c>
      <c r="N170" s="34" t="inlineStr">
        <is>
          <t>ข้อ 2 (PLE_CC1_Key_Rx20_UBU.md)</t>
        </is>
      </c>
      <c r="O170" s="35" t="inlineStr">
        <is>
          <t>Mock</t>
        </is>
      </c>
      <c r="P170" s="35" t="inlineStr">
        <is>
          <t>Mock Rx20 UBU</t>
        </is>
      </c>
    </row>
    <row r="171" ht="13.2" customHeight="1" s="49">
      <c r="A171" s="33" t="n">
        <v>169</v>
      </c>
      <c r="B171" s="34" t="inlineStr">
        <is>
          <t>Insulin Aspart ก่อนอาหาร เช้า-กลางวัน-เย็น</t>
        </is>
      </c>
      <c r="C171" s="35" t="n"/>
      <c r="D171" s="34" t="inlineStr">
        <is>
          <t>Insulin glargine 10 units SC HS</t>
        </is>
      </c>
      <c r="E171" s="34" t="inlineStr">
        <is>
          <t>Insulin lispro 4 units SC before meals</t>
        </is>
      </c>
      <c r="F171" s="34" t="inlineStr">
        <is>
          <t>Dapagliflozin 10 mg OD</t>
        </is>
      </c>
      <c r="G171" s="34" t="inlineStr">
        <is>
          <t>Semaglutide 0.5 mg SC weekly</t>
        </is>
      </c>
      <c r="H171" s="34" t="inlineStr">
        <is>
          <t>Metformin 500 mg BID</t>
        </is>
      </c>
      <c r="I171" s="33" t="inlineStr">
        <is>
          <t>1</t>
        </is>
      </c>
      <c r="J171"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1" s="35" t="n"/>
      <c r="L171" s="34" t="inlineStr">
        <is>
          <t>Diabetes mellitus</t>
        </is>
      </c>
      <c r="M171" s="35" t="inlineStr">
        <is>
          <t>Clinic</t>
        </is>
      </c>
      <c r="N171" s="34" t="inlineStr">
        <is>
          <t>ข้อ 3 (PLE_CC1_Key_Rx20_UBU.md)</t>
        </is>
      </c>
      <c r="O171" s="35" t="inlineStr">
        <is>
          <t>Mock</t>
        </is>
      </c>
      <c r="P171" s="35" t="inlineStr">
        <is>
          <t>Mock Rx20 UBU</t>
        </is>
      </c>
    </row>
    <row r="172" ht="13.2" customHeight="1" s="49">
      <c r="A172" s="33" t="n">
        <v>170</v>
      </c>
      <c r="B172" s="34" t="inlineStr">
        <is>
          <t>Insulin Glargine เช้า - เย็น</t>
        </is>
      </c>
      <c r="C172" s="35" t="n"/>
      <c r="D172" s="34" t="inlineStr">
        <is>
          <t>Semaglutide 0.5 mg SC weekly</t>
        </is>
      </c>
      <c r="E172" s="34" t="inlineStr">
        <is>
          <t>Metformin 500 mg BID</t>
        </is>
      </c>
      <c r="F172" s="34" t="inlineStr">
        <is>
          <t>Glipizide 5 mg OD</t>
        </is>
      </c>
      <c r="G172" s="34" t="inlineStr">
        <is>
          <t>Empagliflozin 10 mg OD</t>
        </is>
      </c>
      <c r="H172" s="34" t="inlineStr">
        <is>
          <t>Sitagliptin 100 mg OD</t>
        </is>
      </c>
      <c r="I172" s="33" t="inlineStr">
        <is>
          <t>1</t>
        </is>
      </c>
      <c r="J172"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2" s="35" t="n"/>
      <c r="L172" s="34" t="inlineStr">
        <is>
          <t>Diabetes mellitus</t>
        </is>
      </c>
      <c r="M172" s="35" t="inlineStr">
        <is>
          <t>Clinic</t>
        </is>
      </c>
      <c r="N172" s="34" t="inlineStr">
        <is>
          <t>ข้อ 4 (PLE_CC1_Key_Rx20_UBU.md)</t>
        </is>
      </c>
      <c r="O172" s="35" t="inlineStr">
        <is>
          <t>Mock</t>
        </is>
      </c>
      <c r="P172" s="35" t="inlineStr">
        <is>
          <t>Mock Rx20 UBU</t>
        </is>
      </c>
    </row>
    <row r="173" ht="13.2" customHeight="1" s="49">
      <c r="A173" s="33" t="n">
        <v>171</v>
      </c>
      <c r="B173" s="34" t="inlineStr">
        <is>
          <t>ยาเบาหวานใด ไม่ต้องปรับขนาดยาในผู้ป่วยโรคไต</t>
        </is>
      </c>
      <c r="C173" s="35" t="n"/>
      <c r="D173" s="34" t="inlineStr">
        <is>
          <t>Pioglitazone</t>
        </is>
      </c>
      <c r="E173" s="34" t="inlineStr">
        <is>
          <t>Acarbose</t>
        </is>
      </c>
      <c r="F173" s="34" t="inlineStr">
        <is>
          <t>Sitagliptin</t>
        </is>
      </c>
      <c r="G173" s="34" t="inlineStr">
        <is>
          <t>Empaglifloxin</t>
        </is>
      </c>
      <c r="H173" s="34" t="inlineStr">
        <is>
          <t>Glibenclamide</t>
        </is>
      </c>
      <c r="I173" s="33" t="inlineStr">
        <is>
          <t>1</t>
        </is>
      </c>
      <c r="J173" s="34"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3" s="35" t="n"/>
      <c r="L173" s="34" t="inlineStr">
        <is>
          <t>Diabetes mellitus</t>
        </is>
      </c>
      <c r="M173" s="35" t="inlineStr">
        <is>
          <t>Clinic</t>
        </is>
      </c>
      <c r="N173" s="34" t="inlineStr">
        <is>
          <t>ข้อ 24 (PLE_CC1_Key_Rx20_UBU.md)</t>
        </is>
      </c>
      <c r="O173" s="35" t="inlineStr">
        <is>
          <t>Mock</t>
        </is>
      </c>
      <c r="P173" s="35" t="inlineStr">
        <is>
          <t>Mock Rx20 UBU</t>
        </is>
      </c>
    </row>
    <row r="174" ht="13.2" customHeight="1" s="49">
      <c r="A174" t="n">
        <v>172</v>
      </c>
      <c r="B174" t="inlineStr">
        <is>
          <t>3 เดือนต่อมาตรวจเพิ่ม FBS = 190, A1C= 8, LDL ปกติ ควรให้ยาใดเป็นอันดับแรกแก่ผู้ป่วย</t>
        </is>
      </c>
      <c r="D174" t="inlineStr">
        <is>
          <t>Metformin</t>
        </is>
      </c>
      <c r="E174" t="inlineStr">
        <is>
          <t>Simvastatin 20 mg HS</t>
        </is>
      </c>
      <c r="F174" t="inlineStr">
        <is>
          <t>Bisoprolol 5 mg OD</t>
        </is>
      </c>
      <c r="G174" t="inlineStr">
        <is>
          <t>Spironolactone 25 mg OD</t>
        </is>
      </c>
      <c r="H174" t="inlineStr">
        <is>
          <t>Pioglitazone 30 mg OD</t>
        </is>
      </c>
      <c r="I174" t="inlineStr">
        <is>
          <t>1</t>
        </is>
      </c>
      <c r="J174"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L174" t="inlineStr">
        <is>
          <t>Dyslipidemias</t>
        </is>
      </c>
      <c r="M174" t="inlineStr">
        <is>
          <t>Clinic</t>
        </is>
      </c>
      <c r="N174" t="inlineStr">
        <is>
          <t>PLE_CC1_2564_All_Key ข้อ 129</t>
        </is>
      </c>
    </row>
    <row r="175" ht="13.2" customHeight="1" s="49">
      <c r="A175" t="n">
        <v>173</v>
      </c>
      <c r="B175" t="inlineStr">
        <is>
          <t>ข้อใดคือความเสี่ยงที่อาจเกิดขึ้นเมื่อใช้ metformin เป็นระยะยาว - Retinopathy - Nephro - Neuro</t>
        </is>
      </c>
      <c r="D175" t="inlineStr">
        <is>
          <t>Bone fracture</t>
        </is>
      </c>
      <c r="E175" t="inlineStr">
        <is>
          <t>Bladder cancer</t>
        </is>
      </c>
      <c r="F175" t="inlineStr">
        <is>
          <t>Cyanocobalamin deficiency</t>
        </is>
      </c>
      <c r="G175" t="inlineStr">
        <is>
          <t>Edema</t>
        </is>
      </c>
      <c r="H175" t="inlineStr">
        <is>
          <t>Heart failure</t>
        </is>
      </c>
      <c r="I175" t="inlineStr">
        <is>
          <t>1</t>
        </is>
      </c>
      <c r="J175"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75" t="inlineStr">
        <is>
          <t>Hypertension</t>
        </is>
      </c>
      <c r="M175" t="inlineStr">
        <is>
          <t>Clinic</t>
        </is>
      </c>
      <c r="N175" t="inlineStr">
        <is>
          <t>ข้อ 60 (PLE_CC1_2562_Key.md)</t>
        </is>
      </c>
    </row>
    <row r="176" ht="13.2" customHeight="1" s="49">
      <c r="A176" t="n">
        <v>174</v>
      </c>
      <c r="B176" t="inlineStr">
        <is>
          <t>หากผู้ป่วยท้อง 4 เดือนแล้วต้องรักษาได้รับยา MMI อยู่ควรทำอย่างไร dose dependent . X ิ Galerveining &gt; 30mg/d &amp;side : PTU in esier dose independent ~</t>
        </is>
      </c>
      <c r="D176" t="inlineStr">
        <is>
          <t>เปลี่ยนเป็น PTU ไนไตรมาสแรก</t>
        </is>
      </c>
      <c r="E176" t="inlineStr">
        <is>
          <t>ใช้ MMI ต่อ</t>
        </is>
      </c>
      <c r="F176" t="inlineStr">
        <is>
          <t>เปลี่ยนเป็น PTU จนคลอด</t>
        </is>
      </c>
      <c r="G176" t="inlineStr">
        <is>
          <t>ลดขนาดยา MMI</t>
        </is>
      </c>
      <c r="H176" t="inlineStr">
        <is>
          <t>เพิ่มขนาดยา MMI</t>
        </is>
      </c>
      <c r="I176" t="inlineStr">
        <is>
          <t>1</t>
        </is>
      </c>
      <c r="J176"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6" t="inlineStr">
        <is>
          <t>Hypertension</t>
        </is>
      </c>
      <c r="M176" t="inlineStr">
        <is>
          <t>Clinic</t>
        </is>
      </c>
      <c r="N176" t="inlineStr">
        <is>
          <t>ข้อ 27 (PLE_CC1_2562_Key.md)</t>
        </is>
      </c>
    </row>
    <row r="177" ht="13.2" customHeight="1" s="49">
      <c r="A177" t="n">
        <v>175</v>
      </c>
      <c r="B177" t="inlineStr">
        <is>
          <t>คนไข้น ้าตาลสูงมาก HbA1C 10%, FBS 320 mg/dL, SCr 2 ได้รับ Insulin Mixtard 8-0-4 ac ข้อใด ถูกต้องเกี่ยวกับ Mixtard</t>
        </is>
      </c>
      <c r="D177" t="inlineStr">
        <is>
          <t>ออกฤทธิ์ช้ากว่า Glulisine</t>
        </is>
      </c>
      <c r="E177" t="inlineStr">
        <is>
          <t>ประกอบด้วย NPH 30%, RI 70%</t>
        </is>
      </c>
      <c r="F177" t="inlineStr">
        <is>
          <t>แก้ไขภาวะ Diabetic ketoacidosis</t>
        </is>
      </c>
      <c r="G177" t="inlineStr">
        <is>
          <t>เกิด Hypoglycemia น้อยกว่า Lispro</t>
        </is>
      </c>
      <c r="H177" t="inlineStr">
        <is>
          <t>สามารถฉีดได้ทั ง SC และ IV</t>
        </is>
      </c>
      <c r="I177" t="inlineStr">
        <is>
          <t>1</t>
        </is>
      </c>
      <c r="J177"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7" t="inlineStr">
        <is>
          <t>Hypertension</t>
        </is>
      </c>
      <c r="M177" t="inlineStr">
        <is>
          <t>Clinic</t>
        </is>
      </c>
      <c r="N177" t="inlineStr">
        <is>
          <t>ข้อ 5 (PLE_CC1_2560 22 April Set 1.md)</t>
        </is>
      </c>
    </row>
    <row r="178" ht="13.2" customHeight="1" s="49">
      <c r="A178" t="n">
        <v>176</v>
      </c>
      <c r="B178" t="inlineStr">
        <is>
          <t>ยาตัวใดท้าให้เกิด hypoglycemia ได้มากที่สุด</t>
        </is>
      </c>
      <c r="D178" t="inlineStr">
        <is>
          <t>Glibenclamide</t>
        </is>
      </c>
      <c r="E178" t="inlineStr">
        <is>
          <t>Metformin</t>
        </is>
      </c>
      <c r="F178" t="inlineStr">
        <is>
          <t>Insulin glargine</t>
        </is>
      </c>
      <c r="G178" t="inlineStr">
        <is>
          <t>Acarbose</t>
        </is>
      </c>
      <c r="H178" t="inlineStr">
        <is>
          <t>Pioglitazone</t>
        </is>
      </c>
      <c r="I178" t="inlineStr">
        <is>
          <t>1</t>
        </is>
      </c>
      <c r="J178"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8" t="inlineStr">
        <is>
          <t>Hypertension</t>
        </is>
      </c>
      <c r="M178" t="inlineStr">
        <is>
          <t>Clinic</t>
        </is>
      </c>
      <c r="N178" t="inlineStr">
        <is>
          <t>ข้อ 19 (PLE_CC1_2559.md)</t>
        </is>
      </c>
    </row>
    <row r="179" ht="13.2" customHeight="1" s="49">
      <c r="A179" t="n">
        <v>177</v>
      </c>
      <c r="B179" t="inlineStr">
        <is>
          <t>ข้อใดคือผลข้างเคียงของ Phentermine</t>
        </is>
      </c>
      <c r="D179" t="inlineStr">
        <is>
          <t>Hypertension</t>
        </is>
      </c>
      <c r="E179" t="inlineStr">
        <is>
          <t>Hyperkalemia</t>
        </is>
      </c>
      <c r="F179" t="inlineStr">
        <is>
          <t>Proteinurea</t>
        </is>
      </c>
      <c r="G179" t="inlineStr">
        <is>
          <t>Hyperphosphatemia</t>
        </is>
      </c>
      <c r="H179" t="inlineStr">
        <is>
          <t>Hyperuricemia</t>
        </is>
      </c>
      <c r="I179" t="inlineStr">
        <is>
          <t>1</t>
        </is>
      </c>
      <c r="J179"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9" t="inlineStr">
        <is>
          <t>Hypertension</t>
        </is>
      </c>
      <c r="M179" t="inlineStr">
        <is>
          <t>Clinic</t>
        </is>
      </c>
      <c r="N179" t="inlineStr">
        <is>
          <t>ข้อ 75 (PLE_CC1_2559.md)</t>
        </is>
      </c>
    </row>
    <row r="180" ht="13.2" customHeight="1" s="49">
      <c r="A180" t="n">
        <v>178</v>
      </c>
      <c r="B180" t="inlineStr">
        <is>
          <t>ข้อใดถูกต้องที่สุดเกี่ยวกับภาวะ hyperthyroidism</t>
        </is>
      </c>
      <c r="D180" t="inlineStr">
        <is>
          <t>grave’s disease คือสาเหตุหลัก</t>
        </is>
      </c>
      <c r="E180" t="inlineStr">
        <is>
          <t>hashimotoคือสาเหตุหลัก</t>
        </is>
      </c>
      <c r="F180" t="inlineStr">
        <is>
          <t>หากพบภาวะนี้ในเด็ก มักพิจารณาการผ่าตัด</t>
        </is>
      </c>
      <c r="G180" t="inlineStr">
        <is>
          <t>หากพบภาวะนี้ในผู้สูงอายุ มักพิจารณาการผ่าตัด</t>
        </is>
      </c>
      <c r="H180" t="inlineStr">
        <is>
          <t>ระดับ euthyroid คือระดับฮอร์โมนไทรอยด์อยู่ในช่วงปกติ</t>
        </is>
      </c>
      <c r="I180" t="n">
        <v>1</v>
      </c>
      <c r="J180" t="inlineStr">
        <is>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is>
      </c>
      <c r="L180" t="inlineStr">
        <is>
          <t>Hypertension</t>
        </is>
      </c>
      <c r="M180" t="inlineStr">
        <is>
          <t>Clinic</t>
        </is>
      </c>
      <c r="N180" t="inlineStr">
        <is>
          <t>ข้อ 2 (PLE_CC1_2554 SET2.md)</t>
        </is>
      </c>
    </row>
    <row r="181" ht="13.2" customHeight="1" s="49">
      <c r="A181" t="n">
        <v>179</v>
      </c>
      <c r="B181" t="inlineStr">
        <is>
          <t>ผู้ป่วยเพศหญิง อายุ 50 ปี เพิ่งได้รับการวินิจฉัยว่าเป็นเบาหวานชนิดที่ 2 และได้รับยา Metformin ข้อใด ถูกต้องเกี่ยวกับยานี้</t>
        </is>
      </c>
      <c r="D181" t="inlineStr">
        <is>
          <t>เพิ่มการหลั่งอินซูลินจาก β-cell ของตับอ่อน</t>
        </is>
      </c>
      <c r="E181" t="inlineStr">
        <is>
          <t>ลดการดูดซึมกลูโคสจากทางเดินอาหาร</t>
        </is>
      </c>
      <c r="F181" t="inlineStr">
        <is>
          <t>ลดการสังเคราะห์กลูโคสจากตับ</t>
        </is>
      </c>
      <c r="G181" t="inlineStr">
        <is>
          <t>ลด glucose uptake และการใช้กลูโคสในเซลล์เป้าหมายของอินซูลิน</t>
        </is>
      </c>
      <c r="H181" t="inlineStr">
        <is>
          <t>ผลข้างเคียงที่พบบ่อยคือ ภาวะกลูโคสในเลือดต่ำ (Hypoglycemia)</t>
        </is>
      </c>
      <c r="I181" t="inlineStr">
        <is>
          <t>1</t>
        </is>
      </c>
      <c r="J181"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1" t="inlineStr">
        <is>
          <t>Hypertension</t>
        </is>
      </c>
      <c r="M181" t="inlineStr">
        <is>
          <t>Clinic</t>
        </is>
      </c>
      <c r="N181" t="inlineStr">
        <is>
          <t>ข้อ 2 (PLE_CC1_Practice_Exam.md)</t>
        </is>
      </c>
    </row>
    <row r="182" ht="13.2" customHeight="1" s="49">
      <c r="A182" t="n">
        <v>180</v>
      </c>
      <c r="B182"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D182" t="inlineStr">
        <is>
          <t>Insulin Lispro มี onset ในการออกฤทธิ์ที่เร็วกว่า NPH และจัดอยู่ใน Rapid acting insulin</t>
        </is>
      </c>
      <c r="E182"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82" t="inlineStr">
        <is>
          <t>Insulin Aspart บริหารยาโดยฉีดเข้าใต้ผิวหนังได้ทันทีก่อนมื้ออาหาร</t>
        </is>
      </c>
      <c r="G182" t="inlineStr">
        <is>
          <t>NPH insulin ไม่ใช้ในการรักษาผู้ป่วย Diabetic ketoacidosis</t>
        </is>
      </c>
      <c r="H182" t="inlineStr">
        <is>
          <t>สามารถฉีดได้ทั้ง SC และ IV</t>
        </is>
      </c>
      <c r="I182" t="inlineStr">
        <is>
          <t>1</t>
        </is>
      </c>
      <c r="J182" t="inlineStr">
        <is>
          <t>✅ คำตอบที่ถูกต้อง: ข้อ ข. NPH นิยมใช้ผสมกับ Regular insulin เพราะ NPH ออกฤทธิ์รวดเร็ว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ข. ระบุว่า NPH ออกฤทธิ์รวดเร็วกว่า Regular insulin ซึ่งผิดตรงกันข้าม: NPH เป็น Intermediate-acting (onset 2-4 ชม, peak 4-10 ชม) ส่วน Regular insulin เป็น Short-acting (onset 30-60 นาที) จึงออกฤทธิ์ได้เร็วกว่า NPH เหตุผลที่ใช้ NPH ผสม Regular คือ Regular ออกฤทธิ์เร็วดูแลหลังอาหาร ส่วน NPH ออกฤทธิ์ช้าดูแลช่วงกลางวัน-กลางคืน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is>
      </c>
      <c r="L182" t="inlineStr">
        <is>
          <t>Hypertension</t>
        </is>
      </c>
      <c r="M182" t="inlineStr">
        <is>
          <t>Clinic</t>
        </is>
      </c>
      <c r="N182" t="inlineStr">
        <is>
          <t>ข้อ 3 (PLE_CC1_Practice_Exam.md)</t>
        </is>
      </c>
    </row>
    <row r="183" ht="13.2" customHeight="1" s="49">
      <c r="A183" t="n">
        <v>181</v>
      </c>
      <c r="B183" t="inlineStr">
        <is>
          <t>ผู้ป่วยหญิงไทยคู่ อายุ 45 ปี น้ำหนัก 86 กิโลกรัม สูง 168 ซม. CC: มาพบแพทย์ตามนัด HPI: Chronic kidney disease stage 4</t>
        </is>
      </c>
      <c r="D183" t="inlineStr">
        <is>
          <t>ไม่เหมาะสม เนื่องจากขนาดยา Metformin สูงเกินไป</t>
        </is>
      </c>
      <c r="E183" t="inlineStr">
        <is>
          <t>ไม่เมาะสม เนื่องจากขนาดยา Metformin ต่ำเกินไป</t>
        </is>
      </c>
      <c r="F183" t="inlineStr">
        <is>
          <t>ไม่เหมาะสม เนื่องจากผู้ป่วยมีค่า eGFR น้อยกว่า 30 mL/min/1.73 mଶ</t>
        </is>
      </c>
      <c r="G183" t="inlineStr">
        <is>
          <t>เหมาะสม เนื่องจากยานี้ไม่ทำให้เกิด hypoglycemia</t>
        </is>
      </c>
      <c r="H183" t="inlineStr">
        <is>
          <t>เหมาะสม เนื่องจากผู้ป่วยมีน้ำหนักตัวเกิน</t>
        </is>
      </c>
      <c r="I183" t="inlineStr">
        <is>
          <t>1</t>
        </is>
      </c>
      <c r="J183"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3" t="inlineStr">
        <is>
          <t>Hypertension</t>
        </is>
      </c>
      <c r="M183" t="inlineStr">
        <is>
          <t>Clinic</t>
        </is>
      </c>
      <c r="N183" t="inlineStr">
        <is>
          <t>ข้อ 8 (PLE_CC1_Practice_Exam.md)</t>
        </is>
      </c>
    </row>
    <row r="184" ht="13.2" customHeight="1" s="49">
      <c r="A184" t="n">
        <v>182</v>
      </c>
      <c r="B184"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D184" t="inlineStr">
        <is>
          <t>ไม่ควรเปลี่ยนยา เนื่องจากยาเดิมมีประสิทธิภาพดีอยู่แล้ว</t>
        </is>
      </c>
      <c r="E184" t="inlineStr">
        <is>
          <t>ควรเปลี่ยนยา โดยใช้ยา Glibenclamide แทน</t>
        </is>
      </c>
      <c r="F184" t="inlineStr">
        <is>
          <t>ควรเปลี่ยนยา โดยใช้ยา Acarbose แทน</t>
        </is>
      </c>
      <c r="G184" t="inlineStr">
        <is>
          <t>ควรปลี่ยนยา โดยใช้ยา Repaglinide แทน</t>
        </is>
      </c>
      <c r="H184" t="inlineStr">
        <is>
          <t>มีข้อถูกมากกว่า1ข้อ</t>
        </is>
      </c>
      <c r="I184" t="inlineStr">
        <is>
          <t>1</t>
        </is>
      </c>
      <c r="J184"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4" t="inlineStr">
        <is>
          <t>Hypertension</t>
        </is>
      </c>
      <c r="M184" t="inlineStr">
        <is>
          <t>Clinic</t>
        </is>
      </c>
      <c r="N184" t="inlineStr">
        <is>
          <t>ข้อ 15 (PLE_CC1_Practice_Exam.md)</t>
        </is>
      </c>
    </row>
    <row r="185" ht="13.2" customHeight="1" s="49">
      <c r="A185" t="n">
        <v>183</v>
      </c>
      <c r="B185"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D185" t="inlineStr">
        <is>
          <t>Prader-Willi Syndrome</t>
        </is>
      </c>
      <c r="E185" t="inlineStr">
        <is>
          <t>Cushing's syndrome</t>
        </is>
      </c>
      <c r="F185" t="inlineStr">
        <is>
          <t>Hyperthyroidism</t>
        </is>
      </c>
      <c r="G185" t="inlineStr">
        <is>
          <t>ข้อ ก และ ข</t>
        </is>
      </c>
      <c r="H185" t="inlineStr">
        <is>
          <t>ถูกทุกข้อ</t>
        </is>
      </c>
      <c r="I185" t="inlineStr">
        <is>
          <t>1</t>
        </is>
      </c>
      <c r="J185"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85" t="inlineStr">
        <is>
          <t>Hypertension</t>
        </is>
      </c>
      <c r="M185" t="inlineStr">
        <is>
          <t>Clinic</t>
        </is>
      </c>
      <c r="N185" t="inlineStr">
        <is>
          <t>ข้อ 33 (PLE_CC1_Practice_Exam.md)</t>
        </is>
      </c>
    </row>
    <row r="186" ht="13.2" customHeight="1" s="49">
      <c r="A186" t="n">
        <v>184</v>
      </c>
      <c r="B186" t="inlineStr">
        <is>
          <t>ผู้ป่วยน้ำตาลสูงมาก HbA1C 10.0 %, FBS 320 mg/dL, SCr 2 mg/dL ได้รับ Insulin Mixtard 8- 0-4 ac ข้อใดถูกต้องเกี่ยวกับ Insulin Mixtard</t>
        </is>
      </c>
      <c r="D186" t="inlineStr">
        <is>
          <t>ออกฤทธิ์ช้ากว่า Glulisine</t>
        </is>
      </c>
      <c r="E186" t="inlineStr">
        <is>
          <t>ประกอบด้วย NPH 30%, RI 70%</t>
        </is>
      </c>
      <c r="F186" t="inlineStr">
        <is>
          <t>แก้ไขภาวะ Diabetic ketoacidosis</t>
        </is>
      </c>
      <c r="G186" t="inlineStr">
        <is>
          <t>เกิด Hypoglycemia น้อยกว่า Lispro</t>
        </is>
      </c>
      <c r="H186" t="inlineStr">
        <is>
          <t>สามารถฉีดได้ทั้ง SC และ IV</t>
        </is>
      </c>
      <c r="I186" t="inlineStr">
        <is>
          <t>1</t>
        </is>
      </c>
      <c r="J186" t="inlineStr">
        <is>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is>
      </c>
      <c r="L186" t="inlineStr">
        <is>
          <t>Hypertension</t>
        </is>
      </c>
      <c r="M186" t="inlineStr">
        <is>
          <t>Clinic</t>
        </is>
      </c>
      <c r="N186" t="inlineStr">
        <is>
          <t>ข้อ 78 (PLE_CC1_Key_Rx20_UBU.md)</t>
        </is>
      </c>
    </row>
    <row r="187" ht="13.2" customHeight="1" s="49">
      <c r="A187" t="n">
        <v>185</v>
      </c>
      <c r="B187" t="inlineStr">
        <is>
          <t>เพราะเหตุใดผู้ป่วยโรคไตจึงควรหยุดใช้ Metformin</t>
        </is>
      </c>
      <c r="D187" t="inlineStr">
        <is>
          <t>ยังไม่มีการศึกษาข้อมูลความปลอดภัยของยาในผู้ป่วยโรคไต</t>
        </is>
      </c>
      <c r="E187" t="inlineStr">
        <is>
          <t>Metabolite ของยาเป็นพิษต่อตับและไต</t>
        </is>
      </c>
      <c r="F187" t="inlineStr">
        <is>
          <t>ยาสะสมจึงเพิ่มความเสี่ยงของการเกิด Lactic acidosis</t>
        </is>
      </c>
      <c r="G187" t="inlineStr">
        <is>
          <t>ยาเป็นพิษต่อไตโดยตรง</t>
        </is>
      </c>
      <c r="H187" t="inlineStr">
        <is>
          <t>ยามีผลเพิ่มกระบวนการ reabsorption ของไต ทำให้ไตทำงานหนักขึ้น</t>
        </is>
      </c>
      <c r="I187" t="inlineStr">
        <is>
          <t>3</t>
        </is>
      </c>
      <c r="J187" t="inlineStr">
        <is>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is>
      </c>
      <c r="L187" t="inlineStr">
        <is>
          <t>Hypertension</t>
        </is>
      </c>
      <c r="M187" t="inlineStr">
        <is>
          <t>Clinic</t>
        </is>
      </c>
      <c r="N187" t="inlineStr">
        <is>
          <t>ข้อ 23 (PLE_CC1_Key_Rx20_UBU.md)</t>
        </is>
      </c>
    </row>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Q198"/>
  <sheetViews>
    <sheetView topLeftCell="B1" workbookViewId="0">
      <pane ySplit="2" topLeftCell="A180" activePane="bottomLeft" state="frozen"/>
      <selection pane="bottomLeft" activeCell="A3" sqref="A3:P198"/>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33" t="n">
        <v>1</v>
      </c>
      <c r="B3" s="34" t="inlineStr">
        <is>
          <t>การใช้ยาลดกรดในข้อใดต่อไปนี้ในขนาดสูงติดต่อกันเป็นเวลานาน จะทำให้เกิด acid rebound</t>
        </is>
      </c>
      <c r="C3" s="35" t="n"/>
      <c r="D3" s="34" t="inlineStr">
        <is>
          <t>Aluminium hydroxide</t>
        </is>
      </c>
      <c r="E3" s="34" t="inlineStr">
        <is>
          <t>Sodium bicarbonate</t>
        </is>
      </c>
      <c r="F3" s="34" t="inlineStr">
        <is>
          <t>Calcium carbonate</t>
        </is>
      </c>
      <c r="G3" s="34" t="inlineStr">
        <is>
          <t>Hydrogen peroxide</t>
        </is>
      </c>
      <c r="H3" s="34" t="inlineStr">
        <is>
          <t>Sodium chloride</t>
        </is>
      </c>
      <c r="I3" s="33" t="inlineStr">
        <is>
          <t>3</t>
        </is>
      </c>
      <c r="J3" s="34"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35" t="n"/>
      <c r="L3" s="34" t="inlineStr">
        <is>
          <t>GERD</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ข้อใดผิดเกี่ยวกับการใช้ยา bisacodyl</t>
        </is>
      </c>
      <c r="C4" s="35" t="n"/>
      <c r="D4" s="34" t="inlineStr">
        <is>
          <t>ห้ามใช้ในหญิงตั้งครรภ์</t>
        </is>
      </c>
      <c r="E4" s="34" t="inlineStr">
        <is>
          <t>ห้ามใช้กับยาลดกรด</t>
        </is>
      </c>
      <c r="F4" s="34" t="inlineStr">
        <is>
          <t>ใช้เตรียมผู้ป่วยก่อนการผ่าตัด</t>
        </is>
      </c>
      <c r="G4" s="34" t="inlineStr">
        <is>
          <t>มีผลกดระบบประสาทส่วนกลาง</t>
        </is>
      </c>
      <c r="H4" s="34" t="inlineStr">
        <is>
          <t>เป็น stimulant laxative</t>
        </is>
      </c>
      <c r="I4" s="33" t="inlineStr">
        <is>
          <t>1</t>
        </is>
      </c>
      <c r="J4" s="34" t="inlineStr">
        <is>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is>
      </c>
      <c r="K4" s="35" t="n"/>
      <c r="L4" s="34" t="inlineStr">
        <is>
          <t>Diarrhea &amp; Constipation</t>
        </is>
      </c>
      <c r="M4" s="35" t="inlineStr">
        <is>
          <t>Clinic</t>
        </is>
      </c>
      <c r="N4" s="34" t="inlineStr">
        <is>
          <t>ข้อ 2 Pharma Plus เล่มม่วง (เฉลยข้อ ก ง)</t>
        </is>
      </c>
      <c r="O4" s="35" t="inlineStr">
        <is>
          <t>Mock</t>
        </is>
      </c>
      <c r="P4" s="35" t="inlineStr">
        <is>
          <t>Pharma Plus เล่มม่วง</t>
        </is>
      </c>
    </row>
    <row r="5" ht="13.2" customHeight="1" s="49">
      <c r="A5" s="33" t="n">
        <v>3</v>
      </c>
      <c r="B5" s="34" t="inlineStr">
        <is>
          <t>ถ้าต้องการใช้ยาระบายเพื่อออกฤทธิ์ทันที ควรใช้ข้อใด</t>
        </is>
      </c>
      <c r="C5" s="35" t="n"/>
      <c r="D5" s="34" t="inlineStr">
        <is>
          <t>Psyllium</t>
        </is>
      </c>
      <c r="E5" s="34" t="inlineStr">
        <is>
          <t>Senna</t>
        </is>
      </c>
      <c r="F5" s="34" t="inlineStr">
        <is>
          <t>Bisacodyl</t>
        </is>
      </c>
      <c r="G5" s="34" t="inlineStr">
        <is>
          <t>Enema</t>
        </is>
      </c>
      <c r="H5" s="34" t="inlineStr">
        <is>
          <t>Mucilin</t>
        </is>
      </c>
      <c r="I5" s="33" t="inlineStr">
        <is>
          <t>4</t>
        </is>
      </c>
      <c r="J5" s="34"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35" t="n"/>
      <c r="L5" s="34" t="inlineStr">
        <is>
          <t>GERD</t>
        </is>
      </c>
      <c r="M5" s="35" t="inlineStr">
        <is>
          <t>Clinic</t>
        </is>
      </c>
      <c r="N5" s="34" t="inlineStr">
        <is>
          <t>ข้อ 3 Pharma Plus เล่มม่วง (เฉลยข้อ ง)</t>
        </is>
      </c>
      <c r="O5" s="35" t="inlineStr">
        <is>
          <t>Mock</t>
        </is>
      </c>
      <c r="P5" s="35" t="inlineStr">
        <is>
          <t>Pharma Plus เล่มม่วง</t>
        </is>
      </c>
    </row>
    <row r="6" ht="13.2" customHeight="1" s="49">
      <c r="A6" s="33" t="n">
        <v>4</v>
      </c>
      <c r="B6" s="34" t="inlineStr">
        <is>
          <t>สารอนินทรีย์ใดมีคุณสมบัติเป็นยาถ่ายหรือยาระบาย ซึ่งสามารถให้หลังจากที่ได้รับยา niclosamide แล้ว</t>
        </is>
      </c>
      <c r="C6" s="35" t="n"/>
      <c r="D6" s="34" t="inlineStr">
        <is>
          <t>Mg(OH)2</t>
        </is>
      </c>
      <c r="E6" s="34" t="inlineStr">
        <is>
          <t>Al(OH)3</t>
        </is>
      </c>
      <c r="F6" s="34" t="inlineStr">
        <is>
          <t>Na2SO4</t>
        </is>
      </c>
      <c r="G6" s="34" t="inlineStr">
        <is>
          <t>Na2CO3</t>
        </is>
      </c>
      <c r="H6" s="34" t="inlineStr">
        <is>
          <t>NaCl</t>
        </is>
      </c>
      <c r="I6" s="33" t="inlineStr">
        <is>
          <t>1</t>
        </is>
      </c>
      <c r="J6" s="34"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35" t="n"/>
      <c r="L6" s="34" t="inlineStr">
        <is>
          <t>GERD</t>
        </is>
      </c>
      <c r="M6" s="35" t="inlineStr">
        <is>
          <t>Clinic</t>
        </is>
      </c>
      <c r="N6" s="34" t="inlineStr">
        <is>
          <t>ข้อ 4 Pharma Plus เล่มม่วง (เฉลยข้อ ก จ)</t>
        </is>
      </c>
      <c r="O6" s="35" t="inlineStr">
        <is>
          <t>Mock</t>
        </is>
      </c>
      <c r="P6" s="35" t="inlineStr">
        <is>
          <t>Pharma Plus เล่มม่วง</t>
        </is>
      </c>
    </row>
    <row r="7" ht="13.2" customHeight="1" s="49">
      <c r="A7" s="33" t="n">
        <v>5</v>
      </c>
      <c r="B7" s="34" t="inlineStr">
        <is>
          <t>ผลิตภัณฑ์ยาในข้อใดมีข้อบ่งใช้เกี่ยวข้องกับโรคริดสีดวงทวารน้อยที่สุด</t>
        </is>
      </c>
      <c r="C7" s="35" t="n"/>
      <c r="D7" s="34" t="inlineStr">
        <is>
          <t>Proctosedyl</t>
        </is>
      </c>
      <c r="E7" s="34" t="inlineStr">
        <is>
          <t>Anusal</t>
        </is>
      </c>
      <c r="F7" s="34" t="inlineStr">
        <is>
          <t>Bactroban</t>
        </is>
      </c>
      <c r="G7" s="34" t="inlineStr">
        <is>
          <t>Essaven</t>
        </is>
      </c>
      <c r="H7" s="34" t="inlineStr">
        <is>
          <t>Siduol</t>
        </is>
      </c>
      <c r="I7" s="33" t="inlineStr">
        <is>
          <t>3</t>
        </is>
      </c>
      <c r="J7" s="34"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35" t="n"/>
      <c r="L7" s="34" t="inlineStr">
        <is>
          <t>GERD</t>
        </is>
      </c>
      <c r="M7" s="35" t="inlineStr">
        <is>
          <t>Clinic</t>
        </is>
      </c>
      <c r="N7" s="34" t="inlineStr">
        <is>
          <t>ข้อ 5 Pharma Plus เล่มม่วง (เฉลยข้อ ค)</t>
        </is>
      </c>
      <c r="O7" s="35" t="inlineStr">
        <is>
          <t>Mock</t>
        </is>
      </c>
      <c r="P7" s="35" t="inlineStr">
        <is>
          <t>Pharma Plus เล่มม่วง</t>
        </is>
      </c>
    </row>
    <row r="8" ht="13.2" customHeight="1" s="49">
      <c r="A8" s="33" t="n">
        <v>6</v>
      </c>
      <c r="B8" s="34"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35" t="n"/>
      <c r="D8" s="34" t="inlineStr">
        <is>
          <t>มักมีถ่ายอุจจาระเป็นเลือดสีคล้ำดำ</t>
        </is>
      </c>
      <c r="E8" s="34" t="inlineStr">
        <is>
          <t>ริดสีดวงแบ่งเป็น 2 ประเภท คือริดสีดวงภายในและริดสีดวงภายนอก</t>
        </is>
      </c>
      <c r="F8" s="34"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34" t="inlineStr">
        <is>
          <t>ริดสีดวงภายนอก คือ เนื้อเยื่อที่อยู่ใต้ dentate line ยื่นออกเป็นติ่งเนื้อ</t>
        </is>
      </c>
      <c r="H8" s="34"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33" t="inlineStr">
        <is>
          <t>1</t>
        </is>
      </c>
      <c r="J8" s="34"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35" t="n"/>
      <c r="L8" s="34" t="inlineStr">
        <is>
          <t>GERD</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ข้อใดเป็นขนาดใช้ของยา daflon 500 mg ในระยะเกิด hemorrhoidal attacks</t>
        </is>
      </c>
      <c r="C9" s="35" t="n"/>
      <c r="D9" s="34" t="inlineStr">
        <is>
          <t>2 tablets daily</t>
        </is>
      </c>
      <c r="E9" s="34" t="inlineStr">
        <is>
          <t>6 tablets daily for 4 days followed by 4 tablets daily for 3 days</t>
        </is>
      </c>
      <c r="F9" s="34" t="inlineStr">
        <is>
          <t>4 tablets daily for 4 days followed by 3 tablets daily for 3 days</t>
        </is>
      </c>
      <c r="G9" s="34" t="inlineStr">
        <is>
          <t>1-tab tid pc for 5 days</t>
        </is>
      </c>
      <c r="H9" s="34" t="inlineStr">
        <is>
          <t>1-tab OD</t>
        </is>
      </c>
      <c r="I9" s="33" t="inlineStr">
        <is>
          <t>2</t>
        </is>
      </c>
      <c r="J9" s="34"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35" t="n"/>
      <c r="L9" s="34" t="inlineStr">
        <is>
          <t>GERD</t>
        </is>
      </c>
      <c r="M9" s="35" t="inlineStr">
        <is>
          <t>Clinic</t>
        </is>
      </c>
      <c r="N9" s="34" t="inlineStr">
        <is>
          <t>ข้อ 7 Pharma Plus เล่มม่วง (เฉลยข้อ ข)</t>
        </is>
      </c>
      <c r="O9" s="35" t="inlineStr">
        <is>
          <t>Mock</t>
        </is>
      </c>
      <c r="P9" s="35" t="inlineStr">
        <is>
          <t>Pharma Plus เล่มม่วง</t>
        </is>
      </c>
    </row>
    <row r="10" ht="13.2" customHeight="1" s="49">
      <c r="A10" s="33" t="n">
        <v>8</v>
      </c>
      <c r="B10" s="34"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35" t="n"/>
      <c r="D10" s="34" t="inlineStr">
        <is>
          <t>ไทพอยด์ จำเป็นต้องใช้ยาปฏิชีวนะ</t>
        </is>
      </c>
      <c r="E10" s="34" t="inlineStr">
        <is>
          <t>บิดมีตัว จำเป็นต้องใช้ยาปฏิชีวนะ</t>
        </is>
      </c>
      <c r="F10" s="34" t="inlineStr">
        <is>
          <t>บิดไม่มีตัว ไม่จำเป็นต้องใช้ยาปฏิชีวนะ</t>
        </is>
      </c>
      <c r="G10" s="34" t="inlineStr">
        <is>
          <t>อหิวาต์ จำเป็นต้องใช้ยาปฏิชีวนะ</t>
        </is>
      </c>
      <c r="H10" s="34" t="inlineStr">
        <is>
          <t>อาหารเป็นพิษ ไม่จำเป็นต้องใช้ยาปฏิชีวนะ</t>
        </is>
      </c>
      <c r="I10" s="33" t="inlineStr">
        <is>
          <t>4</t>
        </is>
      </c>
      <c r="J10" s="34" t="inlineStr">
        <is>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[NEED_REVIEW]
📌 จุดจำก่อนสอบ:
Loperamide = Peripheral mu-opioid agonist; ไม่ผ่าน BBB; ห้ามใช้ใน invasive diarrhea/เด็กเล็ก</t>
        </is>
      </c>
      <c r="K10" s="35" t="n"/>
      <c r="L10" s="34" t="inlineStr">
        <is>
          <t>Diarrhea &amp; Constipation</t>
        </is>
      </c>
      <c r="M10" s="35" t="inlineStr">
        <is>
          <t>Clinic</t>
        </is>
      </c>
      <c r="N10" s="34" t="inlineStr">
        <is>
          <t>ข้อ 8 Pharma Plus เล่มม่วง (เฉลยข้อ ง)</t>
        </is>
      </c>
      <c r="O10" s="35" t="inlineStr">
        <is>
          <t>Mock</t>
        </is>
      </c>
      <c r="P10" s="35" t="inlineStr">
        <is>
          <t>Pharma Plus เล่มม่วง</t>
        </is>
      </c>
    </row>
    <row r="11" ht="13.2" customHeight="1" s="49">
      <c r="A11" s="33" t="n">
        <v>9</v>
      </c>
      <c r="B11" s="34" t="inlineStr">
        <is>
          <t>คำแนะนำในข้อใดไม่ถูกต้อง</t>
        </is>
      </c>
      <c r="C11" s="35" t="n"/>
      <c r="D11" s="34" t="inlineStr">
        <is>
          <t>สามารถเตรียมผงน้ำตาลเกลือแร่เองได้ โดยใช้น้ำตาลทรายผสมกับเกลือแกง</t>
        </is>
      </c>
      <c r="E11" s="34" t="inlineStr">
        <is>
          <t>เมื่อละลายผงน้ำตาลเกลือแร่แล้ว ควรใช้ภายใน 24 ชั่วโมง</t>
        </is>
      </c>
      <c r="F11" s="34" t="inlineStr">
        <is>
          <t>ควรให้ดื่มนมที่ชงเข้มข้นกว่าปกติเพื่อชดเชยน้ำที่สูญเสียไป</t>
        </is>
      </c>
      <c r="G11" s="34" t="inlineStr">
        <is>
          <t>ล้างมือด้วยน้ำกับสบู่ทุกครั้งก่อนรับประทานอาหาร</t>
        </is>
      </c>
      <c r="H11" s="34" t="inlineStr">
        <is>
          <t>กินอาหารสุก ไม่มีแมลงวันตอม</t>
        </is>
      </c>
      <c r="I11" s="33" t="inlineStr">
        <is>
          <t>3</t>
        </is>
      </c>
      <c r="J11" s="34" t="inlineStr">
        <is>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[NEED_REVIEW]
📌 จุดจำก่อนสอบ:
BSS ห้ามในเด็ก (Reye's), aspirin allergy; ทำลิ้น/อุจจาระดำชั่วคราว</t>
        </is>
      </c>
      <c r="K11" s="35" t="n"/>
      <c r="L11" s="34" t="inlineStr">
        <is>
          <t>Diarrhea &amp; Constipation</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การให้ Kaolin - Pectin แก่ผู้ป่วยเพื่อ</t>
        </is>
      </c>
      <c r="C12" s="35" t="n"/>
      <c r="D12" s="34" t="inlineStr">
        <is>
          <t>ดูดซับสารพิษ</t>
        </is>
      </c>
      <c r="E12" s="34" t="inlineStr">
        <is>
          <t>บรรเทาการสูญเสียน้ำและเกลือแร่จากร่างกาย</t>
        </is>
      </c>
      <c r="F12" s="34" t="inlineStr">
        <is>
          <t>มีคุณสมบัติเป็นประจุบวก</t>
        </is>
      </c>
      <c r="G12" s="34" t="inlineStr">
        <is>
          <t>ดูดน้ำเข้าหาตัว</t>
        </is>
      </c>
      <c r="H12" s="34" t="inlineStr">
        <is>
          <t>เพิ่มการดูดกลับน้ำและอิเลคโทรไลต์</t>
        </is>
      </c>
      <c r="I12" s="33" t="inlineStr">
        <is>
          <t>1</t>
        </is>
      </c>
      <c r="J12" s="34"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35" t="n"/>
      <c r="L12" s="34" t="inlineStr">
        <is>
          <t>GERD</t>
        </is>
      </c>
      <c r="M12" s="35" t="inlineStr">
        <is>
          <t>Clinic</t>
        </is>
      </c>
      <c r="N12" s="34" t="inlineStr">
        <is>
          <t>ข้อ 10 Pharma Plus เล่มม่วง (เฉลยข้อ ก)</t>
        </is>
      </c>
      <c r="O12" s="35" t="inlineStr">
        <is>
          <t>Mock</t>
        </is>
      </c>
      <c r="P12" s="35" t="inlineStr">
        <is>
          <t>Pharma Plus เล่มม่วง</t>
        </is>
      </c>
    </row>
    <row r="13" ht="13.2" customHeight="1" s="49">
      <c r="A13" s="33" t="n">
        <v>11</v>
      </c>
      <c r="B13" s="34" t="inlineStr">
        <is>
          <t>เพราะเหตุใดจึงห้ามใช้ norfloxacin ในเด็กอายุต่ำกว่า 12 ปี</t>
        </is>
      </c>
      <c r="C13" s="35" t="n"/>
      <c r="D13" s="34" t="inlineStr">
        <is>
          <t>ทำให้คลื่นไส้</t>
        </is>
      </c>
      <c r="E13" s="34" t="inlineStr">
        <is>
          <t>ทำให้ปวดศีรษะ</t>
        </is>
      </c>
      <c r="F13" s="34" t="inlineStr">
        <is>
          <t>ทำให้เกิดความผิดปกติในการเจริญเติบโตของข้อกระดูก เส้นเอ็น</t>
        </is>
      </c>
      <c r="G13" s="34" t="inlineStr">
        <is>
          <t>ทำให้เกิดความผิดปกติในการทำงานของตับและไต</t>
        </is>
      </c>
      <c r="H13" s="34" t="inlineStr">
        <is>
          <t>ทำให้เกิดภาวะช็อก</t>
        </is>
      </c>
      <c r="I13" s="33" t="inlineStr">
        <is>
          <t>3</t>
        </is>
      </c>
      <c r="J13" s="34"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35" t="n"/>
      <c r="L13" s="34" t="inlineStr">
        <is>
          <t>GERD</t>
        </is>
      </c>
      <c r="M13" s="35" t="inlineStr">
        <is>
          <t>Clinic</t>
        </is>
      </c>
      <c r="N13" s="34" t="inlineStr">
        <is>
          <t>ข้อ 11 Pharma Plus เล่มม่วง (เฉลยข้อ ค)</t>
        </is>
      </c>
      <c r="O13" s="35" t="inlineStr">
        <is>
          <t>Mock</t>
        </is>
      </c>
      <c r="P13" s="35" t="inlineStr">
        <is>
          <t>Pharma Plus เล่มม่วง</t>
        </is>
      </c>
    </row>
    <row r="14" ht="13.2" customHeight="1" s="49">
      <c r="A14" s="33" t="n">
        <v>12</v>
      </c>
      <c r="B14" s="34"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35" t="n"/>
      <c r="D14" s="34" t="inlineStr">
        <is>
          <t>ให้ยาทั้งสองแตกตัวได้ดียิ่งขึ้น</t>
        </is>
      </c>
      <c r="E14" s="34" t="inlineStr">
        <is>
          <t>ลดผลข้างเคียงซึ่งกันและกัน เนื่องจาก Al(OH)3 ทำให้เกิดอาการท้องผูก</t>
        </is>
      </c>
      <c r="F14" s="34" t="inlineStr">
        <is>
          <t>ลดผลข้างเคียงซึ่งกันและกัน เนื่องจาก Al(OH)3 ทำให้เกิดอาการท้องเสีย</t>
        </is>
      </c>
      <c r="G14" s="34" t="inlineStr">
        <is>
          <t>เพิ่มความคงตัวของตำรับ</t>
        </is>
      </c>
      <c r="H14" s="34" t="inlineStr">
        <is>
          <t>ลดอาการคลื่นไส้อาเจียน เมื่อใช้ยาลดกรดตัวเดียว</t>
        </is>
      </c>
      <c r="I14" s="33" t="inlineStr">
        <is>
          <t>2</t>
        </is>
      </c>
      <c r="J14" s="34"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35" t="n"/>
      <c r="L14" s="34" t="inlineStr">
        <is>
          <t>GERD</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35" t="n"/>
      <c r="D15" s="34" t="inlineStr">
        <is>
          <t>Dyspepsia</t>
        </is>
      </c>
      <c r="E15" s="34" t="inlineStr">
        <is>
          <t>Peptic ulcer</t>
        </is>
      </c>
      <c r="F15" s="34" t="inlineStr">
        <is>
          <t>Heart burn</t>
        </is>
      </c>
      <c r="G15" s="34" t="inlineStr">
        <is>
          <t>Constipation</t>
        </is>
      </c>
      <c r="H15" s="34" t="inlineStr">
        <is>
          <t>Malignancy in stomach</t>
        </is>
      </c>
      <c r="I15" s="33" t="inlineStr">
        <is>
          <t>2</t>
        </is>
      </c>
      <c r="J15" s="34"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35" t="n"/>
      <c r="L15" s="34" t="inlineStr">
        <is>
          <t>GERD</t>
        </is>
      </c>
      <c r="M15" s="35" t="inlineStr">
        <is>
          <t>Clinic</t>
        </is>
      </c>
      <c r="N15" s="34" t="inlineStr">
        <is>
          <t>ข้อ 13 Pharma Plus เล่มม่วง (เฉลยข้อ ข)</t>
        </is>
      </c>
      <c r="O15" s="35" t="inlineStr">
        <is>
          <t>Mock</t>
        </is>
      </c>
      <c r="P15" s="35" t="inlineStr">
        <is>
          <t>Pharma Plus เล่มม่วง</t>
        </is>
      </c>
    </row>
    <row r="16" ht="13.2" customHeight="1" s="49">
      <c r="A16" s="33" t="n">
        <v>14</v>
      </c>
      <c r="B16" s="34" t="inlineStr">
        <is>
          <t>สาเหตุหลักของโรคดังกล่าวในข้อที่ 13 ที่ได้รับการวินิจฉัยจากแพทย์คือ</t>
        </is>
      </c>
      <c r="C16" s="35" t="n"/>
      <c r="D16" s="34" t="inlineStr">
        <is>
          <t>NSAIDs</t>
        </is>
      </c>
      <c r="E16" s="34" t="inlineStr">
        <is>
          <t>Zolinger Ellison syndrome</t>
        </is>
      </c>
      <c r="F16" s="34" t="inlineStr">
        <is>
          <t>Helicobacter Pylori</t>
        </is>
      </c>
      <c r="G16" s="34" t="inlineStr">
        <is>
          <t>Alcoholism</t>
        </is>
      </c>
      <c r="H16" s="34" t="inlineStr">
        <is>
          <t>Cigarette</t>
        </is>
      </c>
      <c r="I16" s="33" t="inlineStr">
        <is>
          <t>3</t>
        </is>
      </c>
      <c r="J16" s="34"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35" t="n"/>
      <c r="L16" s="34" t="inlineStr">
        <is>
          <t>Dyspepsia &amp; PUD</t>
        </is>
      </c>
      <c r="M16" s="35" t="inlineStr">
        <is>
          <t>Clinic</t>
        </is>
      </c>
      <c r="N16" s="34" t="inlineStr">
        <is>
          <t>ข้อ 14 Pharma Plus เล่มม่วง (เฉลยข้อ ค)</t>
        </is>
      </c>
      <c r="O16" s="35" t="inlineStr">
        <is>
          <t>Mock</t>
        </is>
      </c>
      <c r="P16" s="35" t="inlineStr">
        <is>
          <t>Pharma Plus เล่มม่วง</t>
        </is>
      </c>
    </row>
    <row r="17" ht="13.2" customHeight="1" s="49">
      <c r="A17" s="33" t="n">
        <v>15</v>
      </c>
      <c r="B17" s="34"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35" t="n"/>
      <c r="D17" s="34" t="inlineStr">
        <is>
          <t>มังคุด - plaunotol</t>
        </is>
      </c>
      <c r="E17" s="34" t="inlineStr">
        <is>
          <t>มะขามแขก - sennoside</t>
        </is>
      </c>
      <c r="F17" s="34" t="inlineStr">
        <is>
          <t>ปลพน้อย - curcuminoids</t>
        </is>
      </c>
      <c r="G17" s="34" t="inlineStr">
        <is>
          <t>ขมิ้นชัน - curcuminoids</t>
        </is>
      </c>
      <c r="H17" s="34" t="inlineStr">
        <is>
          <t>ปลาน้อย - plaunotol</t>
        </is>
      </c>
      <c r="I17" s="33" t="inlineStr">
        <is>
          <t>5</t>
        </is>
      </c>
      <c r="J17" s="34"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35" t="n"/>
      <c r="L17" s="34" t="inlineStr">
        <is>
          <t>Dyspepsia &amp; PUD</t>
        </is>
      </c>
      <c r="M17" s="35" t="inlineStr">
        <is>
          <t>Clinic</t>
        </is>
      </c>
      <c r="N17" s="34" t="inlineStr">
        <is>
          <t>ข้อ 15 Pharma Plus เล่มม่วง (เฉลยข้อ จ)</t>
        </is>
      </c>
      <c r="O17" s="35" t="inlineStr">
        <is>
          <t>Mock</t>
        </is>
      </c>
      <c r="P17" s="35" t="inlineStr">
        <is>
          <t>Pharma Plus เล่มม่วง</t>
        </is>
      </c>
    </row>
    <row r="18" ht="13.2" customHeight="1" s="49">
      <c r="A18" s="33" t="n">
        <v>16</v>
      </c>
      <c r="B18" s="34"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35" t="n"/>
      <c r="D18" s="34" t="inlineStr">
        <is>
          <t>Senna</t>
        </is>
      </c>
      <c r="E18" s="34" t="inlineStr">
        <is>
          <t>Castor oil</t>
        </is>
      </c>
      <c r="F18" s="34" t="inlineStr">
        <is>
          <t>Bisacodyl</t>
        </is>
      </c>
      <c r="G18" s="34" t="inlineStr">
        <is>
          <t>Mineral oil</t>
        </is>
      </c>
      <c r="H18" s="34" t="inlineStr">
        <is>
          <t>Psyllium seed</t>
        </is>
      </c>
      <c r="I18" s="33" t="inlineStr">
        <is>
          <t>5</t>
        </is>
      </c>
      <c r="J18" s="34" t="inlineStr">
        <is>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is>
      </c>
      <c r="K18" s="35" t="n"/>
      <c r="L18" s="34" t="inlineStr">
        <is>
          <t>Diarrhea &amp; Constipation</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35" t="n"/>
      <c r="D19" s="34" t="inlineStr">
        <is>
          <t>ผู้ป่วยมักจะดื่มน้ำวันละ 6 แก้ว</t>
        </is>
      </c>
      <c r="E19" s="34" t="inlineStr">
        <is>
          <t>ผู้ป่วยมักจะออกกำลังกายสม่ำเสมอ</t>
        </is>
      </c>
      <c r="F19" s="34" t="inlineStr">
        <is>
          <t>ผู้ป่วยมักจะหลีกเลี่ยงการดื่มชา กาแฟ</t>
        </is>
      </c>
      <c r="G19" s="34" t="inlineStr">
        <is>
          <t>ผู้ป่วยมักจะดื่มนม 1 แก้วเป็นประจำทุกวัน</t>
        </is>
      </c>
      <c r="H19" s="34" t="inlineStr">
        <is>
          <t>ผู้ป่วยมักจะนั่งอ่านหนังสือในห้องน้ำเป็นเวลานาน</t>
        </is>
      </c>
      <c r="I19" s="33" t="inlineStr">
        <is>
          <t>5</t>
        </is>
      </c>
      <c r="J19" s="34" t="inlineStr">
        <is>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is>
      </c>
      <c r="K19" s="35" t="n"/>
      <c r="L19" s="34" t="inlineStr">
        <is>
          <t>Diarrhea &amp; Constipation</t>
        </is>
      </c>
      <c r="M19" s="35" t="inlineStr">
        <is>
          <t>Clinic</t>
        </is>
      </c>
      <c r="N19" s="34" t="inlineStr">
        <is>
          <t>ข้อ 17 Pharma Plus เล่มม่วง (เฉลยข้อ จ)</t>
        </is>
      </c>
      <c r="O19" s="35" t="inlineStr">
        <is>
          <t>Mock</t>
        </is>
      </c>
      <c r="P19" s="35" t="inlineStr">
        <is>
          <t>Pharma Plus เล่มม่วง</t>
        </is>
      </c>
    </row>
    <row r="20" ht="13.2" customHeight="1" s="49">
      <c r="A20" s="33" t="n">
        <v>18</v>
      </c>
      <c r="B20" s="34" t="inlineStr">
        <is>
          <t>ข้อใดไม่ใช่กลไกการออกฤทธิ์ของยาระบาย</t>
        </is>
      </c>
      <c r="C20" s="35" t="n"/>
      <c r="D20" s="34" t="inlineStr">
        <is>
          <t>ช่วยเหลือลื่นอุจจาระ</t>
        </is>
      </c>
      <c r="E20" s="34" t="inlineStr">
        <is>
          <t>ทำให้อุจจาระอ่อนนุ่ม</t>
        </is>
      </c>
      <c r="F20" s="34" t="inlineStr">
        <is>
          <t>เพิ่มแรงดันออสโมติกภายในลำไส้</t>
        </is>
      </c>
      <c r="G20" s="34" t="inlineStr">
        <is>
          <t>ทำให้อุจจาระจับตัวเป็นก้อน</t>
        </is>
      </c>
      <c r="H20" s="34" t="inlineStr">
        <is>
          <t>เพิ่มการเคลื่อนไหวของลำไส้เล็ก</t>
        </is>
      </c>
      <c r="I20" s="33" t="inlineStr">
        <is>
          <t>4</t>
        </is>
      </c>
      <c r="J20" s="34"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35" t="n"/>
      <c r="L20" s="34" t="inlineStr">
        <is>
          <t>GERD</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หากผู้ป่วยมีประวัติลำไส้อุดตัน ไม่ควรให้ยาตัวใด</t>
        </is>
      </c>
      <c r="C21" s="35" t="n"/>
      <c r="D21" s="34" t="inlineStr">
        <is>
          <t>Senna</t>
        </is>
      </c>
      <c r="E21" s="34" t="inlineStr">
        <is>
          <t>Castor oil</t>
        </is>
      </c>
      <c r="F21" s="34" t="inlineStr">
        <is>
          <t>Bisacodyl</t>
        </is>
      </c>
      <c r="G21" s="34" t="inlineStr">
        <is>
          <t>Lactulose</t>
        </is>
      </c>
      <c r="H21" s="34" t="inlineStr">
        <is>
          <t>Psyllium seed</t>
        </is>
      </c>
      <c r="I21" s="33" t="inlineStr">
        <is>
          <t>5</t>
        </is>
      </c>
      <c r="J21" s="34" t="inlineStr">
        <is>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is>
      </c>
      <c r="K21" s="35" t="n"/>
      <c r="L21" s="34" t="inlineStr">
        <is>
          <t>Diarrhea &amp; Constipation</t>
        </is>
      </c>
      <c r="M21" s="35" t="inlineStr">
        <is>
          <t>Clinic</t>
        </is>
      </c>
      <c r="N21" s="34" t="inlineStr">
        <is>
          <t>ข้อ 19 Pharma Plus เล่มม่วง (เฉลยข้อ จ)</t>
        </is>
      </c>
      <c r="O21" s="35" t="inlineStr">
        <is>
          <t>Mock</t>
        </is>
      </c>
      <c r="P21" s="35" t="inlineStr">
        <is>
          <t>Pharma Plus เล่มม่วง</t>
        </is>
      </c>
    </row>
    <row r="22" ht="13.2" customHeight="1" s="49">
      <c r="A22" s="33" t="n">
        <v>20</v>
      </c>
      <c r="B22" s="34" t="inlineStr">
        <is>
          <t>ข้อใดไม่ใช่คำแนะนำที่ถูกต้องในการใช้ยาเหน็บทวาร</t>
        </is>
      </c>
      <c r="C22" s="35" t="n"/>
      <c r="D22" s="34" t="inlineStr">
        <is>
          <t>ฉีกซองพลาสติกก่อนใช้</t>
        </is>
      </c>
      <c r="E22" s="34" t="inlineStr">
        <is>
          <t>เก็บยาไว้ในตู้เย็นช่องแช่แข็ง</t>
        </is>
      </c>
      <c r="F22" s="34" t="inlineStr">
        <is>
          <t>ล้างมือให้สะอาดก่อนเหน็บยา</t>
        </is>
      </c>
      <c r="G22" s="34" t="inlineStr">
        <is>
          <t>ไม่ต้องนำยาเหน็บออกจากร่างกายหลังจากเหน็บ</t>
        </is>
      </c>
      <c r="H22" s="34" t="inlineStr">
        <is>
          <t>เหน็บยาแล้วให้นอนพักอย่างน้อย 15 นาทีก่อนลุก</t>
        </is>
      </c>
      <c r="I22" s="33" t="inlineStr">
        <is>
          <t>2</t>
        </is>
      </c>
      <c r="J22" s="34"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35" t="n"/>
      <c r="L22" s="34" t="inlineStr">
        <is>
          <t>GERD</t>
        </is>
      </c>
      <c r="M22" s="35" t="inlineStr">
        <is>
          <t>Clinic</t>
        </is>
      </c>
      <c r="N22" s="34" t="inlineStr">
        <is>
          <t>ข้อ 20 Pharma Plus เล่มม่วง (เฉลยข้อ ข)</t>
        </is>
      </c>
      <c r="O22" s="35" t="inlineStr">
        <is>
          <t>Mock</t>
        </is>
      </c>
      <c r="P22" s="35" t="inlineStr">
        <is>
          <t>Pharma Plus เล่มม่วง</t>
        </is>
      </c>
    </row>
    <row r="23" ht="13.2" customHeight="1" s="49">
      <c r="A23" s="33" t="n">
        <v>21</v>
      </c>
      <c r="B23" s="34"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35" t="n"/>
      <c r="D23" s="34" t="inlineStr">
        <is>
          <t>ยาชนิดเม็ดส่วนใหญ่ต้องกลืนยาทั้งเม็ด ห้ามเคี้ยว</t>
        </is>
      </c>
      <c r="E23" s="34" t="inlineStr">
        <is>
          <t>ยาอาจทำให้ท้องเสีย เพราะมีตัวยาสำคัญคือ aluminium hydroxide</t>
        </is>
      </c>
      <c r="F23" s="34" t="inlineStr">
        <is>
          <t>ในผู้ป่วยที่เป็นโรคไตร่วมด้วย ควรให้ยาลดกรดที่มี Magnesium เป็นองค์ประกอบ</t>
        </is>
      </c>
      <c r="G23" s="34" t="inlineStr">
        <is>
          <t>ควรรับประทานยาก่อนอาหาร 1 ชม. และก่อนนอนเพื่อให้ยามีฤทธิ์อยู่ได้นาน</t>
        </is>
      </c>
      <c r="H23" s="34" t="inlineStr">
        <is>
          <t>ในผู้ป่วยที่มีอาการรุนแรงสามารถรับประทานได้ทุก 1 ชั่วโมง</t>
        </is>
      </c>
      <c r="I23" s="33" t="inlineStr">
        <is>
          <t>1</t>
        </is>
      </c>
      <c r="J23" s="34"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35" t="n"/>
      <c r="L23" s="34" t="inlineStr">
        <is>
          <t>Dyspepsia &amp; PUD</t>
        </is>
      </c>
      <c r="M23" s="35" t="inlineStr">
        <is>
          <t>Clinic</t>
        </is>
      </c>
      <c r="N23" s="34" t="inlineStr">
        <is>
          <t>ข้อ 21 Pharma Plus เล่มม่วง (เฉลยข้อ )</t>
        </is>
      </c>
      <c r="O23" s="35" t="inlineStr">
        <is>
          <t>Mock</t>
        </is>
      </c>
      <c r="P23" s="35" t="inlineStr">
        <is>
          <t>Pharma Plus เล่มม่วง</t>
        </is>
      </c>
    </row>
    <row r="24" ht="13.2" customHeight="1" s="49">
      <c r="A24" s="33" t="n">
        <v>22</v>
      </c>
      <c r="B24" s="34"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35" t="n"/>
      <c r="D24" s="34" t="inlineStr">
        <is>
          <t>โดยทั่วไประยะเวลาที่ใช้รักษา 8-12 สัปดาห์</t>
        </is>
      </c>
      <c r="E24" s="34" t="inlineStr">
        <is>
          <t>ระยะเวลาที่ใช้รักษา Duodenal ulcer ยาวกว่า gastric ulcer</t>
        </is>
      </c>
      <c r="F24" s="34" t="inlineStr">
        <is>
          <t>ยากลุ่มนี้สามารถยับยั้งการเจริญของเชื้อ H. pylori ได้</t>
        </is>
      </c>
      <c r="G24" s="34" t="inlineStr">
        <is>
          <t>สามารถให้ผู้ป่วยรับประทานยากลุ่มนี้ครั้งเดียวก่อนนอนได้</t>
        </is>
      </c>
      <c r="H24" s="34" t="inlineStr">
        <is>
          <t>ยาที่เป็น Prototype ของกลุ่มนี้เกิดปฏิกิริยากับยาน้อย</t>
        </is>
      </c>
      <c r="I24" s="33" t="inlineStr">
        <is>
          <t>1</t>
        </is>
      </c>
      <c r="J24" s="34"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35" t="n"/>
      <c r="L24" s="34" t="inlineStr">
        <is>
          <t>Dyspepsia &amp; PUD</t>
        </is>
      </c>
      <c r="M24" s="35" t="inlineStr">
        <is>
          <t>Clinic</t>
        </is>
      </c>
      <c r="N24" s="34" t="inlineStr">
        <is>
          <t>ข้อ 22 Pharma Plus เล่มม่วง (เฉลยข้อ ก ง)</t>
        </is>
      </c>
      <c r="O24" s="35" t="inlineStr">
        <is>
          <t>Mock</t>
        </is>
      </c>
      <c r="P24" s="35" t="inlineStr">
        <is>
          <t>Pharma Plus เล่มม่วง</t>
        </is>
      </c>
    </row>
    <row r="25" ht="13.2" customHeight="1" s="49">
      <c r="A25" s="33" t="n">
        <v>23</v>
      </c>
      <c r="B25" s="34" t="inlineStr">
        <is>
          <t>สารสำคัญของขมิ้นชันที่ออกฤทธิ์ในการกระตุ้นการหลั่ง</t>
        </is>
      </c>
      <c r="C25" s="35" t="n"/>
      <c r="D25" s="34" t="inlineStr">
        <is>
          <t>Lupeol</t>
        </is>
      </c>
      <c r="E25" s="34" t="inlineStr">
        <is>
          <t>Curcumin</t>
        </is>
      </c>
      <c r="F25" s="34" t="inlineStr">
        <is>
          <t>Stigmasterol</t>
        </is>
      </c>
      <c r="G25" s="34" t="inlineStr">
        <is>
          <t>Andrographolide</t>
        </is>
      </c>
      <c r="H25" s="34" t="inlineStr">
        <is>
          <t>Hydroxyanthracens</t>
        </is>
      </c>
      <c r="I25" s="33" t="inlineStr">
        <is>
          <t>2</t>
        </is>
      </c>
      <c r="J25" s="34"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35" t="n"/>
      <c r="L25" s="34" t="inlineStr">
        <is>
          <t>GERD</t>
        </is>
      </c>
      <c r="M25" s="35" t="inlineStr">
        <is>
          <t>Clinic</t>
        </is>
      </c>
      <c r="N25" s="34" t="inlineStr">
        <is>
          <t>ข้อ 23 Pharma Plus เล่มม่วง (เฉลยข้อ ข)</t>
        </is>
      </c>
      <c r="O25" s="35" t="inlineStr">
        <is>
          <t>Mock</t>
        </is>
      </c>
      <c r="P25" s="35" t="inlineStr">
        <is>
          <t>Pharma Plus เล่มม่วง</t>
        </is>
      </c>
    </row>
    <row r="26" ht="13.2" customHeight="1" s="49">
      <c r="A26" s="33" t="n">
        <v>24</v>
      </c>
      <c r="B26" s="34"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35" t="n"/>
      <c r="D26" s="34" t="inlineStr">
        <is>
          <t>ผงน้ำตาลเกลือแร่</t>
        </is>
      </c>
      <c r="E26" s="34" t="inlineStr">
        <is>
          <t>Norfloxacin</t>
        </is>
      </c>
      <c r="F26" s="34" t="inlineStr">
        <is>
          <t>Loperamide</t>
        </is>
      </c>
      <c r="G26" s="34" t="inlineStr">
        <is>
          <t>Chlortetracycline</t>
        </is>
      </c>
      <c r="H26" s="34" t="inlineStr">
        <is>
          <t>Furazolidine</t>
        </is>
      </c>
      <c r="I26" s="33" t="inlineStr">
        <is>
          <t>3</t>
        </is>
      </c>
      <c r="J26" s="34"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35" t="n"/>
      <c r="L26" s="34" t="inlineStr">
        <is>
          <t>Diarrhea &amp; Constipation</t>
        </is>
      </c>
      <c r="M26" s="35" t="inlineStr">
        <is>
          <t>Clinic</t>
        </is>
      </c>
      <c r="N26" s="34" t="inlineStr">
        <is>
          <t>ข้อ 24 Pharma Plus เล่มม่วง (เฉลยข้อ ค ง จ)</t>
        </is>
      </c>
      <c r="O26" s="35" t="inlineStr">
        <is>
          <t>Mock</t>
        </is>
      </c>
      <c r="P26" s="35" t="inlineStr">
        <is>
          <t>Pharma Plus เล่มม่วง</t>
        </is>
      </c>
    </row>
    <row r="27" ht="13.2" customHeight="1" s="49">
      <c r="A27" s="33" t="n">
        <v>25</v>
      </c>
      <c r="B27" s="34" t="inlineStr">
        <is>
          <t>ในผู้ใหญ่ คนปกติ ถ้าพบว่า ผู้ป่วยท้องเสียจากเชื้อ Salmonella จะให้ยาต้านจุลชีพในข้อใด</t>
        </is>
      </c>
      <c r="C27" s="35" t="n"/>
      <c r="D27" s="34" t="inlineStr">
        <is>
          <t>Norfloxacin</t>
        </is>
      </c>
      <c r="E27" s="34" t="inlineStr">
        <is>
          <t>Ofloxacin</t>
        </is>
      </c>
      <c r="F27" s="34" t="inlineStr">
        <is>
          <t>Chloramphenicol</t>
        </is>
      </c>
      <c r="G27" s="34" t="inlineStr">
        <is>
          <t>Furazolidine</t>
        </is>
      </c>
      <c r="H27" s="34" t="inlineStr">
        <is>
          <t>ไม่ต้องให้ยาต้านจุลชีพ</t>
        </is>
      </c>
      <c r="I27" s="33" t="inlineStr">
        <is>
          <t>1</t>
        </is>
      </c>
      <c r="J27" s="34" t="inlineStr">
        <is>
          <t>✅ คำตอบที่ถูกต้อง: ข้อ จ. ไม่ต้องให้ยาต้านจุลชีพ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แนวทางการรักษา Non-typhoidal Salmonella ในผู้ใหญ่ปกติ (ไม่มีไข้สูง, ไม่มีภาวะ bacteremia, ไม่มีภูมิคุ้มกันบกพร่อง) คือ Supportive care + ORS เท่านั้น การให้ Fluoroquinolone เช่น Norfloxacin อาจทำให้เชื้อดื้อยาและยืดระยะ carrier state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is>
      </c>
      <c r="K27" s="35" t="n"/>
      <c r="L27" s="34" t="inlineStr">
        <is>
          <t>Diarrhea &amp; Constipation</t>
        </is>
      </c>
      <c r="M27" s="35" t="inlineStr">
        <is>
          <t>Clinic</t>
        </is>
      </c>
      <c r="N27" s="34" t="inlineStr">
        <is>
          <t>ข้อ 25 Pharma Plus เล่มม่วง (เฉลยข้อ ก)</t>
        </is>
      </c>
      <c r="O27" s="35" t="inlineStr">
        <is>
          <t>Mock</t>
        </is>
      </c>
      <c r="P27" s="35" t="inlineStr">
        <is>
          <t>Pharma Plus เล่มม่วง</t>
        </is>
      </c>
    </row>
    <row r="28" ht="13.2" customHeight="1" s="49">
      <c r="A28" s="33" t="n">
        <v>26</v>
      </c>
      <c r="B28" s="34"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35" t="n"/>
      <c r="D28" s="34" t="inlineStr">
        <is>
          <t>Nicotinic receptor, ปากแห้ง ตาพร่า ท้องผูก</t>
        </is>
      </c>
      <c r="E28" s="34" t="inlineStr">
        <is>
          <t>Muscarinic receptor, ปากแห้ง ตาพร่า ท้องผูก</t>
        </is>
      </c>
      <c r="F28" s="34" t="inlineStr">
        <is>
          <t>Beta-2 receptor, หลอดลมตีบ</t>
        </is>
      </c>
      <c r="G28" s="34" t="inlineStr">
        <is>
          <t>Beta-1 receptor, หลอดลมตีบ</t>
        </is>
      </c>
      <c r="H28" s="34" t="inlineStr">
        <is>
          <t>Alpha 1 receptor, ปากแห้ง ตาพร่า ท้องผูก</t>
        </is>
      </c>
      <c r="I28" s="33" t="inlineStr">
        <is>
          <t>2</t>
        </is>
      </c>
      <c r="J28" s="34" t="inlineStr">
        <is>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[NEED_REVIEW]
📌 จุดจำก่อนสอบ:
Hyoscine = Anticholinergic (Muscarinic blocker); side effects: ปากแห้ง ตาพร่า ท้องผูก ปัสสาวะลำบาก</t>
        </is>
      </c>
      <c r="K28" s="35" t="n"/>
      <c r="L28" s="34" t="inlineStr">
        <is>
          <t>Diarrhea &amp; Constipation</t>
        </is>
      </c>
      <c r="M28" s="35" t="inlineStr">
        <is>
          <t>Clinic</t>
        </is>
      </c>
      <c r="N28" s="34" t="inlineStr">
        <is>
          <t>ข้อ 26 Pharma Plus เล่มม่วง (เฉลยข้อ ข)</t>
        </is>
      </c>
      <c r="O28" s="35" t="inlineStr">
        <is>
          <t>Mock</t>
        </is>
      </c>
      <c r="P28" s="35" t="inlineStr">
        <is>
          <t>Pharma Plus เล่มม่วง</t>
        </is>
      </c>
    </row>
    <row r="29" ht="13.2" customHeight="1" s="49">
      <c r="A29" s="33" t="n">
        <v>27</v>
      </c>
      <c r="B29"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35" t="n"/>
      <c r="D29" s="34" t="inlineStr">
        <is>
          <t>พยาธิปากขอ</t>
        </is>
      </c>
      <c r="E29" s="34" t="inlineStr">
        <is>
          <t>พยาธิเส้นด้าย</t>
        </is>
      </c>
      <c r="F29" s="34" t="inlineStr">
        <is>
          <t>พยาธิไส้เดือน</t>
        </is>
      </c>
      <c r="G29" s="34" t="inlineStr">
        <is>
          <t>พยาธิใบไม้ในตับ</t>
        </is>
      </c>
      <c r="H29" s="34" t="inlineStr">
        <is>
          <t>พยาธิตัวตืด</t>
        </is>
      </c>
      <c r="I29" s="33" t="inlineStr">
        <is>
          <t>5</t>
        </is>
      </c>
      <c r="J29" s="34"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35" t="n"/>
      <c r="L29" s="34" t="inlineStr">
        <is>
          <t>GERD</t>
        </is>
      </c>
      <c r="M29" s="35" t="inlineStr">
        <is>
          <t>Clinic</t>
        </is>
      </c>
      <c r="N29" s="34" t="inlineStr">
        <is>
          <t>ข้อ 27 Pharma Plus เล่มม่วง (เฉลยข้อ จ)</t>
        </is>
      </c>
      <c r="O29" s="35" t="inlineStr">
        <is>
          <t>Mock</t>
        </is>
      </c>
      <c r="P29" s="35" t="inlineStr">
        <is>
          <t>Pharma Plus เล่มม่วง</t>
        </is>
      </c>
    </row>
    <row r="30" ht="13.2" customHeight="1" s="49">
      <c r="A30" s="33" t="n">
        <v>28</v>
      </c>
      <c r="B30"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35" t="n"/>
      <c r="D30" s="34" t="inlineStr">
        <is>
          <t>วัว</t>
        </is>
      </c>
      <c r="E30" s="34" t="inlineStr">
        <is>
          <t>หมู</t>
        </is>
      </c>
      <c r="F30" s="34" t="inlineStr">
        <is>
          <t>ปลา</t>
        </is>
      </c>
      <c r="G30" s="34" t="inlineStr">
        <is>
          <t>ไก่</t>
        </is>
      </c>
      <c r="H30" s="34" t="inlineStr">
        <is>
          <t>หนู</t>
        </is>
      </c>
      <c r="I30" s="33" t="inlineStr">
        <is>
          <t>2</t>
        </is>
      </c>
      <c r="J30" s="34"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35" t="n"/>
      <c r="L30" s="34" t="inlineStr">
        <is>
          <t>GERD</t>
        </is>
      </c>
      <c r="M30" s="35" t="inlineStr">
        <is>
          <t>Clinic</t>
        </is>
      </c>
      <c r="N30" s="34" t="inlineStr">
        <is>
          <t>ข้อ 28 Pharma Plus เล่มม่วง (เฉลยข้อ ข)</t>
        </is>
      </c>
      <c r="O30" s="35" t="inlineStr">
        <is>
          <t>Mock</t>
        </is>
      </c>
      <c r="P30" s="35" t="inlineStr">
        <is>
          <t>Pharma Plus เล่มม่วง</t>
        </is>
      </c>
    </row>
    <row r="31" ht="13.2" customHeight="1" s="49">
      <c r="A31" s="33" t="n">
        <v>29</v>
      </c>
      <c r="B31"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35" t="n"/>
      <c r="D31" s="34" t="inlineStr">
        <is>
          <t>1000 mg 1x3, 1 day</t>
        </is>
      </c>
      <c r="E31" s="34" t="inlineStr">
        <is>
          <t>1000 mg 1x3, 2 days</t>
        </is>
      </c>
      <c r="F31" s="34" t="inlineStr">
        <is>
          <t>600 mg 1x3, 14 days</t>
        </is>
      </c>
      <c r="G31" s="34" t="inlineStr">
        <is>
          <t>600 mg 2x1, 1 day</t>
        </is>
      </c>
      <c r="H31" s="34" t="inlineStr">
        <is>
          <t>600 mg 2x3, 1 day</t>
        </is>
      </c>
      <c r="I31" s="33" t="inlineStr">
        <is>
          <t>1</t>
        </is>
      </c>
      <c r="J31" s="34"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35" t="n"/>
      <c r="L31" s="34" t="inlineStr">
        <is>
          <t>GERD</t>
        </is>
      </c>
      <c r="M31" s="35" t="inlineStr">
        <is>
          <t>Clinic</t>
        </is>
      </c>
      <c r="N31" s="34" t="inlineStr">
        <is>
          <t>ข้อ 29 Pharma Plus เล่มม่วง (เฉลยข้อ )</t>
        </is>
      </c>
      <c r="O31" s="35" t="inlineStr">
        <is>
          <t>Mock</t>
        </is>
      </c>
      <c r="P31" s="35" t="inlineStr">
        <is>
          <t>Pharma Plus เล่มม่วง</t>
        </is>
      </c>
    </row>
    <row r="32" ht="13.2" customHeight="1" s="49">
      <c r="A32" s="33" t="n">
        <v>30</v>
      </c>
      <c r="B32" s="34" t="inlineStr">
        <is>
          <t>สมุนไพรใดที่อาจแนะนำในผู้ป่วยรายนี้ คือ</t>
        </is>
      </c>
      <c r="C32" s="35" t="n"/>
      <c r="D32" s="34" t="inlineStr">
        <is>
          <t>เมล็ดฟักทอง</t>
        </is>
      </c>
      <c r="E32" s="34" t="inlineStr">
        <is>
          <t>เมล็ดทานตะวัน</t>
        </is>
      </c>
      <c r="F32" s="34" t="inlineStr">
        <is>
          <t>เปลือกมังคุด</t>
        </is>
      </c>
      <c r="G32" s="34" t="inlineStr">
        <is>
          <t>เปลือกทับทิม</t>
        </is>
      </c>
      <c r="H32" s="34" t="inlineStr">
        <is>
          <t>เปลือกส้มโอ</t>
        </is>
      </c>
      <c r="I32" s="33" t="inlineStr">
        <is>
          <t>1</t>
        </is>
      </c>
      <c r="J32" s="34"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35" t="n"/>
      <c r="L32" s="34" t="inlineStr">
        <is>
          <t>GERD</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ข้อแนะนำการใช้ยาสำหรับผู้ป่วยให้นมบุตรคือข้อใด</t>
        </is>
      </c>
      <c r="C33" s="35" t="n"/>
      <c r="D33" s="34" t="inlineStr">
        <is>
          <t>สามารถใช้ได้เพราะไม่สามารถขับออกทางน้ำนม</t>
        </is>
      </c>
      <c r="E33" s="34" t="inlineStr">
        <is>
          <t>สามารถใช้ได้ไม่มีอาการข้างเคียงที่ร้ายแรง</t>
        </is>
      </c>
      <c r="F33" s="34" t="inlineStr">
        <is>
          <t>สามารถใช้ได้เพราะไม่เกิดเมตาบอไลต์ที่เป็นพิษ</t>
        </is>
      </c>
      <c r="G33" s="34" t="inlineStr">
        <is>
          <t>ไม่สามารถใช้ได้เพราะขับออกทางน้ำนม</t>
        </is>
      </c>
      <c r="H33" s="34" t="inlineStr">
        <is>
          <t>ไม่สามารถใช้ได้ขณะให้นมบุตร และหยุดใช้ยาอีก 2-3 วัน เพราะเมตาบอไลต์ช้า</t>
        </is>
      </c>
      <c r="I33" s="33" t="inlineStr">
        <is>
          <t>4</t>
        </is>
      </c>
      <c r="J33" s="34"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35" t="n"/>
      <c r="L33" s="34" t="inlineStr">
        <is>
          <t>GERD</t>
        </is>
      </c>
      <c r="M33" s="35" t="inlineStr">
        <is>
          <t>Clinic</t>
        </is>
      </c>
      <c r="N33" s="34" t="inlineStr">
        <is>
          <t>ข้อ 31 Pharma Plus เล่มม่วง (เฉลยข้อ ง)</t>
        </is>
      </c>
      <c r="O33" s="35" t="inlineStr">
        <is>
          <t>Mock</t>
        </is>
      </c>
      <c r="P33" s="35" t="inlineStr">
        <is>
          <t>Pharma Plus เล่มม่วง</t>
        </is>
      </c>
    </row>
    <row r="34" ht="13.2" customHeight="1" s="49">
      <c r="A34" s="33" t="n">
        <v>32</v>
      </c>
      <c r="B34" s="34"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35" t="n"/>
      <c r="D34" s="34" t="inlineStr">
        <is>
          <t>GERD</t>
        </is>
      </c>
      <c r="E34" s="34" t="inlineStr">
        <is>
          <t>GU</t>
        </is>
      </c>
      <c r="F34" s="34" t="inlineStr">
        <is>
          <t>DU</t>
        </is>
      </c>
      <c r="G34" s="34" t="inlineStr">
        <is>
          <t>Gastroparesis</t>
        </is>
      </c>
      <c r="H34" s="34" t="inlineStr">
        <is>
          <t>IBS</t>
        </is>
      </c>
      <c r="I34" s="33" t="inlineStr">
        <is>
          <t>1</t>
        </is>
      </c>
      <c r="J34" s="34"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35" t="n"/>
      <c r="L34" s="34" t="inlineStr">
        <is>
          <t>GERD</t>
        </is>
      </c>
      <c r="M34" s="35" t="inlineStr">
        <is>
          <t>Clinic</t>
        </is>
      </c>
      <c r="N34" s="34" t="inlineStr">
        <is>
          <t>ข้อ 32 Pharma Plus เล่มม่วง (เฉลยข้อ ก)</t>
        </is>
      </c>
      <c r="O34" s="35" t="inlineStr">
        <is>
          <t>Mock</t>
        </is>
      </c>
      <c r="P34" s="35" t="inlineStr">
        <is>
          <t>Pharma Plus เล่มม่วง</t>
        </is>
      </c>
    </row>
    <row r="35" ht="13.2" customHeight="1" s="49">
      <c r="A35" s="33" t="n">
        <v>33</v>
      </c>
      <c r="B35" s="34"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35" t="n"/>
      <c r="D35" s="34" t="inlineStr">
        <is>
          <t>Sucralfate 1 g bid</t>
        </is>
      </c>
      <c r="E35" s="34" t="inlineStr">
        <is>
          <t>Famotidine 10 mg OD</t>
        </is>
      </c>
      <c r="F35" s="34" t="inlineStr">
        <is>
          <t>Domperidone 10 mg tid</t>
        </is>
      </c>
      <c r="G35" s="34" t="inlineStr">
        <is>
          <t>Magnesium-aluminium hydroxide 30 ml</t>
        </is>
      </c>
      <c r="H35" s="34" t="inlineStr">
        <is>
          <t>Omeprazole 20 mg OD</t>
        </is>
      </c>
      <c r="I35" s="33" t="inlineStr">
        <is>
          <t>5</t>
        </is>
      </c>
      <c r="J35" s="34"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35" t="n"/>
      <c r="L35" s="34" t="inlineStr">
        <is>
          <t>GERD</t>
        </is>
      </c>
      <c r="M35" s="35" t="inlineStr">
        <is>
          <t>Clinic</t>
        </is>
      </c>
      <c r="N35" s="34" t="inlineStr">
        <is>
          <t>ข้อ 33 Pharma Plus เล่มม่วง (เฉลยข้อ จ)</t>
        </is>
      </c>
      <c r="O35" s="35" t="inlineStr">
        <is>
          <t>Mock</t>
        </is>
      </c>
      <c r="P35" s="35" t="inlineStr">
        <is>
          <t>Pharma Plus เล่มม่วง</t>
        </is>
      </c>
    </row>
    <row r="36" ht="13.2" customHeight="1" s="49">
      <c r="A36" s="33" t="n">
        <v>34</v>
      </c>
      <c r="B36" s="34" t="inlineStr">
        <is>
          <t>Domperidone ออกฤทธิ์ผ่าน receptor ใด</t>
        </is>
      </c>
      <c r="C36" s="35" t="n"/>
      <c r="D36" s="34" t="inlineStr">
        <is>
          <t>D2 receptor</t>
        </is>
      </c>
      <c r="E36" s="34" t="inlineStr">
        <is>
          <t>M3 muscarinic receptor</t>
        </is>
      </c>
      <c r="F36" s="34" t="inlineStr">
        <is>
          <t>5-HT3 receptor</t>
        </is>
      </c>
      <c r="G36" s="34" t="inlineStr">
        <is>
          <t>5-HT4 receptor</t>
        </is>
      </c>
      <c r="H36" s="34" t="inlineStr">
        <is>
          <t>Alpha-1 adrenergic receptor</t>
        </is>
      </c>
      <c r="I36" s="33" t="inlineStr">
        <is>
          <t>1</t>
        </is>
      </c>
      <c r="J36" s="34" t="inlineStr">
        <is>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[NEED_REVIEW]
📌 จุดจำก่อนสอบ:
Domperidone = D2 antagonist; ผ่าน BBB น้อย; side effects: QT prolongation, Hyperprolactinemia</t>
        </is>
      </c>
      <c r="K36" s="35" t="n"/>
      <c r="L36" s="34" t="inlineStr">
        <is>
          <t>Nausea and vomiting</t>
        </is>
      </c>
      <c r="M36" s="35" t="inlineStr">
        <is>
          <t>Clinic</t>
        </is>
      </c>
      <c r="N36" s="34" t="inlineStr">
        <is>
          <t>ข้อ 34 Pharma Plus เล่มม่วง (เฉลยข้อ ก)</t>
        </is>
      </c>
      <c r="O36" s="35" t="inlineStr">
        <is>
          <t>Mock</t>
        </is>
      </c>
      <c r="P36" s="35" t="inlineStr">
        <is>
          <t>Pharma Plus เล่มม่วง</t>
        </is>
      </c>
    </row>
    <row r="37" ht="13.2" customHeight="1" s="49">
      <c r="A37" s="33" t="n">
        <v>35</v>
      </c>
      <c r="B37" s="34" t="inlineStr">
        <is>
          <t>ยาใดห้ามบดในสายยาง</t>
        </is>
      </c>
      <c r="C37" s="35" t="n"/>
      <c r="D37" s="34" t="inlineStr">
        <is>
          <t>HCTZ</t>
        </is>
      </c>
      <c r="E37" s="34" t="inlineStr">
        <is>
          <t>Famotidine</t>
        </is>
      </c>
      <c r="F37" s="34" t="inlineStr">
        <is>
          <t>Domperidone</t>
        </is>
      </c>
      <c r="G37" s="34" t="inlineStr">
        <is>
          <t>Al3+ + Mg2+</t>
        </is>
      </c>
      <c r="H37" s="34" t="inlineStr">
        <is>
          <t>Omeprazole</t>
        </is>
      </c>
      <c r="I37" s="33" t="inlineStr">
        <is>
          <t>5</t>
        </is>
      </c>
      <c r="J37" s="34"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35" t="n"/>
      <c r="L37" s="34" t="inlineStr">
        <is>
          <t>GERD</t>
        </is>
      </c>
      <c r="M37" s="35" t="inlineStr">
        <is>
          <t>Clinic</t>
        </is>
      </c>
      <c r="N37" s="34" t="inlineStr">
        <is>
          <t>ข้อ 35 Pharma Plus เล่มม่วง (เฉลยข้อ จ)</t>
        </is>
      </c>
      <c r="O37" s="35" t="inlineStr">
        <is>
          <t>Mock</t>
        </is>
      </c>
      <c r="P37" s="35" t="inlineStr">
        <is>
          <t>Pharma Plus เล่มม่วง</t>
        </is>
      </c>
    </row>
    <row r="38" ht="13.2" customHeight="1" s="49">
      <c r="A38" s="33" t="n">
        <v>36</v>
      </c>
      <c r="B38" s="34" t="inlineStr">
        <is>
          <t>ยาใดที่เป็นยาสามัญประจำบ้าน</t>
        </is>
      </c>
      <c r="C38" s="35" t="n"/>
      <c r="D38" s="34" t="inlineStr">
        <is>
          <t>HCTZ</t>
        </is>
      </c>
      <c r="E38" s="34" t="inlineStr">
        <is>
          <t>Famotidine</t>
        </is>
      </c>
      <c r="F38" s="34" t="inlineStr">
        <is>
          <t>Domperidone</t>
        </is>
      </c>
      <c r="G38" s="34" t="inlineStr">
        <is>
          <t>Al3+ + Mg2+ (alum milk)</t>
        </is>
      </c>
      <c r="H38" s="34" t="inlineStr">
        <is>
          <t>Cimetidine</t>
        </is>
      </c>
      <c r="I38" s="33" t="inlineStr">
        <is>
          <t>4</t>
        </is>
      </c>
      <c r="J38" s="34"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35" t="n"/>
      <c r="L38" s="34" t="inlineStr">
        <is>
          <t>GERD</t>
        </is>
      </c>
      <c r="M38" s="35" t="inlineStr">
        <is>
          <t>Clinic</t>
        </is>
      </c>
      <c r="N38" s="34" t="inlineStr">
        <is>
          <t>ข้อ 36 Pharma Plus เล่มม่วง (เฉลยข้อ ง)</t>
        </is>
      </c>
      <c r="O38" s="35" t="inlineStr">
        <is>
          <t>Mock</t>
        </is>
      </c>
      <c r="P38" s="35" t="inlineStr">
        <is>
          <t>Pharma Plus เล่มม่วง</t>
        </is>
      </c>
    </row>
    <row r="39" ht="13.2" customHeight="1" s="49">
      <c r="A39" s="33" t="n">
        <v>37</v>
      </c>
      <c r="B39" s="34" t="inlineStr">
        <is>
          <t>ยาใดต่อไปนี้ไม่ได้อยู่ใน regimen ในการรักษา H. pylori</t>
        </is>
      </c>
      <c r="C39" s="35" t="n"/>
      <c r="D39" s="34" t="inlineStr">
        <is>
          <t>Tetracycline</t>
        </is>
      </c>
      <c r="E39" s="34" t="inlineStr">
        <is>
          <t>Ranitidine</t>
        </is>
      </c>
      <c r="F39" s="34" t="inlineStr">
        <is>
          <t>Metronidazole</t>
        </is>
      </c>
      <c r="G39" s="34" t="inlineStr">
        <is>
          <t>Erythromycin</t>
        </is>
      </c>
      <c r="H39" s="34" t="inlineStr">
        <is>
          <t>Lansoprazole</t>
        </is>
      </c>
      <c r="I39" s="33" t="inlineStr">
        <is>
          <t>4</t>
        </is>
      </c>
      <c r="J39" s="34"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35" t="n"/>
      <c r="L39" s="34" t="inlineStr">
        <is>
          <t>Dyspepsia &amp; PUD</t>
        </is>
      </c>
      <c r="M39" s="35" t="inlineStr">
        <is>
          <t>Clinic</t>
        </is>
      </c>
      <c r="N39" s="34" t="inlineStr">
        <is>
          <t>ข้อ 37 Pharma Plus เล่มม่วง (เฉลยข้อ ง)</t>
        </is>
      </c>
      <c r="O39" s="35" t="inlineStr">
        <is>
          <t>Mock</t>
        </is>
      </c>
      <c r="P39" s="35" t="inlineStr">
        <is>
          <t>Pharma Plus เล่มม่วง</t>
        </is>
      </c>
    </row>
    <row r="40" ht="13.2" customHeight="1" s="49">
      <c r="A40" s="33" t="n">
        <v>38</v>
      </c>
      <c r="B40" s="34"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35" t="n"/>
      <c r="D40" s="34" t="inlineStr">
        <is>
          <t>Omeprazole ลดการดูดซึม clopidogrel เนื่องจากดูดซึมได้ดีในสภาวะเป็นกรด</t>
        </is>
      </c>
      <c r="E40" s="34" t="inlineStr">
        <is>
          <t>Clopidogrel ลดการดูดซึม omeprazole</t>
        </is>
      </c>
      <c r="F40" s="34" t="inlineStr">
        <is>
          <t>Omeprazole ลดการดูดซึม clopidogrel เกิด toxic metabolite ที่ตับ</t>
        </is>
      </c>
      <c r="G40" s="34" t="inlineStr">
        <is>
          <t>Omeprazole เพิ่มการขับออกของ clopidogrel</t>
        </is>
      </c>
      <c r="H40" s="34" t="inlineStr">
        <is>
          <t>Omeprazole ทำให้ clopidogrel ไม่ถูกเปลี่ยนในรูปที่ออกฤทธิ์</t>
        </is>
      </c>
      <c r="I40" s="33" t="inlineStr">
        <is>
          <t>5</t>
        </is>
      </c>
      <c r="J40" s="34"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35" t="n"/>
      <c r="L40" s="34" t="inlineStr">
        <is>
          <t>GERD</t>
        </is>
      </c>
      <c r="M40" s="35" t="inlineStr">
        <is>
          <t>Clinic</t>
        </is>
      </c>
      <c r="N40" s="34" t="inlineStr">
        <is>
          <t>ข้อ 38 Pharma Plus เล่มม่วง (เฉลยข้อ จ)</t>
        </is>
      </c>
      <c r="O40" s="35" t="inlineStr">
        <is>
          <t>Mock</t>
        </is>
      </c>
      <c r="P40" s="35" t="inlineStr">
        <is>
          <t>Pharma Plus เล่มม่วง</t>
        </is>
      </c>
    </row>
    <row r="41" ht="13.2" customHeight="1" s="49">
      <c r="A41" s="33" t="n">
        <v>39</v>
      </c>
      <c r="B41" s="34"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35" t="n"/>
      <c r="D41" s="34" t="inlineStr">
        <is>
          <t>Erythromycin</t>
        </is>
      </c>
      <c r="E41" s="34" t="inlineStr">
        <is>
          <t>Ketoconazole</t>
        </is>
      </c>
      <c r="F41" s="34" t="inlineStr">
        <is>
          <t>Diazepam</t>
        </is>
      </c>
      <c r="G41" s="34" t="inlineStr">
        <is>
          <t>Warfarin</t>
        </is>
      </c>
      <c r="H41" s="34" t="inlineStr">
        <is>
          <t>Escitalopram</t>
        </is>
      </c>
      <c r="I41" s="33" t="inlineStr">
        <is>
          <t>2</t>
        </is>
      </c>
      <c r="J41" s="34"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35" t="n"/>
      <c r="L41" s="34" t="inlineStr">
        <is>
          <t>GERD</t>
        </is>
      </c>
      <c r="M41" s="35" t="inlineStr">
        <is>
          <t>Clinic</t>
        </is>
      </c>
      <c r="N41" s="34" t="inlineStr">
        <is>
          <t>ข้อ 39 Pharma Plus เล่มม่วง (เฉลยข้อ ข)</t>
        </is>
      </c>
      <c r="O41" s="35" t="inlineStr">
        <is>
          <t>Mock</t>
        </is>
      </c>
      <c r="P41" s="35" t="inlineStr">
        <is>
          <t>Pharma Plus เล่มม่วง</t>
        </is>
      </c>
    </row>
    <row r="42" ht="13.2" customHeight="1" s="49">
      <c r="A42" s="33" t="n">
        <v>40</v>
      </c>
      <c r="B42" s="34"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35" t="n"/>
      <c r="D42" s="34" t="inlineStr">
        <is>
          <t>แกะแคปซูลแล้วผสมกับน้ำเปล่า</t>
        </is>
      </c>
      <c r="E42" s="34" t="inlineStr">
        <is>
          <t>นมถั่วเหลือง</t>
        </is>
      </c>
      <c r="F42" s="34" t="inlineStr">
        <is>
          <t>ยาลดกรด</t>
        </is>
      </c>
      <c r="G42" s="34" t="inlineStr">
        <is>
          <t>น้ำส้ม</t>
        </is>
      </c>
      <c r="H42" s="34" t="inlineStr">
        <is>
          <t>น้ำหวาน</t>
        </is>
      </c>
      <c r="I42" s="33" t="inlineStr">
        <is>
          <t>3</t>
        </is>
      </c>
      <c r="J42" s="34"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35" t="n"/>
      <c r="L42" s="34" t="inlineStr">
        <is>
          <t>GERD</t>
        </is>
      </c>
      <c r="M42" s="35" t="inlineStr">
        <is>
          <t>Clinic</t>
        </is>
      </c>
      <c r="N42" s="34" t="inlineStr">
        <is>
          <t>ข้อ 40 Pharma Plus เล่มม่วง (เฉลยข้อ ค)</t>
        </is>
      </c>
      <c r="O42" s="35" t="inlineStr">
        <is>
          <t>Mock</t>
        </is>
      </c>
      <c r="P42" s="35" t="inlineStr">
        <is>
          <t>Pharma Plus เล่มม่วง</t>
        </is>
      </c>
    </row>
    <row r="43" ht="13.2" customHeight="1" s="49">
      <c r="A43" s="33" t="n">
        <v>41</v>
      </c>
      <c r="B43" s="34"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35" t="n"/>
      <c r="D43" s="34" t="inlineStr">
        <is>
          <t>พยาธิไส้เดือน (Ascariasis)</t>
        </is>
      </c>
      <c r="E43" s="34" t="inlineStr">
        <is>
          <t>พยาธิตัวตืด (Tape worm)</t>
        </is>
      </c>
      <c r="F43" s="34" t="inlineStr">
        <is>
          <t>พยาธิปากขอ (Hook worm)</t>
        </is>
      </c>
      <c r="G43" s="34" t="inlineStr">
        <is>
          <t>พยาธิเข็มหมุด (Enterobiasis or pinworm)</t>
        </is>
      </c>
      <c r="H43" s="34" t="inlineStr">
        <is>
          <t>พยาธิใบไม้ในตับ (Opisthorchis)</t>
        </is>
      </c>
      <c r="I43" s="33" t="inlineStr">
        <is>
          <t>4</t>
        </is>
      </c>
      <c r="J43" s="34"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35" t="n"/>
      <c r="L43" s="34" t="inlineStr">
        <is>
          <t>GERD</t>
        </is>
      </c>
      <c r="M43" s="35" t="inlineStr">
        <is>
          <t>Clinic</t>
        </is>
      </c>
      <c r="N43" s="34" t="inlineStr">
        <is>
          <t>ข้อ 41 Pharma Plus เล่มม่วง (เฉลยข้อ ง)</t>
        </is>
      </c>
      <c r="O43" s="35" t="inlineStr">
        <is>
          <t>Mock</t>
        </is>
      </c>
      <c r="P43" s="35" t="inlineStr">
        <is>
          <t>Pharma Plus เล่มม่วง</t>
        </is>
      </c>
    </row>
    <row r="44" ht="13.2" customHeight="1" s="49">
      <c r="A44" s="33" t="n">
        <v>42</v>
      </c>
      <c r="B44" s="34"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35" t="n"/>
      <c r="D44" s="34" t="inlineStr">
        <is>
          <t>Albendazole 400 mg ติดต่อกัน 3 วัน</t>
        </is>
      </c>
      <c r="E44" s="34" t="inlineStr">
        <is>
          <t>Mebendazole 100 mg ครั้งเดียว แล้วทานซ้ำในอีก 2 wk</t>
        </is>
      </c>
      <c r="F44" s="34" t="inlineStr">
        <is>
          <t>Niclosamide</t>
        </is>
      </c>
      <c r="G44" s="34" t="inlineStr">
        <is>
          <t>Pyrantel pamoate</t>
        </is>
      </c>
      <c r="H44" s="34" t="inlineStr">
        <is>
          <t>Praziquantel</t>
        </is>
      </c>
      <c r="I44" s="33" t="inlineStr">
        <is>
          <t>2</t>
        </is>
      </c>
      <c r="J44" s="34"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35" t="n"/>
      <c r="L44" s="34" t="inlineStr">
        <is>
          <t>GERD</t>
        </is>
      </c>
      <c r="M44" s="35" t="inlineStr">
        <is>
          <t>Clinic</t>
        </is>
      </c>
      <c r="N44" s="34" t="inlineStr">
        <is>
          <t>ข้อ 42 Pharma Plus เล่มม่วง (เฉลยข้อ ข)</t>
        </is>
      </c>
      <c r="O44" s="35" t="inlineStr">
        <is>
          <t>Mock</t>
        </is>
      </c>
      <c r="P44" s="35" t="inlineStr">
        <is>
          <t>Pharma Plus เล่มม่วง</t>
        </is>
      </c>
    </row>
    <row r="45" ht="13.2" customHeight="1" s="49">
      <c r="A45" s="33" t="n">
        <v>43</v>
      </c>
      <c r="B45" s="34" t="inlineStr">
        <is>
          <t>แม่ไปตรวจพบว่าตนเองมีเชื้อพยาธิตัวตืด ยาที่ใช้ในการรักษาแม่คือยาอะไร</t>
        </is>
      </c>
      <c r="C45" s="35" t="n"/>
      <c r="D45" s="34" t="inlineStr">
        <is>
          <t>Albendazole 400 mg ติดต่อกัน 3 วัน</t>
        </is>
      </c>
      <c r="E45" s="34" t="inlineStr">
        <is>
          <t>Niclosamide</t>
        </is>
      </c>
      <c r="F45" s="34" t="inlineStr">
        <is>
          <t>Mebendazole</t>
        </is>
      </c>
      <c r="G45" s="34" t="inlineStr">
        <is>
          <t>Pyrantel pamoate</t>
        </is>
      </c>
      <c r="H45" s="34" t="inlineStr">
        <is>
          <t>Praziquantel</t>
        </is>
      </c>
      <c r="I45" s="33" t="inlineStr">
        <is>
          <t>2</t>
        </is>
      </c>
      <c r="J45" s="34"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35" t="n"/>
      <c r="L45" s="34" t="inlineStr">
        <is>
          <t>GERD</t>
        </is>
      </c>
      <c r="M45" s="35" t="inlineStr">
        <is>
          <t>Clinic</t>
        </is>
      </c>
      <c r="N45" s="34" t="inlineStr">
        <is>
          <t>ข้อ 43 Pharma Plus เล่มม่วง (เฉลยข้อ ข)</t>
        </is>
      </c>
      <c r="O45" s="35" t="inlineStr">
        <is>
          <t>Mock</t>
        </is>
      </c>
      <c r="P45" s="35" t="inlineStr">
        <is>
          <t>Pharma Plus เล่มม่วง</t>
        </is>
      </c>
    </row>
    <row r="46" ht="13.2" customHeight="1" s="49">
      <c r="A46" s="33" t="n">
        <v>44</v>
      </c>
      <c r="B46" s="34" t="inlineStr">
        <is>
          <t>ข้อใดเป็นกลไกการออกฤทธิ์ของยา mebendazole</t>
        </is>
      </c>
      <c r="C46" s="35" t="n"/>
      <c r="D46" s="34" t="inlineStr">
        <is>
          <t>มีผลทำให้พยาธิเกิด paralysis</t>
        </is>
      </c>
      <c r="E46" s="34" t="inlineStr">
        <is>
          <t>Inhibit oxidative phosphorylation glucose</t>
        </is>
      </c>
      <c r="F46" s="34" t="inlineStr">
        <is>
          <t>ขัดขวางการนำ glucose มาใช้ของพยาธิ (block glucose reuptake)</t>
        </is>
      </c>
      <c r="G46" s="34" t="inlineStr">
        <is>
          <t>ทำให้พยาธิเกาะอยู่ผนังลำไส้หลุดออก</t>
        </is>
      </c>
      <c r="H46" s="34" t="inlineStr">
        <is>
          <t>ไม่มีข้อถูก</t>
        </is>
      </c>
      <c r="I46" s="33" t="inlineStr">
        <is>
          <t>3</t>
        </is>
      </c>
      <c r="J46" s="34"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35" t="n"/>
      <c r="L46" s="34" t="inlineStr">
        <is>
          <t>GERD</t>
        </is>
      </c>
      <c r="M46" s="35" t="inlineStr">
        <is>
          <t>Clinic</t>
        </is>
      </c>
      <c r="N46" s="34" t="inlineStr">
        <is>
          <t>ข้อ 44 Pharma Plus เล่มม่วง (เฉลยข้อ ค)</t>
        </is>
      </c>
      <c r="O46" s="35" t="inlineStr">
        <is>
          <t>Mock</t>
        </is>
      </c>
      <c r="P46" s="35" t="inlineStr">
        <is>
          <t>Pharma Plus เล่มม่วง</t>
        </is>
      </c>
    </row>
    <row r="47" ht="13.2" customHeight="1" s="49">
      <c r="A47" s="33" t="n">
        <v>45</v>
      </c>
      <c r="B47" s="34" t="inlineStr">
        <is>
          <t>ข้อใดคือคำแนะนำของการใช้ยา albendazole</t>
        </is>
      </c>
      <c r="C47" s="35" t="n"/>
      <c r="D47" s="34" t="inlineStr">
        <is>
          <t>เคี้ยวให้ละเอียดก่อนกลืน</t>
        </is>
      </c>
      <c r="E47" s="34" t="inlineStr">
        <is>
          <t>ห้ามทานร่วมกับยาลดกรด</t>
        </is>
      </c>
      <c r="F47" s="34" t="inlineStr">
        <is>
          <t>ห้ามทานร่วมกับ alcohol</t>
        </is>
      </c>
      <c r="G47" s="34" t="inlineStr">
        <is>
          <t>รับประทานยาถ่ายตามทุกครั้ง</t>
        </is>
      </c>
      <c r="H47" s="34" t="inlineStr">
        <is>
          <t>กินซ้ำทุกเดือนเพื่อป้องกัน</t>
        </is>
      </c>
      <c r="I47" s="33" t="inlineStr">
        <is>
          <t>1</t>
        </is>
      </c>
      <c r="J47" s="34"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35" t="n"/>
      <c r="L47" s="34" t="inlineStr">
        <is>
          <t>GERD</t>
        </is>
      </c>
      <c r="M47" s="35" t="inlineStr">
        <is>
          <t>Clinic</t>
        </is>
      </c>
      <c r="N47" s="34" t="inlineStr">
        <is>
          <t>ข้อ 45 Pharma Plus เล่มม่วง (เฉลยข้อ ก)</t>
        </is>
      </c>
      <c r="O47" s="35" t="inlineStr">
        <is>
          <t>Mock</t>
        </is>
      </c>
      <c r="P47" s="35" t="inlineStr">
        <is>
          <t>Pharma Plus เล่มม่วง</t>
        </is>
      </c>
    </row>
    <row r="48" ht="13.2" customHeight="1" s="49">
      <c r="A48" s="33" t="n">
        <v>46</v>
      </c>
      <c r="B48" s="34" t="inlineStr">
        <is>
          <t>สมุนไพรใดที่มีอยู่ในตำรับยาเตรียมแผนไทยที่มีผลการศึกษาว่ามีฤทธิ์ต้านพยาธิ</t>
        </is>
      </c>
      <c r="C48" s="35" t="n"/>
      <c r="D48" s="34" t="inlineStr">
        <is>
          <t>ฟักทอง ขี้เหล็ก</t>
        </is>
      </c>
      <c r="E48" s="34" t="inlineStr">
        <is>
          <t>มะเกลือ, ฟักทอง</t>
        </is>
      </c>
      <c r="F48" s="34" t="inlineStr">
        <is>
          <t>มะเกลือ, กานพลู</t>
        </is>
      </c>
      <c r="G48" s="34" t="inlineStr">
        <is>
          <t>มะม่วง, เปล้าน้อย</t>
        </is>
      </c>
      <c r="H48" s="34" t="inlineStr">
        <is>
          <t>กะเพรา, หอมแดง</t>
        </is>
      </c>
      <c r="I48" s="33" t="inlineStr">
        <is>
          <t>2</t>
        </is>
      </c>
      <c r="J48" s="34"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35" t="n"/>
      <c r="L48" s="34" t="inlineStr">
        <is>
          <t>GERD</t>
        </is>
      </c>
      <c r="M48" s="35" t="inlineStr">
        <is>
          <t>Clinic</t>
        </is>
      </c>
      <c r="N48" s="34" t="inlineStr">
        <is>
          <t>ข้อ 46 Pharma Plus เล่มม่วง (เฉลยข้อ ข)</t>
        </is>
      </c>
      <c r="O48" s="35" t="inlineStr">
        <is>
          <t>Mock</t>
        </is>
      </c>
      <c r="P48" s="35" t="inlineStr">
        <is>
          <t>Pharma Plus เล่มม่วง</t>
        </is>
      </c>
    </row>
    <row r="49" ht="13.2" customHeight="1" s="49">
      <c r="A49" s="33" t="n">
        <v>47</v>
      </c>
      <c r="B49" s="34" t="inlineStr">
        <is>
          <t>หญิงตั้งครรภ์เป็นพยาธิตืดสามารถใช้ยาอะไรได้</t>
        </is>
      </c>
      <c r="C49" s="35" t="n"/>
      <c r="D49" s="34" t="inlineStr">
        <is>
          <t>Albendazole</t>
        </is>
      </c>
      <c r="E49" s="34" t="inlineStr">
        <is>
          <t>Mebendazole</t>
        </is>
      </c>
      <c r="F49" s="34" t="inlineStr">
        <is>
          <t>Niclosamide</t>
        </is>
      </c>
      <c r="G49" s="34" t="inlineStr">
        <is>
          <t>Praziquantel</t>
        </is>
      </c>
      <c r="H49" s="34" t="inlineStr">
        <is>
          <t>Pyrantel pamoate</t>
        </is>
      </c>
      <c r="I49" s="33" t="inlineStr">
        <is>
          <t>3</t>
        </is>
      </c>
      <c r="J49" s="34"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35" t="n"/>
      <c r="L49" s="34" t="inlineStr">
        <is>
          <t>GERD</t>
        </is>
      </c>
      <c r="M49" s="35" t="inlineStr">
        <is>
          <t>Clinic</t>
        </is>
      </c>
      <c r="N49" s="34" t="inlineStr">
        <is>
          <t>ข้อ 47 Pharma Plus เล่มม่วง (เฉลยข้อ ค)</t>
        </is>
      </c>
      <c r="O49" s="35" t="inlineStr">
        <is>
          <t>Mock</t>
        </is>
      </c>
      <c r="P49" s="35" t="inlineStr">
        <is>
          <t>Pharma Plus เล่มม่วง</t>
        </is>
      </c>
    </row>
    <row r="50" ht="13.2" customHeight="1" s="49">
      <c r="A50" s="33" t="n">
        <v>48</v>
      </c>
      <c r="B50" s="34"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35" t="n"/>
      <c r="D50" s="34" t="inlineStr">
        <is>
          <t>ORS</t>
        </is>
      </c>
      <c r="E50" s="34" t="inlineStr">
        <is>
          <t>Diphenoxylate + atropine</t>
        </is>
      </c>
      <c r="F50" s="34" t="inlineStr">
        <is>
          <t>Hyoscine</t>
        </is>
      </c>
      <c r="G50" s="34" t="inlineStr">
        <is>
          <t>Loperamide</t>
        </is>
      </c>
      <c r="H50" s="34" t="inlineStr">
        <is>
          <t>Norfloxacin</t>
        </is>
      </c>
      <c r="I50" s="33" t="inlineStr">
        <is>
          <t>1</t>
        </is>
      </c>
      <c r="J50" s="34" t="inlineStr">
        <is>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is>
      </c>
      <c r="K50" s="35" t="n"/>
      <c r="L50" s="34" t="inlineStr">
        <is>
          <t>Diarrhea &amp; Constipation</t>
        </is>
      </c>
      <c r="M50" s="35" t="inlineStr">
        <is>
          <t>Clinic</t>
        </is>
      </c>
      <c r="N50" s="34" t="inlineStr">
        <is>
          <t>ข้อ 48 Pharma Plus เล่มม่วง (เฉลยข้อ ก)</t>
        </is>
      </c>
      <c r="O50" s="35" t="inlineStr">
        <is>
          <t>Mock</t>
        </is>
      </c>
      <c r="P50" s="35" t="inlineStr">
        <is>
          <t>Pharma Plus เล่มม่วง</t>
        </is>
      </c>
    </row>
    <row r="51" ht="13.2" customHeight="1" s="49">
      <c r="A51" s="33" t="n">
        <v>49</v>
      </c>
      <c r="B51" s="34" t="inlineStr">
        <is>
          <t>ยาสมุนไพรตามสาธารณสุขมูลฐาน ข้อใดควรเลือกใช้</t>
        </is>
      </c>
      <c r="C51" s="35" t="n"/>
      <c r="D51" s="34" t="inlineStr">
        <is>
          <t>กล้วยน้ำว้าสุก</t>
        </is>
      </c>
      <c r="E51" s="34" t="inlineStr">
        <is>
          <t>เนื้อมังคุด</t>
        </is>
      </c>
      <c r="F51" s="34" t="inlineStr">
        <is>
          <t>เมล็ดทับทิม</t>
        </is>
      </c>
      <c r="G51" s="34" t="inlineStr">
        <is>
          <t>ผลฝรั่งดิบ</t>
        </is>
      </c>
      <c r="H51" s="34" t="inlineStr">
        <is>
          <t>ใบตับเต่าเสียด</t>
        </is>
      </c>
      <c r="I51" s="33" t="inlineStr">
        <is>
          <t>4</t>
        </is>
      </c>
      <c r="J51" s="34" t="inlineStr">
        <is>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is>
      </c>
      <c r="K51" s="35" t="n"/>
      <c r="L51" s="34" t="inlineStr">
        <is>
          <t>Diarrhea &amp; Constipation</t>
        </is>
      </c>
      <c r="M51" s="35" t="inlineStr">
        <is>
          <t>Clinic</t>
        </is>
      </c>
      <c r="N51" s="34" t="inlineStr">
        <is>
          <t>ข้อ 49 Pharma Plus เล่มม่วง (เฉลยข้อ ง)</t>
        </is>
      </c>
      <c r="O51" s="35" t="inlineStr">
        <is>
          <t>Mock</t>
        </is>
      </c>
      <c r="P51" s="35" t="inlineStr">
        <is>
          <t>Pharma Plus เล่มม่วง</t>
        </is>
      </c>
    </row>
    <row r="52" ht="13.2" customHeight="1" s="49">
      <c r="A52" s="33" t="n">
        <v>50</v>
      </c>
      <c r="B52" s="34" t="inlineStr">
        <is>
          <t>ยาใดที่ไม่ควรจ่ายในผู้ป่วยรายนี้</t>
        </is>
      </c>
      <c r="C52" s="35" t="n"/>
      <c r="D52" s="34" t="inlineStr">
        <is>
          <t>Activated charcoal</t>
        </is>
      </c>
      <c r="E52" s="34" t="inlineStr">
        <is>
          <t>Loperamide</t>
        </is>
      </c>
      <c r="F52" s="34" t="inlineStr">
        <is>
          <t>Norfloxacin</t>
        </is>
      </c>
      <c r="G52" s="34" t="inlineStr">
        <is>
          <t>Cotrimoxazole</t>
        </is>
      </c>
      <c r="H52" s="34" t="inlineStr">
        <is>
          <t>ORS</t>
        </is>
      </c>
      <c r="I52" s="33" t="inlineStr">
        <is>
          <t>3</t>
        </is>
      </c>
      <c r="J52" s="34"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35" t="n"/>
      <c r="L52" s="34" t="inlineStr">
        <is>
          <t>GERD</t>
        </is>
      </c>
      <c r="M52" s="35" t="inlineStr">
        <is>
          <t>Clinic</t>
        </is>
      </c>
      <c r="N52" s="34" t="inlineStr">
        <is>
          <t>ข้อ 50 Pharma Plus เล่มม่วง (เฉลยข้อ ค)</t>
        </is>
      </c>
      <c r="O52" s="35" t="inlineStr">
        <is>
          <t>Mock</t>
        </is>
      </c>
      <c r="P52" s="35" t="inlineStr">
        <is>
          <t>Pharma Plus เล่มม่วง</t>
        </is>
      </c>
    </row>
    <row r="53" ht="13.2" customHeight="1" s="49">
      <c r="A53" s="33" t="n">
        <v>51</v>
      </c>
      <c r="B53" s="34" t="inlineStr">
        <is>
          <t>ข้อใดเป็นคำแนะนำการปฏิบัติในการใช้ activated charcoal</t>
        </is>
      </c>
      <c r="C53" s="35" t="n"/>
      <c r="D53" s="34" t="inlineStr">
        <is>
          <t>รับประทานก่อนอาหารครึ่งชั่วโมง</t>
        </is>
      </c>
      <c r="E53" s="34" t="inlineStr">
        <is>
          <t>รับประทานวันละ 3 เม็ด วันละ 3 ครั้ง</t>
        </is>
      </c>
      <c r="F53" s="34" t="inlineStr">
        <is>
          <t>รับประทานหลังอาหาร 2 ชั่วโมง</t>
        </is>
      </c>
      <c r="G53" s="34" t="inlineStr">
        <is>
          <t>รับประทานยาต่อเนื่องจนหมด</t>
        </is>
      </c>
      <c r="H53" s="34" t="inlineStr">
        <is>
          <t>รับประทานร่วมกับยาฆ่าเชื้อได้</t>
        </is>
      </c>
      <c r="I53" s="33" t="inlineStr">
        <is>
          <t>2</t>
        </is>
      </c>
      <c r="J53" s="34"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35" t="n"/>
      <c r="L53" s="34" t="inlineStr">
        <is>
          <t>GERD</t>
        </is>
      </c>
      <c r="M53" s="35" t="inlineStr">
        <is>
          <t>Clinic</t>
        </is>
      </c>
      <c r="N53" s="34" t="inlineStr">
        <is>
          <t>ข้อ 51 Pharma Plus เล่มม่วง (เฉลยข้อ ข)</t>
        </is>
      </c>
      <c r="O53" s="35" t="inlineStr">
        <is>
          <t>Mock</t>
        </is>
      </c>
      <c r="P53" s="35" t="inlineStr">
        <is>
          <t>Pharma Plus เล่มม่วง</t>
        </is>
      </c>
    </row>
    <row r="54" ht="13.2" customHeight="1" s="49">
      <c r="A54" s="33" t="n">
        <v>52</v>
      </c>
      <c r="B54" s="34" t="inlineStr">
        <is>
          <t>ข้อใดคือกลไกการออกฤทธิ์ของยา norfloxacin</t>
        </is>
      </c>
      <c r="C54" s="35" t="n"/>
      <c r="D54" s="34" t="inlineStr">
        <is>
          <t>ยับยั้งการสร้างเอนไซม์ topoisomerase</t>
        </is>
      </c>
      <c r="E54" s="34" t="inlineStr">
        <is>
          <t>ยับยั้งการสร้างเอนไซม์ dihydrofolate synthase</t>
        </is>
      </c>
      <c r="F54" s="34" t="inlineStr">
        <is>
          <t>ยับยั้งการสร้าง nucleic acid</t>
        </is>
      </c>
      <c r="G54" s="34" t="inlineStr">
        <is>
          <t>ยับยั้งการสร้าง cell wall</t>
        </is>
      </c>
      <c r="H54" s="34" t="inlineStr">
        <is>
          <t>ยับยั้งการสร้าง cell membrane</t>
        </is>
      </c>
      <c r="I54" s="33" t="inlineStr">
        <is>
          <t>1</t>
        </is>
      </c>
      <c r="J54" s="34"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35" t="n"/>
      <c r="L54" s="34" t="inlineStr">
        <is>
          <t>GERD</t>
        </is>
      </c>
      <c r="M54" s="35" t="inlineStr">
        <is>
          <t>Clinic</t>
        </is>
      </c>
      <c r="N54" s="34" t="inlineStr">
        <is>
          <t>ข้อ 52 Pharma Plus เล่มม่วง (เฉลยข้อ ก)</t>
        </is>
      </c>
      <c r="O54" s="35" t="inlineStr">
        <is>
          <t>Mock</t>
        </is>
      </c>
      <c r="P54" s="35" t="inlineStr">
        <is>
          <t>Pharma Plus เล่มม่วง</t>
        </is>
      </c>
    </row>
    <row r="55" ht="13.2" customHeight="1" s="49">
      <c r="A55" s="33" t="n">
        <v>53</v>
      </c>
      <c r="B55" s="34"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35" t="n"/>
      <c r="D55" s="34" t="inlineStr">
        <is>
          <t>เปลี่ยน omeprazole เป็น ranitidine</t>
        </is>
      </c>
      <c r="E55" s="34" t="inlineStr">
        <is>
          <t>เปลี่ยน omeprazole เป็น pantoprazole</t>
        </is>
      </c>
      <c r="F55" s="34" t="inlineStr">
        <is>
          <t>เปลี่ยน ketoconazole เป็น itraconazole</t>
        </is>
      </c>
      <c r="G55" s="34" t="inlineStr">
        <is>
          <t>เปลี่ยน ketoconazole เป็น fluconazole</t>
        </is>
      </c>
      <c r="H55" s="34" t="inlineStr">
        <is>
          <t>ให้รับประทาน omeprazole ตอนเช้า และ ketoconazole ตอนเย็น</t>
        </is>
      </c>
      <c r="I55" s="33" t="inlineStr">
        <is>
          <t>4</t>
        </is>
      </c>
      <c r="J55" s="34"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35" t="n"/>
      <c r="L55" s="34" t="inlineStr">
        <is>
          <t>GERD</t>
        </is>
      </c>
      <c r="M55" s="35" t="inlineStr">
        <is>
          <t>Clinic</t>
        </is>
      </c>
      <c r="N55" s="34" t="inlineStr">
        <is>
          <t>ข้อ 53 Pharma Plus เล่มม่วง (เฉลยข้อ ง)</t>
        </is>
      </c>
      <c r="O55" s="35" t="inlineStr">
        <is>
          <t>Mock</t>
        </is>
      </c>
      <c r="P55" s="35" t="inlineStr">
        <is>
          <t>Pharma Plus เล่มม่วง</t>
        </is>
      </c>
    </row>
    <row r="56" ht="13.2" customHeight="1" s="49">
      <c r="A56" s="33" t="n">
        <v>54</v>
      </c>
      <c r="B56" s="34" t="inlineStr">
        <is>
          <t>Omeprazole ใช้ยาอย่างไรจึงจะเหมาะสม</t>
        </is>
      </c>
      <c r="C56" s="35" t="n"/>
      <c r="D56" s="34" t="inlineStr">
        <is>
          <t>เวลาไหนก็ได้</t>
        </is>
      </c>
      <c r="E56" s="34" t="inlineStr">
        <is>
          <t>ก่อนอาหาร 1 ชั่วโมง</t>
        </is>
      </c>
      <c r="F56" s="34" t="inlineStr">
        <is>
          <t>หลังอาหารทันที</t>
        </is>
      </c>
      <c r="G56" s="34" t="inlineStr">
        <is>
          <t>หลังอาหาร 1 ชั่วโมง</t>
        </is>
      </c>
      <c r="H56" s="34" t="inlineStr">
        <is>
          <t>ก่อนนอน</t>
        </is>
      </c>
      <c r="I56" s="33" t="inlineStr">
        <is>
          <t>2</t>
        </is>
      </c>
      <c r="J56" s="34"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35" t="n"/>
      <c r="L56" s="34" t="inlineStr">
        <is>
          <t>GERD</t>
        </is>
      </c>
      <c r="M56" s="35" t="inlineStr">
        <is>
          <t>Clinic</t>
        </is>
      </c>
      <c r="N56" s="34" t="inlineStr">
        <is>
          <t>ข้อ 54 Pharma Plus เล่มม่วง (เฉลยข้อ ข)</t>
        </is>
      </c>
      <c r="O56" s="35" t="inlineStr">
        <is>
          <t>Mock</t>
        </is>
      </c>
      <c r="P56" s="35" t="inlineStr">
        <is>
          <t>Pharma Plus เล่มม่วง</t>
        </is>
      </c>
    </row>
    <row r="57" ht="13.2" customHeight="1" s="49">
      <c r="A57" s="33" t="n">
        <v>55</v>
      </c>
      <c r="B57" s="34" t="inlineStr">
        <is>
          <t>กลไกข้อใดคือกลไกของยา omeprazole</t>
        </is>
      </c>
      <c r="C57" s="35" t="n"/>
      <c r="D57" s="34" t="inlineStr">
        <is>
          <t>ยับยั้ง H1 receptor</t>
        </is>
      </c>
      <c r="E57" s="34" t="inlineStr">
        <is>
          <t>ยับยั้ง H2 receptor</t>
        </is>
      </c>
      <c r="F57" s="34" t="inlineStr">
        <is>
          <t>ยับยั้ง M2 receptor</t>
        </is>
      </c>
      <c r="G57" s="34" t="inlineStr">
        <is>
          <t>ยับยั้ง H+/K+ ATPase</t>
        </is>
      </c>
      <c r="H57" s="34" t="inlineStr">
        <is>
          <t>ยับยั้ง Alpha 1 receptor</t>
        </is>
      </c>
      <c r="I57" s="33" t="inlineStr">
        <is>
          <t>4</t>
        </is>
      </c>
      <c r="J57" s="34"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35" t="n"/>
      <c r="L57" s="34" t="inlineStr">
        <is>
          <t>GERD</t>
        </is>
      </c>
      <c r="M57" s="35" t="inlineStr">
        <is>
          <t>Clinic</t>
        </is>
      </c>
      <c r="N57" s="34" t="inlineStr">
        <is>
          <t>ข้อ 55 Pharma Plus เล่มม่วง (เฉลยข้อ ง)</t>
        </is>
      </c>
      <c r="O57" s="35" t="inlineStr">
        <is>
          <t>Mock</t>
        </is>
      </c>
      <c r="P57" s="35" t="inlineStr">
        <is>
          <t>Pharma Plus เล่มม่วง</t>
        </is>
      </c>
    </row>
    <row r="58" ht="13.2" customHeight="1" s="49">
      <c r="A58" s="33" t="n">
        <v>56</v>
      </c>
      <c r="B58" s="34" t="inlineStr">
        <is>
          <t>อันตรกิริยาระหว่าง omeprazole กับ ketoconazole คือ</t>
        </is>
      </c>
      <c r="C58" s="35" t="n"/>
      <c r="D58" s="34" t="inlineStr">
        <is>
          <t>ลดระดับยา ketoconazole</t>
        </is>
      </c>
      <c r="E58" s="34" t="inlineStr">
        <is>
          <t>เพิ่มระดับยา ketoconazole</t>
        </is>
      </c>
      <c r="F58" s="34" t="inlineStr">
        <is>
          <t>ลดระดับยา omeprazole</t>
        </is>
      </c>
      <c r="G58" s="34" t="inlineStr">
        <is>
          <t>เพิ่มระดับยา omeprazole</t>
        </is>
      </c>
      <c r="H58" s="34" t="inlineStr">
        <is>
          <t>เพิ่มระดับยา ketoconazole และ omeprazole</t>
        </is>
      </c>
      <c r="I58" s="33" t="inlineStr">
        <is>
          <t>1</t>
        </is>
      </c>
      <c r="J58" s="34"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35" t="n"/>
      <c r="L58" s="34" t="inlineStr">
        <is>
          <t>GERD</t>
        </is>
      </c>
      <c r="M58" s="35" t="inlineStr">
        <is>
          <t>Clinic</t>
        </is>
      </c>
      <c r="N58" s="34" t="inlineStr">
        <is>
          <t>ข้อ 56 Pharma Plus เล่มม่วง (เฉลยข้อ ก)</t>
        </is>
      </c>
      <c r="O58" s="35" t="inlineStr">
        <is>
          <t>Mock</t>
        </is>
      </c>
      <c r="P58" s="35" t="inlineStr">
        <is>
          <t>Pharma Plus เล่มม่วง</t>
        </is>
      </c>
    </row>
    <row r="59" ht="13.2" customHeight="1" s="49">
      <c r="A59" s="33" t="n">
        <v>57</v>
      </c>
      <c r="B59" s="34" t="inlineStr">
        <is>
          <t>Hycosine N-butyl bromide ห้ามใช้ในคนไข้โรคต่อไปนี้ ยกเว้น ข้อใด</t>
        </is>
      </c>
      <c r="C59" s="35" t="n"/>
      <c r="D59" s="34" t="inlineStr">
        <is>
          <t>Glaucoma</t>
        </is>
      </c>
      <c r="E59" s="34" t="inlineStr">
        <is>
          <t>Obstructive urotitis</t>
        </is>
      </c>
      <c r="F59" s="34" t="inlineStr">
        <is>
          <t>Gut obstruction</t>
        </is>
      </c>
      <c r="G59" s="34" t="inlineStr">
        <is>
          <t>Myasthenia gravis</t>
        </is>
      </c>
      <c r="H59" s="34" t="inlineStr">
        <is>
          <t>Duodenal ulcer</t>
        </is>
      </c>
      <c r="I59" s="33" t="inlineStr">
        <is>
          <t>5</t>
        </is>
      </c>
      <c r="J59" s="34"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35" t="n"/>
      <c r="L59" s="34" t="inlineStr">
        <is>
          <t>GERD</t>
        </is>
      </c>
      <c r="M59" s="35" t="inlineStr">
        <is>
          <t>Clinic</t>
        </is>
      </c>
      <c r="N59" s="34" t="inlineStr">
        <is>
          <t>ข้อ 57 Pharma Plus เล่มม่วง (เฉลยข้อ จ)</t>
        </is>
      </c>
      <c r="O59" s="35" t="inlineStr">
        <is>
          <t>Mock</t>
        </is>
      </c>
      <c r="P59" s="35" t="inlineStr">
        <is>
          <t>Pharma Plus เล่มม่วง</t>
        </is>
      </c>
    </row>
    <row r="60" ht="13.2" customHeight="1" s="49">
      <c r="A60" s="33" t="n">
        <v>58</v>
      </c>
      <c r="B60" s="34" t="inlineStr">
        <is>
          <t>ข้อใดคือคำแนะนำวิธีการรับประทานยา ketoconazole</t>
        </is>
      </c>
      <c r="C60" s="35" t="n"/>
      <c r="D60" s="34" t="inlineStr">
        <is>
          <t>กินก่อนอาหาร 30 นาที</t>
        </is>
      </c>
      <c r="E60" s="34" t="inlineStr">
        <is>
          <t>กินก่อนนอน</t>
        </is>
      </c>
      <c r="F60" s="34" t="inlineStr">
        <is>
          <t>กินหลังอาหารทันที</t>
        </is>
      </c>
      <c r="G60" s="34" t="inlineStr">
        <is>
          <t>ควรกินพร้อมไขมันเพื่อเพิ่มการดูดซึม</t>
        </is>
      </c>
      <c r="H60" s="34" t="inlineStr">
        <is>
          <t>ควรกินพร้อมยาลดกรด</t>
        </is>
      </c>
      <c r="I60" s="33" t="inlineStr">
        <is>
          <t>3</t>
        </is>
      </c>
      <c r="J60" s="34"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35" t="n"/>
      <c r="L60" s="34" t="inlineStr">
        <is>
          <t>GERD</t>
        </is>
      </c>
      <c r="M60" s="35" t="inlineStr">
        <is>
          <t>Clinic</t>
        </is>
      </c>
      <c r="N60" s="34" t="inlineStr">
        <is>
          <t>ข้อ 58 Pharma Plus เล่มม่วง (เฉลยข้อ ค)</t>
        </is>
      </c>
      <c r="O60" s="35" t="inlineStr">
        <is>
          <t>Mock</t>
        </is>
      </c>
      <c r="P60" s="35" t="inlineStr">
        <is>
          <t>Pharma Plus เล่มม่วง</t>
        </is>
      </c>
    </row>
    <row r="61" ht="13.2" customHeight="1" s="49">
      <c r="A61" s="33" t="n">
        <v>59</v>
      </c>
      <c r="B61" s="34"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35" t="n"/>
      <c r="D61" s="34" t="inlineStr">
        <is>
          <t>จากการศึกษาในสัตว์พบว่าทำให้เกิดความผิดปกติต่อตัวอ่อนในครรภ์ แต่ไม่มีการศึกษาในมนุษย์</t>
        </is>
      </c>
      <c r="E61" s="34" t="inlineStr">
        <is>
          <t>จากการศึกษาในมนุษย์พบว่าไม่มีความเสี่ยงในการก่อให้เกิดความผิดปกติต่อทารกในครรภ์</t>
        </is>
      </c>
      <c r="F61" s="34"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34"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34"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33" t="inlineStr">
        <is>
          <t>3</t>
        </is>
      </c>
      <c r="J61" s="34"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5" t="n"/>
      <c r="L61" s="34" t="inlineStr">
        <is>
          <t>GERD</t>
        </is>
      </c>
      <c r="M61" s="35" t="inlineStr">
        <is>
          <t>Clinic</t>
        </is>
      </c>
      <c r="N61" s="34" t="inlineStr">
        <is>
          <t>ข้อ 59 Pharma Plus เล่มม่วง (เฉลยข้อ ค)</t>
        </is>
      </c>
      <c r="O61" s="35" t="inlineStr">
        <is>
          <t>Mock</t>
        </is>
      </c>
      <c r="P61" s="35" t="inlineStr">
        <is>
          <t>Pharma Plus เล่มม่วง</t>
        </is>
      </c>
    </row>
    <row r="62" ht="13.2" customHeight="1" s="49">
      <c r="A62" s="33" t="n">
        <v>60</v>
      </c>
      <c r="B62" s="34" t="inlineStr">
        <is>
          <t>ผู้ป่วยเป็นโรค GERD ยาใดไม่ควรใช้</t>
        </is>
      </c>
      <c r="C62" s="35" t="n"/>
      <c r="D62" s="34" t="inlineStr">
        <is>
          <t>Serratopeptidase</t>
        </is>
      </c>
      <c r="E62" s="34" t="inlineStr">
        <is>
          <t>Metoclopramide</t>
        </is>
      </c>
      <c r="F62" s="34" t="inlineStr">
        <is>
          <t>Alendronate</t>
        </is>
      </c>
      <c r="G62" s="34" t="inlineStr">
        <is>
          <t>Bisacodyl</t>
        </is>
      </c>
      <c r="H62" s="34" t="inlineStr">
        <is>
          <t>MOM</t>
        </is>
      </c>
      <c r="I62" s="33" t="inlineStr">
        <is>
          <t>3</t>
        </is>
      </c>
      <c r="J62" s="34"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35" t="n"/>
      <c r="L62" s="34" t="inlineStr">
        <is>
          <t>GERD</t>
        </is>
      </c>
      <c r="M62" s="35" t="inlineStr">
        <is>
          <t>Clinic</t>
        </is>
      </c>
      <c r="N62" s="34" t="inlineStr">
        <is>
          <t>ข้อ 60 Pharma Plus เล่มม่วง (เฉลยข้อ ค)</t>
        </is>
      </c>
      <c r="O62" s="35" t="inlineStr">
        <is>
          <t>Mock</t>
        </is>
      </c>
      <c r="P62" s="35" t="inlineStr">
        <is>
          <t>Pharma Plus เล่มม่วง</t>
        </is>
      </c>
    </row>
    <row r="63" ht="13.2" customHeight="1" s="49">
      <c r="A63" s="33" t="n">
        <v>61</v>
      </c>
      <c r="B63" s="34" t="inlineStr">
        <is>
          <t>ผู้ป่วยควรได้รับการรักษาด้วยยาใด</t>
        </is>
      </c>
      <c r="C63" s="35" t="n"/>
      <c r="D63" s="34" t="inlineStr">
        <is>
          <t>Famotidine</t>
        </is>
      </c>
      <c r="E63" s="34" t="inlineStr">
        <is>
          <t>Bismuth subsalicylate</t>
        </is>
      </c>
      <c r="F63" s="34" t="inlineStr">
        <is>
          <t>Salol and Menthol mixture</t>
        </is>
      </c>
      <c r="G63" s="34" t="inlineStr">
        <is>
          <t>Hyoscine-N-butyl bromide</t>
        </is>
      </c>
      <c r="H63" s="34" t="inlineStr">
        <is>
          <t>Simethicone</t>
        </is>
      </c>
      <c r="I63" s="33" t="inlineStr">
        <is>
          <t>1</t>
        </is>
      </c>
      <c r="J63" s="34"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35" t="n"/>
      <c r="L63" s="34" t="inlineStr">
        <is>
          <t>Dyspepsia &amp; PUD</t>
        </is>
      </c>
      <c r="M63" s="35" t="inlineStr">
        <is>
          <t>Clinic</t>
        </is>
      </c>
      <c r="N63" s="34" t="inlineStr">
        <is>
          <t>ข้อ 61 Pharma Plus เล่มม่วง (เฉลยข้อ ก)</t>
        </is>
      </c>
      <c r="O63" s="35" t="inlineStr">
        <is>
          <t>Mock</t>
        </is>
      </c>
      <c r="P63" s="35" t="inlineStr">
        <is>
          <t>Pharma Plus เล่มม่วง</t>
        </is>
      </c>
    </row>
    <row r="64" ht="13.2" customHeight="1" s="49">
      <c r="A64" s="33" t="n">
        <v>62</v>
      </c>
      <c r="B64" s="34" t="inlineStr">
        <is>
          <t>สารสำคัญในมะขามแขกเป็นสารกลุ่มใดและออกฤทธิ์เป็นยาระบายกลุ่มใด</t>
        </is>
      </c>
      <c r="C64" s="35" t="n"/>
      <c r="D64" s="34" t="inlineStr">
        <is>
          <t>Anthraquinones, stimulant laxatives</t>
        </is>
      </c>
      <c r="E64" s="34" t="inlineStr">
        <is>
          <t>Quinones, stimulant laxatives</t>
        </is>
      </c>
      <c r="F64" s="34" t="inlineStr">
        <is>
          <t>Alkaloids, bulk forming laxatives</t>
        </is>
      </c>
      <c r="G64" s="34" t="inlineStr">
        <is>
          <t>Isoquinoline alkaloids, stimulant laxatives</t>
        </is>
      </c>
      <c r="H64" s="34" t="inlineStr">
        <is>
          <t>Flavonoids, bulk forming laxatives</t>
        </is>
      </c>
      <c r="I64" s="33" t="inlineStr">
        <is>
          <t>1</t>
        </is>
      </c>
      <c r="J64" s="34"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35" t="n"/>
      <c r="L64" s="34" t="inlineStr">
        <is>
          <t>GERD</t>
        </is>
      </c>
      <c r="M64" s="35" t="inlineStr">
        <is>
          <t>Clinic</t>
        </is>
      </c>
      <c r="N64" s="34" t="inlineStr">
        <is>
          <t>ข้อ 62 Pharma Plus เล่มม่วง (เฉลยข้อ ก)</t>
        </is>
      </c>
      <c r="O64" s="35" t="inlineStr">
        <is>
          <t>Mock</t>
        </is>
      </c>
      <c r="P64" s="35" t="inlineStr">
        <is>
          <t>Pharma Plus เล่มม่วง</t>
        </is>
      </c>
    </row>
    <row r="65" ht="13.2" customHeight="1" s="49">
      <c r="A65" s="33" t="n">
        <v>63</v>
      </c>
      <c r="B65" s="34" t="inlineStr">
        <is>
          <t>อาการไม่พึงประสงค์ใดที่พบบ่อยในช่วงแรกของการใช้ยาระบายมะขามแขก</t>
        </is>
      </c>
      <c r="C65" s="35" t="n"/>
      <c r="D65" s="34" t="inlineStr">
        <is>
          <t>Abdominal pain</t>
        </is>
      </c>
      <c r="E65" s="34" t="inlineStr">
        <is>
          <t>Antonic colon</t>
        </is>
      </c>
      <c r="F65" s="34" t="inlineStr">
        <is>
          <t>Electrolyte imbalance</t>
        </is>
      </c>
      <c r="G65" s="34" t="inlineStr">
        <is>
          <t>Noninfectious colitis</t>
        </is>
      </c>
      <c r="H65" s="34" t="inlineStr">
        <is>
          <t>Irritate bowel</t>
        </is>
      </c>
      <c r="I65" s="33" t="inlineStr">
        <is>
          <t>1</t>
        </is>
      </c>
      <c r="J65" s="34"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GERD</t>
        </is>
      </c>
      <c r="M65" s="35" t="inlineStr">
        <is>
          <t>Clinic</t>
        </is>
      </c>
      <c r="N65" s="34" t="inlineStr">
        <is>
          <t>ข้อ 63 Pharma Plus เล่มม่วง (เฉลยข้อ ก)</t>
        </is>
      </c>
      <c r="O65" s="35" t="inlineStr">
        <is>
          <t>Mock</t>
        </is>
      </c>
      <c r="P65" s="35" t="inlineStr">
        <is>
          <t>Pharma Plus เล่มม่วง</t>
        </is>
      </c>
    </row>
    <row r="66" ht="13.2" customHeight="1" s="49">
      <c r="A66" s="33" t="n">
        <v>64</v>
      </c>
      <c r="B66" s="34"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35" t="n"/>
      <c r="D66" s="34" t="inlineStr">
        <is>
          <t>Entamoeba histolytica</t>
        </is>
      </c>
      <c r="E66" s="34" t="inlineStr">
        <is>
          <t>Shigella dysenteriae</t>
        </is>
      </c>
      <c r="F66" s="34" t="inlineStr">
        <is>
          <t>Giardia lamblia</t>
        </is>
      </c>
      <c r="G66" s="34" t="inlineStr">
        <is>
          <t>Vibrio parahaemolyticus</t>
        </is>
      </c>
      <c r="H66" s="34" t="inlineStr">
        <is>
          <t>Clostridium difficile</t>
        </is>
      </c>
      <c r="I66" s="33" t="inlineStr">
        <is>
          <t>2</t>
        </is>
      </c>
      <c r="J66" s="34"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5" t="n"/>
      <c r="L66" s="34" t="inlineStr">
        <is>
          <t>Diarrhea &amp; Constipation</t>
        </is>
      </c>
      <c r="M66" s="35" t="inlineStr">
        <is>
          <t>Clinic</t>
        </is>
      </c>
      <c r="N66" s="34" t="inlineStr">
        <is>
          <t>ข้อ 64 Pharma Plus เล่มม่วง (เฉลยข้อ ข)</t>
        </is>
      </c>
      <c r="O66" s="35" t="inlineStr">
        <is>
          <t>Mock</t>
        </is>
      </c>
      <c r="P66" s="35" t="inlineStr">
        <is>
          <t>Pharma Plus เล่มม่วง</t>
        </is>
      </c>
    </row>
    <row r="67" ht="13.2" customHeight="1" s="49">
      <c r="A67" s="33" t="n">
        <v>65</v>
      </c>
      <c r="B67" s="34"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35" t="n"/>
      <c r="D67" s="34" t="inlineStr">
        <is>
          <t>เกลือแร่</t>
        </is>
      </c>
      <c r="E67" s="34" t="inlineStr">
        <is>
          <t>ยาดูดซับสารพิษ</t>
        </is>
      </c>
      <c r="F67" s="34" t="inlineStr">
        <is>
          <t>ยาหยุดถ่าย</t>
        </is>
      </c>
      <c r="G67" s="34" t="inlineStr">
        <is>
          <t>ยาลดไข้</t>
        </is>
      </c>
      <c r="H67" s="34" t="inlineStr">
        <is>
          <t>ยาแก้คลื่นไส้อาเจียน</t>
        </is>
      </c>
      <c r="I67" s="33" t="inlineStr">
        <is>
          <t>3</t>
        </is>
      </c>
      <c r="J67" s="34" t="inlineStr">
        <is>
          <t>✅ คำตอบที่ถูกต้อง: ตามที่ระบุในคอลัมน์เฉลย
💡 Background:
โรคกรดไหลย้อน (GERD) เกิดจากกรดในกระเพาะอาหารไหลย้อนขึ้นมาที่หลอดอาหาร ทำให้เกิดอาการแสบร้อนกลางอก (Heartburn) และเรอกรด ปัจจัยเสี่ยงได้แก่ โรคอ้วน, นอนทันทีหลังอาหาร, ดื่มแอลกอฮอล์, สูบบุหรี่
🎯 ทำไมข้อนี้ถึงถูก:
คำตอบที่ถูกต้องสอดคล้องกับ evidence-based pharmacotherapy ของ GERD/PUD ตาม ACG/AGA Guidelines
📖 Guideline อ้างอิง:
American College of Gastroenterology Clinical Guideline: Diagnosis and Management of Gastroesophageal Reflux Disease 2022
📌 จุดจำก่อนสอบ:
GERD first-line: PPI (Omeprazole, Rabeprazole) OD before meal; ห้ามนอนทันทีหลังอาหาร</t>
        </is>
      </c>
      <c r="K67" s="35" t="n"/>
      <c r="L67" s="34" t="inlineStr">
        <is>
          <t>Diarrhea &amp; Constipation</t>
        </is>
      </c>
      <c r="M67" s="35" t="inlineStr">
        <is>
          <t>Clinic</t>
        </is>
      </c>
      <c r="N67" s="34" t="inlineStr">
        <is>
          <t>ข้อ 65 Pharma Plus เล่มม่วง (เฉลยข้อ ค)</t>
        </is>
      </c>
      <c r="O67" s="35" t="inlineStr">
        <is>
          <t>Mock</t>
        </is>
      </c>
      <c r="P67" s="35" t="inlineStr">
        <is>
          <t>Pharma Plus เล่มม่วง</t>
        </is>
      </c>
    </row>
    <row r="68" ht="13.2" customHeight="1" s="49">
      <c r="A68" s="33" t="n">
        <v>66</v>
      </c>
      <c r="B68" s="34" t="inlineStr">
        <is>
          <t>ยาในข้อใดต่อไปนี้เป็น drug of choice ของการรักษาอาการท้องเสียในผู้ป่วยรายนี้</t>
        </is>
      </c>
      <c r="C68" s="35" t="n"/>
      <c r="D68" s="34" t="inlineStr">
        <is>
          <t>Cotrimoxazole</t>
        </is>
      </c>
      <c r="E68" s="34" t="inlineStr">
        <is>
          <t>Norfloxacin</t>
        </is>
      </c>
      <c r="F68" s="34" t="inlineStr">
        <is>
          <t>Metronidazole</t>
        </is>
      </c>
      <c r="G68" s="34" t="inlineStr">
        <is>
          <t>Amoxicillin</t>
        </is>
      </c>
      <c r="H68" s="34" t="inlineStr">
        <is>
          <t>Tetracycline</t>
        </is>
      </c>
      <c r="I68" s="33" t="inlineStr">
        <is>
          <t>2</t>
        </is>
      </c>
      <c r="J68" s="34" t="inlineStr">
        <is>
          <t>✅ คำตอบที่ถูกต้อง: ตามที่ระบุในคอลัมน์เฉลย
💡 Background:
H. pylori เป็นสาเหตุหลักของ Peptic Ulcer Disease (PUD) ประมาณ 70-90% ของ Duodenal ulcer และ 60-70% ของ Gastric ulcer การกำจัด H. pylori ลดอัตราการกลับเป็นซ้ำจาก &gt;80% เหลือ &lt;10%
🎯 ทำไมข้อนี้ถึงถูก:
คำตอบที่ถูกต้องสอดคล้องกับ evidence-based guidelines สำหรับการรักษา H. pylori หรือ PUD
📖 Guideline อ้างอิง:
American College of Gastroenterology Clinical Guideline: Treatment of Helicobacter pylori Infection 2017
📌 จุดจำก่อนสอบ:
H. pylori triple therapy: PPI + Clarithromycin + Amoxicillin นาน 14 วัน (หรือ Quadruple ถ้าดื้อ Clarithromycin)</t>
        </is>
      </c>
      <c r="K68" s="35" t="n"/>
      <c r="L68" s="34" t="inlineStr">
        <is>
          <t>Diarrhea &amp; Constipation</t>
        </is>
      </c>
      <c r="M68" s="35" t="inlineStr">
        <is>
          <t>Clinic</t>
        </is>
      </c>
      <c r="N68" s="34" t="inlineStr">
        <is>
          <t>ข้อ 66 Pharma Plus เล่มม่วง (เฉลยข้อ ข)</t>
        </is>
      </c>
      <c r="O68" s="35" t="inlineStr">
        <is>
          <t>Mock</t>
        </is>
      </c>
      <c r="P68" s="35" t="inlineStr">
        <is>
          <t>Pharma Plus เล่มม่วง</t>
        </is>
      </c>
    </row>
    <row r="69" ht="13.2" customHeight="1" s="49">
      <c r="A69" s="33" t="n">
        <v>67</v>
      </c>
      <c r="B69" s="34" t="inlineStr">
        <is>
          <t>ข้อใดเป็นคำแนะนำการปฏิบัติตัวที่ไม่ถูกต้อง</t>
        </is>
      </c>
      <c r="C69" s="35" t="n"/>
      <c r="D69" s="34" t="inlineStr">
        <is>
          <t>ห้ามกินยาในข้อ 66 ร่วมกับนมหรือยาลดกรด</t>
        </is>
      </c>
      <c r="E69" s="34" t="inlineStr">
        <is>
          <t>ให้รับประทานยาต่อเนื่องตลอดการรักษา</t>
        </is>
      </c>
      <c r="F69" s="34" t="inlineStr">
        <is>
          <t>ควรรับประทานอาหารอ่อน</t>
        </is>
      </c>
      <c r="G69" s="34" t="inlineStr">
        <is>
          <t>หากไม่รับประทานยาจนหมดอาจเกิดการติดเชื้อดื้อยาได้</t>
        </is>
      </c>
      <c r="H69" s="34" t="inlineStr">
        <is>
          <t>ผสมผงเกลือแร่ตามสัดส่วนและรับประทานครั้งเดียวหมด</t>
        </is>
      </c>
      <c r="I69" s="33" t="inlineStr">
        <is>
          <t>5</t>
        </is>
      </c>
      <c r="J69" s="34" t="inlineStr">
        <is>
          <t>✅ คำตอบที่ถูกต้อง: ตามที่ระบุในคอลัมน์เฉลย
💡 Background:
Proton Pump Inhibitors (PPIs) เช่น Omeprazole, Rabeprazole, Esomeprazole ยับยั้ง H+/K+-ATPase (Proton pump) อย่างถาวรที่ Parietal cells ลดการหลั่งกรดได้มากกว่า H2-blocker อย่างมีนัยสำคัญ
🎯 ทำไมข้อนี้ถึงถูก:
คำตอบสอดคล้องกับ pharmacology ของ PPIs หรือ H2-blockers หรือการใช้ยาใน PUD/GERD
📖 Guideline อ้างอิง:
American College of Gastroenterology Clinical Guideline: Diagnosis and Management of Gastroesophageal Reflux Disease 2022
📌 จุดจำก่อนสอบ:
PPIs &gt; H2-blocker; รับประทานก่อนอาหาร 30-60 นาที; ผลข้างเคียง: Hypomagnesemia, C. diff risk</t>
        </is>
      </c>
      <c r="K69" s="35" t="n"/>
      <c r="L69" s="34" t="inlineStr">
        <is>
          <t>Diarrhea &amp; Constipation</t>
        </is>
      </c>
      <c r="M69" s="35" t="inlineStr">
        <is>
          <t>Clinic</t>
        </is>
      </c>
      <c r="N69" s="34" t="inlineStr">
        <is>
          <t>ข้อ 67 Pharma Plus เล่มม่วง (เฉลยข้อ จ)</t>
        </is>
      </c>
      <c r="O69" s="35" t="inlineStr">
        <is>
          <t>Mock</t>
        </is>
      </c>
      <c r="P69" s="35" t="inlineStr">
        <is>
          <t>Pharma Plus เล่มม่วง</t>
        </is>
      </c>
    </row>
    <row r="70" ht="13.2" customHeight="1" s="49">
      <c r="A70" s="33" t="n">
        <v>68</v>
      </c>
      <c r="B70"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35" t="n"/>
      <c r="D70" s="34" t="inlineStr">
        <is>
          <t>ท้องผูกเป็นประจำ</t>
        </is>
      </c>
      <c r="E70" s="34" t="inlineStr">
        <is>
          <t>ดื่มสุรามากเกินไป</t>
        </is>
      </c>
      <c r="F70" s="34" t="inlineStr">
        <is>
          <t>รับประทานอาหารที่มีรสเผ็ดร้อนจัดเกินไป</t>
        </is>
      </c>
      <c r="G70" s="34" t="inlineStr">
        <is>
          <t>ติดเชื้อไวรัสตับอักเสบ A</t>
        </is>
      </c>
      <c r="H70" s="34" t="inlineStr">
        <is>
          <t>โรคบิดหรือโรคลาไส้ซึ่งถ่ายอุจจาระบ่อย ๆ</t>
        </is>
      </c>
      <c r="I70" s="33" t="inlineStr">
        <is>
          <t>3</t>
        </is>
      </c>
      <c r="J70" s="34" t="inlineStr">
        <is>
          <t>✅ คำตอบที่ถูกต้อง: ตามที่ระบุในคอลัมน์เฉลย
💡 Background:
Antacids (Aluminium hydroxide, Magnesium hydroxide) สะเทิน (Neutralize) กรดโดยตรง ออกฤทธิ์เร็วแต่สั้น (1-2 ชั่วโมง) ไม่ใช่ first-line ของ GERD/PUD แต่ใช้บรรเทาอาการได้ทันที
🎯 ทำไมข้อนี้ถึงถูก:
คำตอบสอดคล้องกับคุณสมบัติของ Antacids หรือยาเคลือบกระเพาะ (Sucralfate, Bismuth)
📖 Guideline อ้างอิง:
[NEED_REVIEW]
📌 จุดจำก่อนสอบ:
Antacids: ออกฤทธิ์เร็วแต่สั้น; Al(OH)3 = ท้องผูก; Mg(OH)2 = ท้องเสีย; ห้ามใน renal failure</t>
        </is>
      </c>
      <c r="K70" s="35" t="n"/>
      <c r="L70" s="34" t="inlineStr">
        <is>
          <t>Diarrhea &amp; Constipation</t>
        </is>
      </c>
      <c r="M70" s="35" t="inlineStr">
        <is>
          <t>Clinic</t>
        </is>
      </c>
      <c r="N70" s="34" t="inlineStr">
        <is>
          <t>ข้อ 68 Pharma Plus เล่มม่วง (เฉลยข้อ ค ง)</t>
        </is>
      </c>
      <c r="O70" s="35" t="inlineStr">
        <is>
          <t>Mock</t>
        </is>
      </c>
      <c r="P70" s="35" t="inlineStr">
        <is>
          <t>Pharma Plus เล่มม่วง</t>
        </is>
      </c>
    </row>
    <row r="71" ht="13.2" customHeight="1" s="49">
      <c r="A71" s="33" t="n">
        <v>69</v>
      </c>
      <c r="B71"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35" t="n"/>
      <c r="D71" s="34" t="inlineStr">
        <is>
          <t>ดื่มน้ำมาก ๆ วันละ 6-8 แก้ว</t>
        </is>
      </c>
      <c r="E71" s="34" t="inlineStr">
        <is>
          <t>รับประทานข้าวกล้อง และผลไม้</t>
        </is>
      </c>
      <c r="F71" s="34" t="inlineStr">
        <is>
          <t>ฝึกถ่ายอุจจาระให้เป็นประจำ</t>
        </is>
      </c>
      <c r="G71" s="34" t="inlineStr">
        <is>
          <t>ออกกำลังกายด้วยการปั่นจักรยานและยกน้ำหนัก</t>
        </is>
      </c>
      <c r="H71" s="34" t="inlineStr">
        <is>
          <t>ไม่ดื่มชา กาแฟ</t>
        </is>
      </c>
      <c r="I71" s="33" t="inlineStr">
        <is>
          <t>4</t>
        </is>
      </c>
      <c r="J71" s="34" t="inlineStr">
        <is>
          <t>✅ คำตอบที่ถูกต้อง: ตามที่ระบุในคอลัมน์เฉลย
💡 Background:
Misoprostol (Prostaglandin E1 analog) ใช้ป้องกัน NSAID-induced gastropathy โดยกระตุ้น Mucus และ Bicarbonate secretion และลดการหลั่งกรด ห้ามใช้ในหญิงตั้งครรภ์ (ทำให้มดลูกบีบตัว)
🎯 ทำไมข้อนี้ถึงถูก:
คำตอบสอดคล้องกับ pharmacology ของ Cytoprotective agents (Sucralfate, Misoprostol) หรือ NSAID gastroprotection
📖 Guideline อ้างอิง:
[NEED_REVIEW]
📌 จุดจำก่อนสอบ:
Misoprostol ป้องกัน NSAID ulcer แต่ห้ามในตั้งครรภ์; PPI ก็ป้องกันได้และ tolerability ดีกว่า</t>
        </is>
      </c>
      <c r="K71" s="35" t="n"/>
      <c r="L71" s="34" t="inlineStr">
        <is>
          <t>Diarrhea &amp; Constipation</t>
        </is>
      </c>
      <c r="M71" s="35" t="inlineStr">
        <is>
          <t>Clinic</t>
        </is>
      </c>
      <c r="N71" s="34" t="inlineStr">
        <is>
          <t>ข้อ 69 Pharma Plus เล่มม่วง (เฉลยข้อ ง)</t>
        </is>
      </c>
      <c r="O71" s="35" t="inlineStr">
        <is>
          <t>Mock</t>
        </is>
      </c>
      <c r="P71" s="35" t="inlineStr">
        <is>
          <t>Pharma Plus เล่มม่วง</t>
        </is>
      </c>
    </row>
    <row r="72" ht="13.2" customHeight="1" s="49">
      <c r="A72" s="33" t="n">
        <v>70</v>
      </c>
      <c r="B72"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35" t="n"/>
      <c r="D72" s="34" t="inlineStr">
        <is>
          <t>ให้การรักษาโดยใช้ยาเหน็บริดสีดวงทวาร</t>
        </is>
      </c>
      <c r="E72" s="34" t="inlineStr">
        <is>
          <t>ให้ยาระบายชนิดเพิ่มกากอาหาร</t>
        </is>
      </c>
      <c r="F72" s="34" t="inlineStr">
        <is>
          <t>ให้ยาเพิ่มความแข็งแรงของหลอดเลือด</t>
        </is>
      </c>
      <c r="G72" s="34" t="inlineStr">
        <is>
          <t>ให้ paracetamol เพื่อลดการอักเสบ</t>
        </is>
      </c>
      <c r="H72" s="34" t="inlineStr">
        <is>
          <t>นั่งแช่น้ำอุ่นที่ผสมด่างทับทิม 15-30 นาที วันละ 2-3 ครั้ง</t>
        </is>
      </c>
      <c r="I72" s="33" t="inlineStr">
        <is>
          <t>4</t>
        </is>
      </c>
      <c r="J72" s="34" t="inlineStr">
        <is>
          <t>✅ คำตอบที่ถูกต้อง: ตามที่ระบุในคอลัมน์เฉลย
💡 Background:
H2-receptor antagonists (Ranitidine, Famotidine, Cimetidine) ปิดกั้น H2 receptor ที่ Parietal cells ลดการหลั่งกรดได้ดี แต่น้อยกว่า PPIs และเกิด Tachyphylaxis ได้เมื่อใช้ยาว
🎯 ทำไมข้อนี้ถึงถูก:
คำตอบสอดคล้องกับ pharmacology ของ H2-blockers หรือการเปรียบเทียบ H2-blocker กับ PPI
📖 Guideline อ้างอิง:
[NEED_REVIEW]
📌 จุดจำก่อนสอบ:
H2-blocker: Ranitidine (ถูกถอนจากตลาดเพราะ NDMA), ใช้ Famotidine แทน; Cimetidine มี drug interactions มาก</t>
        </is>
      </c>
      <c r="K72" s="35" t="n"/>
      <c r="L72" s="34" t="inlineStr">
        <is>
          <t>Diarrhea &amp; Constipation</t>
        </is>
      </c>
      <c r="M72" s="35" t="inlineStr">
        <is>
          <t>Clinic</t>
        </is>
      </c>
      <c r="N72" s="34" t="inlineStr">
        <is>
          <t>ข้อ 70 Pharma Plus เล่มม่วง (เฉลยข้อ ง)</t>
        </is>
      </c>
      <c r="O72" s="35" t="inlineStr">
        <is>
          <t>Mock</t>
        </is>
      </c>
      <c r="P72" s="35" t="inlineStr">
        <is>
          <t>Pharma Plus เล่มม่วง</t>
        </is>
      </c>
    </row>
    <row r="73" ht="13.2" customHeight="1" s="49">
      <c r="A73" s="33" t="n">
        <v>71</v>
      </c>
      <c r="B73"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35" t="n"/>
      <c r="D73" s="34" t="inlineStr">
        <is>
          <t>ก่อนเหน็บยาต้องให้อุณหภูมิยาเหน็บเท่ากับอุณหภูมิของร่างกาย</t>
        </is>
      </c>
      <c r="E73" s="34" t="inlineStr">
        <is>
          <t>ก่อนแกะยาออกจากห่อ ควรล้างมือให้สะอาด</t>
        </is>
      </c>
      <c r="F73" s="34" t="inlineStr">
        <is>
          <t>การสอดยาเหน็บ ต้องนอนตะแคงเหยียดขาที่อยู่ด้านล่างออกและงอขาที่อยู่ด้านบนชิดหน้าอก</t>
        </is>
      </c>
      <c r="G73" s="34" t="inlineStr">
        <is>
          <t>การสอดยาเหน็บ ต้องค่อยๆใช้นิ้วดันให้ยาเข้าไปลึกที่สุด</t>
        </is>
      </c>
      <c r="H73" s="34" t="inlineStr">
        <is>
          <t>เมื่อสอดยาเหน็บแล้วต้องนอนในท่าเดิมต่อ 15 นาที เพื่อให้ยาละลายหมด</t>
        </is>
      </c>
      <c r="I73" s="33" t="inlineStr">
        <is>
          <t>4</t>
        </is>
      </c>
      <c r="J73" s="34" t="inlineStr">
        <is>
          <t>✅ คำตอบที่ถูกต้อง: ตามที่ระบุในคอลัมน์เฉลย
💡 Background:
การรักษา H. pylori ปัจจุบันแนะนำ Bismuth Quadruple therapy: PPI + Bismuth + Tetracycline + Metronidazole นาน 10-14 วัน หรือ Clarithromycin-based triple therapy (PPI+Clarithromycin+Amoxicillin/Metronidazole) เป็น first-line หากอัตราดื้อ Clarithromycin ในพื้นที่ &lt;15%
🎯 ทำไมข้อนี้ถึงถูก:
คำตอบสอดคล้องกับ H. pylori eradication regimen ตามแนวทาง ACG 2017
📖 Guideline อ้างอิง:
American College of Gastroenterology Clinical Guideline: Treatment of Helicobacter pylori Infection 2017
📌 จุดจำก่อนสอบ:
H. pylori: Test-and-treat; Clarithromycin triple 14 วัน; ตรวจ eradication หลัง 4 สัปดาห์หยุดยา</t>
        </is>
      </c>
      <c r="K73" s="35" t="n"/>
      <c r="L73" s="34" t="inlineStr">
        <is>
          <t>Diarrhea &amp; Constipation</t>
        </is>
      </c>
      <c r="M73" s="35" t="inlineStr">
        <is>
          <t>Clinic</t>
        </is>
      </c>
      <c r="N73" s="34" t="inlineStr">
        <is>
          <t>ข้อ 71 Pharma Plus เล่มม่วง (เฉลยข้อ ง)</t>
        </is>
      </c>
      <c r="O73" s="35" t="inlineStr">
        <is>
          <t>Mock</t>
        </is>
      </c>
      <c r="P73" s="35" t="inlineStr">
        <is>
          <t>Pharma Plus เล่มม่วง</t>
        </is>
      </c>
    </row>
    <row r="74" ht="13.2" customHeight="1" s="49">
      <c r="A74" s="33" t="n">
        <v>72</v>
      </c>
      <c r="B74" s="34" t="inlineStr">
        <is>
          <t>ข้อใดคือกลไกการออกฤทธิ์ของยา diosmin</t>
        </is>
      </c>
      <c r="C74" s="35" t="n"/>
      <c r="D74" s="34" t="inlineStr">
        <is>
          <t>Increase venous tone</t>
        </is>
      </c>
      <c r="E74" s="34" t="inlineStr">
        <is>
          <t>Decrease venous return</t>
        </is>
      </c>
      <c r="F74" s="34" t="inlineStr">
        <is>
          <t>Decrease vasoconstriction</t>
        </is>
      </c>
      <c r="G74" s="34" t="inlineStr">
        <is>
          <t>Increase lymphatic drainage</t>
        </is>
      </c>
      <c r="H74" s="34" t="inlineStr">
        <is>
          <t>Decrease hyperpermeability capillary</t>
        </is>
      </c>
      <c r="I74" s="33" t="inlineStr">
        <is>
          <t>1</t>
        </is>
      </c>
      <c r="J74" s="34"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Diosmin ช่วยกระตุ้นการไหลเวียนและบีบตัวของหลอดเลือดดำ จึงส่งผลเพิ่ม venous return (เพิ่มเลือดกลับสู่หัวใจ) และลดการคั่งของเลือด ไม่ใช่ลด venous return
• ข้อ ค. (Decrease vasoconstriction): Diosmin เสริมฤทธิ์ของ noradrenaline ที่ผนังหลอดเลือด ทำให้หลอดเลือดดำหดตัว (increase vasoconstriction) ช่วยเพิ่มความตึงตัว ไม่ใช่ลด vasoconstriction
• ข้อ ง. (Increase lymphatic drainage): การเพิ่มการระบายน้ำเหลือง (increase lymphatic drainage) เป็นกลไกหนึ่งของยา แต่กลไกหลักที่จำเพาะต่อชื่อกลุ่ม venotonic drug และตอบตรงกับข้อคำถามคือเพิ่ม venous tone
• ข้อ จ. (Decrease hyperpermeability capillary): Diosmin ออกฤทธิ์ลด capillary hyperpermeability (ลดการซึมผ่านของเส้นเลือดฝอย) แต่กลไกพื้นฐานหลักในการรักษา venous insufficiency คือเพิ่ม vascular venous tone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35" t="n"/>
      <c r="L74" s="34" t="inlineStr">
        <is>
          <t>GERD</t>
        </is>
      </c>
      <c r="M74" s="35" t="inlineStr">
        <is>
          <t>Clinic</t>
        </is>
      </c>
      <c r="N74" s="34" t="inlineStr">
        <is>
          <t>ข้อ 72 Pharma Plus เล่มม่วง (เฉลยข้อ ก)</t>
        </is>
      </c>
      <c r="O74" s="35" t="inlineStr">
        <is>
          <t>Mock</t>
        </is>
      </c>
      <c r="P74" s="35" t="inlineStr">
        <is>
          <t>Pharma Plus เล่มม่วง</t>
        </is>
      </c>
    </row>
    <row r="75" ht="13.2" customHeight="1" s="49">
      <c r="A75" s="33" t="n">
        <v>73</v>
      </c>
      <c r="B75" s="34" t="inlineStr">
        <is>
          <t>ข้อใดไม่ใช่อาการข้างเคียงของยา ferrous fumarate</t>
        </is>
      </c>
      <c r="C75" s="35" t="n"/>
      <c r="D75" s="34" t="inlineStr">
        <is>
          <t>Diarrhea</t>
        </is>
      </c>
      <c r="E75" s="34" t="inlineStr">
        <is>
          <t>ตับอักเสบ</t>
        </is>
      </c>
      <c r="F75" s="34" t="inlineStr">
        <is>
          <t>ท้องผูก</t>
        </is>
      </c>
      <c r="G75" s="34" t="inlineStr">
        <is>
          <t>Gl disturbance</t>
        </is>
      </c>
      <c r="H75" s="34" t="inlineStr">
        <is>
          <t>Dark urine</t>
        </is>
      </c>
      <c r="I75" s="33" t="inlineStr">
        <is>
          <t>2</t>
        </is>
      </c>
      <c r="J75" s="34"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อาการท้องเสีย (Diarrhea) แม้พบได้น้อยกว่าท้องผูก แต่สามารถเกิดขึ้นได้จากการระคายเคืองเยื่อบุทางเดินอาหารโดยตรงจากเกลือธาตุเหล็ก
• ข้อ ค. (ท้องผูก): อาการท้องผูก (Constipation) เป็นผลข้างเคียงทางเดินอาหารที่พบบ่อยที่สุดของธาตุเหล็ก เกิดจากธาตุเหล็กจับกับสารในลำไส้และลดการเคลื่อนไหวของทางเดินอาหาร
• ข้อ ง. (Gl disturbance): การรบกวนระบบทางเดินอาหาร (GI disturbance) เช่น คลื่นไส้ แน่นท้อง จุกเสียด และปวดแสบท้อง เป็นผลข้างเคียงหลักที่พบได้บ่อยมากในผู้ที่รับประทาน Ferrous fumarate
• ข้อ จ. (Dark urine): อุจจาระมีสีดำเข้ม (Dark stool) เกิดจากการขับถ่ายธาตุเหล็กส่วนเกินที่ไม่ได้ถูกดูดซึมออกมาในรูป ferric sulfide จัดเป็นอาการข้างเคียงปกติที่ต้องให้คำแนะนำแก่ผู้ป่วย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35" t="n"/>
      <c r="L75" s="34" t="inlineStr">
        <is>
          <t>GERD</t>
        </is>
      </c>
      <c r="M75" s="35" t="inlineStr">
        <is>
          <t>Clinic</t>
        </is>
      </c>
      <c r="N75" s="34" t="inlineStr">
        <is>
          <t>ข้อ 73 Pharma Plus เล่มม่วง (เฉลยข้อ ข)</t>
        </is>
      </c>
      <c r="O75" s="35" t="inlineStr">
        <is>
          <t>Mock</t>
        </is>
      </c>
      <c r="P75" s="35" t="inlineStr">
        <is>
          <t>Pharma Plus เล่มม่วง</t>
        </is>
      </c>
    </row>
    <row r="76" ht="13.2" customHeight="1" s="49">
      <c r="A76" s="33" t="n">
        <v>74</v>
      </c>
      <c r="B76" s="34" t="inlineStr">
        <is>
          <t>ถ่าท่านเป็นเภสัชกรท่านจะแนะนำสมุนไพรใดให้ผู้ป่วย</t>
        </is>
      </c>
      <c r="C76" s="35" t="n"/>
      <c r="D76" s="34" t="inlineStr">
        <is>
          <t>มะขามแขก</t>
        </is>
      </c>
      <c r="E76" s="34" t="inlineStr">
        <is>
          <t>เพชรสังฆาต</t>
        </is>
      </c>
      <c r="F76" s="34" t="inlineStr">
        <is>
          <t>ว่านหางจระเข้</t>
        </is>
      </c>
      <c r="G76" s="34" t="inlineStr">
        <is>
          <t>น้ำมันละหุ่ง</t>
        </is>
      </c>
      <c r="H76" s="34" t="inlineStr">
        <is>
          <t>มะรุม</t>
        </is>
      </c>
      <c r="I76" s="33" t="inlineStr">
        <is>
          <t>2</t>
        </is>
      </c>
      <c r="J76" s="34"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35" t="n"/>
      <c r="L76" s="34" t="inlineStr">
        <is>
          <t>GERD</t>
        </is>
      </c>
      <c r="M76" s="35" t="inlineStr">
        <is>
          <t>Clinic</t>
        </is>
      </c>
      <c r="N76" s="34" t="inlineStr">
        <is>
          <t>ข้อ 74 Pharma Plus เล่มม่วง (เฉลยข้อ ข)</t>
        </is>
      </c>
      <c r="O76" s="35" t="inlineStr">
        <is>
          <t>Mock</t>
        </is>
      </c>
      <c r="P76" s="35" t="inlineStr">
        <is>
          <t>Pharma Plus เล่มม่วง</t>
        </is>
      </c>
    </row>
    <row r="77" ht="13.2" customHeight="1" s="49">
      <c r="A77" s="33" t="n">
        <v>75</v>
      </c>
      <c r="B77"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35" t="n"/>
      <c r="D77" s="34" t="inlineStr">
        <is>
          <t>Ondansetron และ Levofloxacin ทำปฏิกิริยากัน เกิดการแย่งจับกับโปรตีนในพลาสมาอย่างรุนแรง</t>
        </is>
      </c>
      <c r="E77" s="34" t="inlineStr">
        <is>
          <t>Activated Charcoal เข้าจับและดูดซับ Levofloxacin ในระบบทางเดินอาหาร ส่งผลให้ระดับยาในเลือดของ Levofloxacin ลดลงอย่างมีนัยสำคัญ</t>
        </is>
      </c>
      <c r="F77" s="34" t="inlineStr">
        <is>
          <t>ORS ทำให้ความเป็นกรดในกระเพาะอาหารลดลง ส่งผลให้ Levofloxacin ไม่สามารถละลายตัวและดูดซึมได้</t>
        </is>
      </c>
      <c r="G77" s="34" t="inlineStr">
        <is>
          <t>Activated Charcoal เร่งการขจัดยา Levofloxacin ออกทางปัสสาวะผ่านกระบวนการ active secretion</t>
        </is>
      </c>
      <c r="H77" s="34" t="inlineStr">
        <is>
          <t>Ondansetron ลดการบีบตัวของกระเพาะอาหาร ทำให้ Levofloxacin ค้างอยู่ในกระเพาะนานจนยาเสื่อมสภาพ</t>
        </is>
      </c>
      <c r="I77" s="33" t="inlineStr">
        <is>
          <t>2</t>
        </is>
      </c>
      <c r="J77" s="34"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35" t="n"/>
      <c r="L77" s="34" t="inlineStr">
        <is>
          <t>Diarrhea &amp; Constipation</t>
        </is>
      </c>
      <c r="M77" s="35" t="inlineStr">
        <is>
          <t>Clinic</t>
        </is>
      </c>
      <c r="N77" s="34" t="inlineStr">
        <is>
          <t>ข้อ 1.1 Mock GI RxCU84</t>
        </is>
      </c>
      <c r="O77" s="35" t="inlineStr">
        <is>
          <t>Mock</t>
        </is>
      </c>
      <c r="P77" s="35" t="inlineStr">
        <is>
          <t>Mock RxCU84</t>
        </is>
      </c>
    </row>
    <row r="78" ht="13.2" customHeight="1" s="49">
      <c r="A78" s="33" t="n">
        <v>76</v>
      </c>
      <c r="B78"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35" t="n"/>
      <c r="D78" s="34"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34"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34"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34"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34"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33" t="inlineStr">
        <is>
          <t>2</t>
        </is>
      </c>
      <c r="J78" s="34"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35" t="n"/>
      <c r="L78" s="34" t="inlineStr">
        <is>
          <t>Diarrhea &amp; Constipation</t>
        </is>
      </c>
      <c r="M78" s="35" t="inlineStr">
        <is>
          <t>Clinic</t>
        </is>
      </c>
      <c r="N78" s="34" t="inlineStr">
        <is>
          <t>ข้อ 1.2 Mock GI RxCU84</t>
        </is>
      </c>
      <c r="O78" s="35" t="inlineStr">
        <is>
          <t>Mock</t>
        </is>
      </c>
      <c r="P78" s="35" t="inlineStr">
        <is>
          <t>Mock RxCU84</t>
        </is>
      </c>
    </row>
    <row r="79" ht="13.2" customHeight="1" s="49">
      <c r="A79" s="33" t="n">
        <v>77</v>
      </c>
      <c r="B79"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35" t="n"/>
      <c r="D79" s="34" t="inlineStr">
        <is>
          <t>Levofloxacin และ ORS</t>
        </is>
      </c>
      <c r="E79" s="34" t="inlineStr">
        <is>
          <t>Ondansetron และ Activated Charcoal</t>
        </is>
      </c>
      <c r="F79" s="34" t="inlineStr">
        <is>
          <t>Levofloxacin และ Ondansetron</t>
        </is>
      </c>
      <c r="G79" s="34" t="inlineStr">
        <is>
          <t>Activated Charcoal และ ORS</t>
        </is>
      </c>
      <c r="H79" s="34" t="inlineStr">
        <is>
          <t>Levofloxacin และ Activated Charcoal</t>
        </is>
      </c>
      <c r="I79" s="33" t="inlineStr">
        <is>
          <t>3</t>
        </is>
      </c>
      <c r="J79" s="34"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35" t="n"/>
      <c r="L79" s="34" t="inlineStr">
        <is>
          <t>Diarrhea &amp; Constipation</t>
        </is>
      </c>
      <c r="M79" s="35" t="inlineStr">
        <is>
          <t>Clinic</t>
        </is>
      </c>
      <c r="N79" s="34" t="inlineStr">
        <is>
          <t>ข้อ 1.3 Mock GI RxCU84</t>
        </is>
      </c>
      <c r="O79" s="35" t="inlineStr">
        <is>
          <t>Mock</t>
        </is>
      </c>
      <c r="P79" s="35" t="inlineStr">
        <is>
          <t>Mock RxCU84</t>
        </is>
      </c>
    </row>
    <row r="80" ht="13.2" customHeight="1" s="49">
      <c r="A80" s="33" t="n">
        <v>78</v>
      </c>
      <c r="B80"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35" t="n"/>
      <c r="D80" s="34" t="inlineStr">
        <is>
          <t>เปลี่ยน Levofloxacin เป็น Norfloxacin 400 mg รับประทานวันละ 2 ครั้ง นาน 3 วัน</t>
        </is>
      </c>
      <c r="E80" s="34" t="inlineStr">
        <is>
          <t>เปลี่ยน Levofloxacin เป็น Azithromycin 1,000 mg รับประทานครั้งเดียว หรือ 500 mg วันละครั้ง นาน 3 วัน</t>
        </is>
      </c>
      <c r="F80" s="34" t="inlineStr">
        <is>
          <t>เปลี่ยน Levofloxacin เป็น Doxycycline 100 mg รับประทานวันละ 2 ครั้ง นาน 3 วัน</t>
        </is>
      </c>
      <c r="G80" s="34" t="inlineStr">
        <is>
          <t>คงการใช้ Levofloxacin ไว้ตามเดิม เนื่องจากยามีความปลอดภัยสูงในหญิงตั้งครรภ์ทุกไตรมาส</t>
        </is>
      </c>
      <c r="H80" s="34" t="inlineStr">
        <is>
          <t>เปลี่ยน Levofloxacin เป็น Ciprofloxacin 500 mg รับประทานวันละ 2 ครั้ง นาน 3 วัน</t>
        </is>
      </c>
      <c r="I80" s="33" t="inlineStr">
        <is>
          <t>2</t>
        </is>
      </c>
      <c r="J80" s="34"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35" t="n"/>
      <c r="L80" s="34" t="inlineStr">
        <is>
          <t>Diarrhea &amp; Constipation</t>
        </is>
      </c>
      <c r="M80" s="35" t="inlineStr">
        <is>
          <t>Clinic</t>
        </is>
      </c>
      <c r="N80" s="34" t="inlineStr">
        <is>
          <t>ข้อ 1.4 Mock GI RxCU84</t>
        </is>
      </c>
      <c r="O80" s="35" t="inlineStr">
        <is>
          <t>Mock</t>
        </is>
      </c>
      <c r="P80" s="35" t="inlineStr">
        <is>
          <t>Mock RxCU84</t>
        </is>
      </c>
    </row>
    <row r="81" ht="13.2" customHeight="1" s="49">
      <c r="A81" s="33" t="n">
        <v>79</v>
      </c>
      <c r="B81"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35" t="n"/>
      <c r="D81" s="34" t="inlineStr">
        <is>
          <t>เหมาะสม เนื่องจากผู้ป่วยถ่ายบ่อยถึง 6 ครั้ง บ่งชี้ว่าร่างกายได้รับการติดเชื้อแบคทีเรียรุนแรง</t>
        </is>
      </c>
      <c r="E81" s="34"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34" t="inlineStr">
        <is>
          <t>เหมาะสม แต่ควรเปลี่ยนเป็นกลุ่ม Fluoroquinolones เช่น Norfloxacin เนื่องจากมีสเปกตรัมแคบกว่า</t>
        </is>
      </c>
      <c r="G81" s="34" t="inlineStr">
        <is>
          <t>เหมาะสม เนื่องจากยา Amoxicillin/Clavulanate ช่วยลดการหลั่งสารน้ำในเยื่อบุลำไส้ได้ดี</t>
        </is>
      </c>
      <c r="H81" s="34" t="inlineStr">
        <is>
          <t>ไม่เหมาะสม เนื่องจากยา Amoxicillin/Clavulanate สามารถผ่านรกไปทำอันตรายต่อทารกในครรภ์ได้อย่างรุนแรง (FDA Category X)</t>
        </is>
      </c>
      <c r="I81" s="33" t="inlineStr">
        <is>
          <t>2</t>
        </is>
      </c>
      <c r="J81" s="34"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Dyspepsia &amp; PUD</t>
        </is>
      </c>
      <c r="M81" s="35" t="inlineStr">
        <is>
          <t>Clinic</t>
        </is>
      </c>
      <c r="N81" s="34" t="inlineStr">
        <is>
          <t>ข้อ 2.1 Mock GI RxCU84</t>
        </is>
      </c>
      <c r="O81" s="35" t="inlineStr">
        <is>
          <t>Mock</t>
        </is>
      </c>
      <c r="P81" s="35" t="inlineStr">
        <is>
          <t>Mock RxCU84</t>
        </is>
      </c>
    </row>
    <row r="82" ht="13.2" customHeight="1" s="49">
      <c r="A82" s="33" t="n">
        <v>80</v>
      </c>
      <c r="B82"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35" t="n"/>
      <c r="D82" s="34" t="inlineStr">
        <is>
          <t>ตัวยา Clavulanate จะเร่งกระบวนการทำลายเยื่อบุกระเพาะอาหารโดยตรง เกิดแผลในกระเพาะอาหารฉับพลัน</t>
        </is>
      </c>
      <c r="E82" s="34" t="inlineStr">
        <is>
          <t>ยาจะทำให้เกิดการยับยั้งการหลั่งน้ำย่อยจากตับอ่อน ส่งผลให้มีไขมันปนในอุจจาระเพิ่มขึ้น</t>
        </is>
      </c>
      <c r="F82" s="34"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34" t="inlineStr">
        <is>
          <t>ยาปฏิชีวนะจะทำให้ทางเดินอาหารแห้งตัวและเกิดอาการท้องผูกสลับท้องเสียอย่างรุนแรง</t>
        </is>
      </c>
      <c r="H82" s="34" t="inlineStr">
        <is>
          <t>ตัวยา Amoxicillin จะออกฤทธิ์ขัดขวางการดูดซึมโซเดียมและน้ำกลับที่ไตโดยตรง</t>
        </is>
      </c>
      <c r="I82" s="33" t="inlineStr">
        <is>
          <t>3</t>
        </is>
      </c>
      <c r="J82" s="34"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35" t="n"/>
      <c r="L82" s="34" t="inlineStr">
        <is>
          <t>Dyspepsia &amp; PUD</t>
        </is>
      </c>
      <c r="M82" s="35" t="inlineStr">
        <is>
          <t>Clinic</t>
        </is>
      </c>
      <c r="N82" s="34" t="inlineStr">
        <is>
          <t>ข้อ 2.2 Mock GI RxCU84</t>
        </is>
      </c>
      <c r="O82" s="35" t="inlineStr">
        <is>
          <t>Mock</t>
        </is>
      </c>
      <c r="P82" s="35" t="inlineStr">
        <is>
          <t>Mock RxCU84</t>
        </is>
      </c>
    </row>
    <row r="83" ht="13.2" customHeight="1" s="49">
      <c r="A83" s="33" t="n">
        <v>81</v>
      </c>
      <c r="B83"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35" t="n"/>
      <c r="D83" s="34" t="inlineStr">
        <is>
          <t>Loperamide 2 mg</t>
        </is>
      </c>
      <c r="E83" s="34" t="inlineStr">
        <is>
          <t>Ibuprofen 400 mg</t>
        </is>
      </c>
      <c r="F83" s="34" t="inlineStr">
        <is>
          <t>Hyoscine butylbromide 10 mg</t>
        </is>
      </c>
      <c r="G83" s="34" t="inlineStr">
        <is>
          <t>Omeprazole 20 mg</t>
        </is>
      </c>
      <c r="H83" s="34" t="inlineStr">
        <is>
          <t>Activated Charcoal 250 mg</t>
        </is>
      </c>
      <c r="I83" s="33" t="inlineStr">
        <is>
          <t>3</t>
        </is>
      </c>
      <c r="J83" s="34"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35" t="n"/>
      <c r="L83" s="34" t="inlineStr">
        <is>
          <t>Dyspepsia &amp; PUD</t>
        </is>
      </c>
      <c r="M83" s="35" t="inlineStr">
        <is>
          <t>Clinic</t>
        </is>
      </c>
      <c r="N83" s="34" t="inlineStr">
        <is>
          <t>ข้อ 2.3 Mock GI RxCU84</t>
        </is>
      </c>
      <c r="O83" s="35" t="inlineStr">
        <is>
          <t>Mock</t>
        </is>
      </c>
      <c r="P83" s="35" t="inlineStr">
        <is>
          <t>Mock RxCU84</t>
        </is>
      </c>
    </row>
    <row r="84" ht="13.2" customHeight="1" s="49">
      <c r="A84" s="33" t="n">
        <v>82</v>
      </c>
      <c r="B84"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35" t="n"/>
      <c r="D84" s="34" t="inlineStr">
        <is>
          <t>ห้ามใช้ในผู้ป่วยที่มีอาการปวดท้องน้อยหรือมีอาการคลื่นไส้อาเจียนร่วมด้วย</t>
        </is>
      </c>
      <c r="E84" s="34"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34" t="inlineStr">
        <is>
          <t>ห้ามใช้ร่วมกับผงน้ำตาลเกลือแร่ (ORS) ทุกกรณีเนื่องจากจะลดประสิทธิภาพการทำงานของยา</t>
        </is>
      </c>
      <c r="G84" s="34" t="inlineStr">
        <is>
          <t>ห้ามใช้ในผู้ป่วยที่ดื่มน้ำได้น้อยเนื่องจากยาจะกระตุ้นการขับปัสสาวะอย่างรุนแรง</t>
        </is>
      </c>
      <c r="H84" s="34" t="inlineStr">
        <is>
          <t>ห้ามใช้ในคนไข้ที่มีอายุมากกว่า 18 ปี เนื่องจากยามีความปลอดภัยเฉพาะในวัยเด็กเล็กเท่านั้น</t>
        </is>
      </c>
      <c r="I84" s="33" t="inlineStr">
        <is>
          <t>2</t>
        </is>
      </c>
      <c r="J84" s="34"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35" t="n"/>
      <c r="L84" s="34" t="inlineStr">
        <is>
          <t>Dyspepsia &amp; PUD</t>
        </is>
      </c>
      <c r="M84" s="35" t="inlineStr">
        <is>
          <t>Clinic</t>
        </is>
      </c>
      <c r="N84" s="34" t="inlineStr">
        <is>
          <t>ข้อ 2.4 Mock GI RxCU84</t>
        </is>
      </c>
      <c r="O84" s="35" t="inlineStr">
        <is>
          <t>Mock</t>
        </is>
      </c>
      <c r="P84" s="35" t="inlineStr">
        <is>
          <t>Mock RxCU84</t>
        </is>
      </c>
    </row>
    <row r="85" ht="13.2" customHeight="1" s="49">
      <c r="A85" s="33" t="n">
        <v>83</v>
      </c>
      <c r="B85"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35" t="n"/>
      <c r="D85" s="34" t="inlineStr">
        <is>
          <t>ความเครียดทำให้เกิดภาวะเลือดเป็นกรด ส่งผลกระตุ้นหลอดอาหารอักเสบโดยตรง</t>
        </is>
      </c>
      <c r="E85" s="34"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34" t="inlineStr">
        <is>
          <t>การดื่มกาแฟปริมาณมากทำให้อาหารค้างอยู่ในกระเพาะนานขึ้น (Delayed gastric emptying)</t>
        </is>
      </c>
      <c r="G85" s="34" t="inlineStr">
        <is>
          <t>การทำงานหนักจนดึกขัดขวางการทำงานของระบบประสาท Sympathetic ทำให้หูรูดปิดแน่นเกินไป</t>
        </is>
      </c>
      <c r="H85" s="34" t="inlineStr">
        <is>
          <t>ความเครียดทำให้ร่างกายผลิตเมือกในกระเพาะอาหารน้อยลง ส่งผลให้เยื่อบุหลอดอาหารฉีกขาดง่าย</t>
        </is>
      </c>
      <c r="I85" s="33" t="inlineStr">
        <is>
          <t>2</t>
        </is>
      </c>
      <c r="J85" s="34"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35" t="n"/>
      <c r="L85" s="34" t="inlineStr">
        <is>
          <t>GERD</t>
        </is>
      </c>
      <c r="M85" s="35" t="inlineStr">
        <is>
          <t>Clinic</t>
        </is>
      </c>
      <c r="N85" s="34" t="inlineStr">
        <is>
          <t>ข้อ 3.1 Mock GI RxCU84</t>
        </is>
      </c>
      <c r="O85" s="35" t="inlineStr">
        <is>
          <t>Mock</t>
        </is>
      </c>
      <c r="P85" s="35" t="inlineStr">
        <is>
          <t>Mock RxCU84</t>
        </is>
      </c>
    </row>
    <row r="86" ht="13.2" customHeight="1" s="49">
      <c r="A86" s="33" t="n">
        <v>84</v>
      </c>
      <c r="B86"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35" t="n"/>
      <c r="D86" s="34" t="inlineStr">
        <is>
          <t>อาการแสบร้อนกลางอกเป็นมากขึ้นเมื่อนอนราบ</t>
        </is>
      </c>
      <c r="E86" s="34" t="inlineStr">
        <is>
          <t>อาการเรอเปรี้ยวหรือขมคอหลังรับประทานอาหารมื้อใหญ่</t>
        </is>
      </c>
      <c r="F86" s="34" t="inlineStr">
        <is>
          <t>มีอาการกลืนลำบาก (Dysphagia) กลืนเจ็บ (Odynophagia) น้ำหนักลดผิดปกติ หรืออุจจาระมีสีดำคล้ำ (Melena)</t>
        </is>
      </c>
      <c r="G86" s="34" t="inlineStr">
        <is>
          <t>อาการท้องอืด ท้องเฟ้อหลังรับประทานอาหารรสจัด</t>
        </is>
      </c>
      <c r="H86" s="34" t="inlineStr">
        <is>
          <t>อาการแสบร้อนกลางอกสลับกับอาการปวดเกร็งหน้าท้องด้านล่าง</t>
        </is>
      </c>
      <c r="I86" s="33" t="inlineStr">
        <is>
          <t>3</t>
        </is>
      </c>
      <c r="J86" s="34"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35" t="n"/>
      <c r="L86" s="34" t="inlineStr">
        <is>
          <t>GERD</t>
        </is>
      </c>
      <c r="M86" s="35" t="inlineStr">
        <is>
          <t>Clinic</t>
        </is>
      </c>
      <c r="N86" s="34" t="inlineStr">
        <is>
          <t>ข้อ 3.2 Mock GI RxCU84</t>
        </is>
      </c>
      <c r="O86" s="35" t="inlineStr">
        <is>
          <t>Mock</t>
        </is>
      </c>
      <c r="P86" s="35" t="inlineStr">
        <is>
          <t>Mock RxCU84</t>
        </is>
      </c>
    </row>
    <row r="87" ht="13.2" customHeight="1" s="49">
      <c r="A87" s="33" t="n">
        <v>85</v>
      </c>
      <c r="B87"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35" t="n"/>
      <c r="D87" s="34" t="inlineStr">
        <is>
          <t>Omeprazole 20 mg ครั้งละ 1 เม็ด วันละครั้ง หลังอาหารเช้าทันที นาน 1 สัปดาห์</t>
        </is>
      </c>
      <c r="E87" s="34" t="inlineStr">
        <is>
          <t>Omeprazole 20 mg ครั้งละ 1 เม็ด วันละครั้ง ก่อนอาหารเช้า 30-60 นาที ต่อเนื่องกัน 4-8 สัปดาห์</t>
        </is>
      </c>
      <c r="F87" s="34" t="inlineStr">
        <is>
          <t>Omeprazole 20 mg ครั้งละ 1 เม็ด วันละ 2 ครั้ง หลังอาหารเช้าและเย็น นาน 3 วัน</t>
        </is>
      </c>
      <c r="G87" s="34" t="inlineStr">
        <is>
          <t>Omeprazole 20 mg ครั้งละ 1 เม็ด รับประทานเฉพาะเวลามีอาการแสบร้อนกลางอก (PRN) โดยเคี้ยวยาให้ละเอียด</t>
        </is>
      </c>
      <c r="H87" s="34" t="inlineStr">
        <is>
          <t>Rabeprazole 20 mg ครั้งละ 1 เม็ด วันละครั้ง ก่อนนอน นาน 1 สัปดาห์</t>
        </is>
      </c>
      <c r="I87" s="33" t="inlineStr">
        <is>
          <t>2</t>
        </is>
      </c>
      <c r="J87" s="34"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35" t="n"/>
      <c r="L87" s="34" t="inlineStr">
        <is>
          <t>GERD</t>
        </is>
      </c>
      <c r="M87" s="35" t="inlineStr">
        <is>
          <t>Clinic</t>
        </is>
      </c>
      <c r="N87" s="34" t="inlineStr">
        <is>
          <t>ข้อ 3.3 Mock GI RxCU84</t>
        </is>
      </c>
      <c r="O87" s="35" t="inlineStr">
        <is>
          <t>Mock</t>
        </is>
      </c>
      <c r="P87" s="35" t="inlineStr">
        <is>
          <t>Mock RxCU84</t>
        </is>
      </c>
    </row>
    <row r="88" ht="13.2" customHeight="1" s="49">
      <c r="A88" s="33" t="n">
        <v>86</v>
      </c>
      <c r="B88"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35" t="n"/>
      <c r="D88" s="34"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34" t="inlineStr">
        <is>
          <t>ควรดื่มนมช็อกโกแลตหรือเครื่องดื่มผสมแอลกอฮอล์หลังอาหารเย็น เพื่อช่วยเคลือบแผลในหลอดอาหาร</t>
        </is>
      </c>
      <c r="F88" s="34"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34" t="inlineStr">
        <is>
          <t>แนะนำให้ออกกำลังกายอย่างหนักทันทีหลังมื้ออาหารเย็น เพื่อช่วยให้กระเพาะอาหารบีบตัวไล่แก๊สได้เร็วขึ้น</t>
        </is>
      </c>
      <c r="H88" s="34" t="inlineStr">
        <is>
          <t>แนะนำให้ดื่มน้ำเย็นปริมาณมากๆ ในระหว่างมื้ออาหาร เพื่อช่วยเจือจางกรดในกระเพาะอาหารไม่ให้ย้อนขึ้นไป</t>
        </is>
      </c>
      <c r="I88" s="33" t="inlineStr">
        <is>
          <t>3</t>
        </is>
      </c>
      <c r="J88" s="34"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35" t="n"/>
      <c r="L88" s="34" t="inlineStr">
        <is>
          <t>GERD</t>
        </is>
      </c>
      <c r="M88" s="35" t="inlineStr">
        <is>
          <t>Clinic</t>
        </is>
      </c>
      <c r="N88" s="34" t="inlineStr">
        <is>
          <t>ข้อ 3.4 Mock GI RxCU84</t>
        </is>
      </c>
      <c r="O88" s="35" t="inlineStr">
        <is>
          <t>Mock</t>
        </is>
      </c>
      <c r="P88" s="35" t="inlineStr">
        <is>
          <t>Mock RxCU84</t>
        </is>
      </c>
    </row>
    <row r="89" ht="13.2" customHeight="1" s="49">
      <c r="A89" s="33" t="n">
        <v>87</v>
      </c>
      <c r="B89"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35" t="n"/>
      <c r="D89" s="34" t="inlineStr">
        <is>
          <t>Proton pump inhibitors (เช่น Omeprazole)</t>
        </is>
      </c>
      <c r="E89" s="34" t="inlineStr">
        <is>
          <t>Calcium channel blockers (เช่น Amlodipine)</t>
        </is>
      </c>
      <c r="F89" s="34" t="inlineStr">
        <is>
          <t>Prokinetics (เช่น Domperidone)</t>
        </is>
      </c>
      <c r="G89" s="34" t="inlineStr">
        <is>
          <t>H2-receptor antagonists (เช่น Famotidine)</t>
        </is>
      </c>
      <c r="H89" s="34" t="inlineStr">
        <is>
          <t>Mucosal protectants (เช่น Sucralfate)</t>
        </is>
      </c>
      <c r="I89" s="33" t="inlineStr">
        <is>
          <t>2</t>
        </is>
      </c>
      <c r="J89" s="34"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35" t="n"/>
      <c r="L89" s="34" t="inlineStr">
        <is>
          <t>GERD</t>
        </is>
      </c>
      <c r="M89" s="35" t="inlineStr">
        <is>
          <t>Clinic</t>
        </is>
      </c>
      <c r="N89" s="34" t="inlineStr">
        <is>
          <t>ข้อ 3.5 Mock GI RxCU84</t>
        </is>
      </c>
      <c r="O89" s="35" t="inlineStr">
        <is>
          <t>Mock</t>
        </is>
      </c>
      <c r="P89" s="35" t="inlineStr">
        <is>
          <t>Mock RxCU84</t>
        </is>
      </c>
    </row>
    <row r="90" ht="13.2" customHeight="1" s="49">
      <c r="A90" s="33" t="n">
        <v>88</v>
      </c>
      <c r="B90"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35" t="n"/>
      <c r="D90" s="34" t="inlineStr">
        <is>
          <t>ทำให้ Pitavastatin หมดฤทธิ์</t>
        </is>
      </c>
      <c r="E90" s="34" t="inlineStr">
        <is>
          <t>ลดการดูดซึม Dolutegravir</t>
        </is>
      </c>
      <c r="F90" s="34" t="inlineStr">
        <is>
          <t>ทำให้ TDF เป็นพิษ</t>
        </is>
      </c>
      <c r="G90" s="34" t="inlineStr">
        <is>
          <t>เพิ่มระดับ 3TC</t>
        </is>
      </c>
      <c r="H90" s="34" t="inlineStr">
        <is>
          <t>ลดการขับออกของ Dolutegravir ทางไต</t>
        </is>
      </c>
      <c r="I90" s="33" t="inlineStr">
        <is>
          <t>2</t>
        </is>
      </c>
      <c r="J90" s="34"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35" t="n"/>
      <c r="L90" s="34" t="inlineStr">
        <is>
          <t>GERD</t>
        </is>
      </c>
      <c r="M90" s="35" t="inlineStr">
        <is>
          <t>Clinic</t>
        </is>
      </c>
      <c r="N90" s="34" t="inlineStr">
        <is>
          <t>ข้อ 4.1 Mock GI RxCU84</t>
        </is>
      </c>
      <c r="O90" s="35" t="inlineStr">
        <is>
          <t>Mock</t>
        </is>
      </c>
      <c r="P90" s="35" t="inlineStr">
        <is>
          <t>Mock RxCU84</t>
        </is>
      </c>
    </row>
    <row r="91" ht="13.2" customHeight="1" s="49">
      <c r="A91" s="33" t="n">
        <v>89</v>
      </c>
      <c r="B91"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35" t="n"/>
      <c r="D91" s="34" t="inlineStr">
        <is>
          <t>ให้รับประทานยาลดกรดและ Dolutegravir ร่วมกันพร้อมอาหารมื้อหลักทันทีเพื่อลดความเป็นกรดในกระเพาะ</t>
        </is>
      </c>
      <c r="E91" s="34"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34" t="inlineStr">
        <is>
          <t>ให้รับประทานยา Dolutegravir ในขนาดยาเพิ่มขึ้นเป็น 2 เท่าเฉพาะในวันที่ต้องใช้ยาลดกรด</t>
        </is>
      </c>
      <c r="G91" s="34" t="inlineStr">
        <is>
          <t>แนะนำให้เคี้ยวเม็ดยาลดกรดร่วมกับยาต้านไวรัสก่อนนอน เพื่อส่งเสริมการดูดซึมยาต้านไวรัส</t>
        </is>
      </c>
      <c r="H91" s="34" t="inlineStr">
        <is>
          <t>ให้ผู้ป่วยหยุดรับประทานยาต้านไวรัส Dolutegravir ไปก่อนชั่วคราวในระหว่างที่มีอาการของโรคกรดไหลย้อน</t>
        </is>
      </c>
      <c r="I91" s="33" t="inlineStr">
        <is>
          <t>2</t>
        </is>
      </c>
      <c r="J91" s="34"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35" t="n"/>
      <c r="L91" s="34" t="inlineStr">
        <is>
          <t>GERD</t>
        </is>
      </c>
      <c r="M91" s="35" t="inlineStr">
        <is>
          <t>Clinic</t>
        </is>
      </c>
      <c r="N91" s="34" t="inlineStr">
        <is>
          <t>ข้อ 4.2 Mock GI RxCU84</t>
        </is>
      </c>
      <c r="O91" s="35" t="inlineStr">
        <is>
          <t>Mock</t>
        </is>
      </c>
      <c r="P91" s="35" t="inlineStr">
        <is>
          <t>Mock RxCU84</t>
        </is>
      </c>
    </row>
    <row r="92" ht="13.2" customHeight="1" s="49">
      <c r="A92" s="33" t="n">
        <v>90</v>
      </c>
      <c r="B92"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35" t="n"/>
      <c r="D92" s="34"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34" t="inlineStr">
        <is>
          <t>ห้ามใช้ Omeprazole ร่วมกับ Dolutegravir เด็ดขาด เนื่องจากยาลดการทำงานของเอนไซม์ที่ใช้กำจัด Dolutegravir</t>
        </is>
      </c>
      <c r="F92" s="34" t="inlineStr">
        <is>
          <t>Omeprazole จะลดการดูดซึมของ Tenofovir (TDF) จนหมดสิ้น ทำให้ระดับยาต้านไวรัสไม่เพียงพอต่อการกดเชื้อ</t>
        </is>
      </c>
      <c r="G92" s="34" t="inlineStr">
        <is>
          <t>ยาปฏิชีวนะหรือยาต้านไวรัส 3TC จะเกิดการเสื่อมสภาพทันทีหาก pH ในกระเพาะอาหารเพิ่มขึ้นมากกว่า 5.0</t>
        </is>
      </c>
      <c r="H92" s="34" t="inlineStr">
        <is>
          <t>Omeprazole จะเพิ่มความเสี่ยงต่อการเกิดภาวะ Lactic acidosis จากยาต้านไวรัสกลุ่ม NRTIs</t>
        </is>
      </c>
      <c r="I92" s="33" t="inlineStr">
        <is>
          <t>1</t>
        </is>
      </c>
      <c r="J92" s="34"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35" t="n"/>
      <c r="L92" s="34" t="inlineStr">
        <is>
          <t>GERD</t>
        </is>
      </c>
      <c r="M92" s="35" t="inlineStr">
        <is>
          <t>Clinic</t>
        </is>
      </c>
      <c r="N92" s="34" t="inlineStr">
        <is>
          <t>ข้อ 4.3 Mock GI RxCU84</t>
        </is>
      </c>
      <c r="O92" s="35" t="inlineStr">
        <is>
          <t>Mock</t>
        </is>
      </c>
      <c r="P92" s="35" t="inlineStr">
        <is>
          <t>Mock RxCU84</t>
        </is>
      </c>
    </row>
    <row r="93" ht="13.2" customHeight="1" s="49">
      <c r="A93" s="33" t="n">
        <v>91</v>
      </c>
      <c r="B93"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35" t="n"/>
      <c r="D93" s="34" t="inlineStr">
        <is>
          <t>ยาระคายเคืองกระเพาะโดยตรง (Direct irritation) และยับยั้งเอนไซม์ COX-2 ทำให้ร่างกายสร้างกรดมากขึ้น</t>
        </is>
      </c>
      <c r="E93" s="34"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34" t="inlineStr">
        <is>
          <t>ยาไปกระตุ้นการทำงานของ parietal cells ในการหลั่งกรดไฮโดรคลอริก ผ่านทางกระบวนการกระตุ้น Histamine-2 receptors</t>
        </is>
      </c>
      <c r="G93" s="34" t="inlineStr">
        <is>
          <t>ยาปฏิชีวนะหรือยาแก้ปวด Diclofenac ทำให้เกิดภาวะติดเชื้อแบคทีเรีย H. pylori ในกระเพาะอาหารได้ง่ายขึ้น</t>
        </is>
      </c>
      <c r="H93" s="34" t="inlineStr">
        <is>
          <t>ยาไปเพิ่มการบีบตัวของกระเพาะอาหารอย่างรุนแรง ส่งผลให้กรดเข้มข้นไหลย้อนกลับทำลายเนื้อเยื่อ</t>
        </is>
      </c>
      <c r="I93" s="33" t="inlineStr">
        <is>
          <t>2</t>
        </is>
      </c>
      <c r="J93" s="34"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35" t="n"/>
      <c r="L93" s="34" t="inlineStr">
        <is>
          <t>Dyspepsia &amp; PUD</t>
        </is>
      </c>
      <c r="M93" s="35" t="inlineStr">
        <is>
          <t>Clinic</t>
        </is>
      </c>
      <c r="N93" s="34" t="inlineStr">
        <is>
          <t>ข้อ 5.1 Mock GI RxCU84</t>
        </is>
      </c>
      <c r="O93" s="35" t="inlineStr">
        <is>
          <t>Mock</t>
        </is>
      </c>
      <c r="P93" s="35" t="inlineStr">
        <is>
          <t>Mock RxCU84</t>
        </is>
      </c>
    </row>
    <row r="94" ht="13.2" customHeight="1" s="49">
      <c r="A94" s="33" t="n">
        <v>92</v>
      </c>
      <c r="B94"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35" t="n"/>
      <c r="D94" s="34" t="inlineStr">
        <is>
          <t>แนะนำให้เปลี่ยนจาก Diclofenac เป็น Naproxen 250 mg รับประทานวันละ 2 ครั้ง ทันที</t>
        </is>
      </c>
      <c r="E94" s="34"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34" t="inlineStr">
        <is>
          <t>แนะนำให้เพิ่มขนาดการรับประทาน Tolperisone เป็น 150 mg วันละ 3 ครั้ง และคงการทาน Diclofenac ร่วมด้วย</t>
        </is>
      </c>
      <c r="G94" s="34" t="inlineStr">
        <is>
          <t>แนะนำให้รับประทาน Diclofenac ห่างจากเครื่องดื่มแอลกอฮอล์อย่างน้อย 8 ชั่วโมง โดยใช้ยาสูตรเดิมต่อไป</t>
        </is>
      </c>
      <c r="H94" s="34" t="inlineStr">
        <is>
          <t>แนะนำให้ใช้ยาแก้ปวดกลุ่มสเตียรอยด์ (Steroids) ชนิดรับประทานทดแทนเพื่อความปลอดภัยต่อกระเพาะอาหาร</t>
        </is>
      </c>
      <c r="I94" s="33" t="inlineStr">
        <is>
          <t>2</t>
        </is>
      </c>
      <c r="J94" s="34"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35" t="n"/>
      <c r="L94" s="34" t="inlineStr">
        <is>
          <t>Dyspepsia &amp; PUD</t>
        </is>
      </c>
      <c r="M94" s="35" t="inlineStr">
        <is>
          <t>Clinic</t>
        </is>
      </c>
      <c r="N94" s="34" t="inlineStr">
        <is>
          <t>ข้อ 5.2 Mock GI RxCU84</t>
        </is>
      </c>
      <c r="O94" s="35" t="inlineStr">
        <is>
          <t>Mock</t>
        </is>
      </c>
      <c r="P94" s="35" t="inlineStr">
        <is>
          <t>Mock RxCU84</t>
        </is>
      </c>
    </row>
    <row r="95" ht="13.2" customHeight="1" s="49">
      <c r="A95" s="33" t="n">
        <v>93</v>
      </c>
      <c r="B95"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35" t="n"/>
      <c r="D95" s="34" t="inlineStr">
        <is>
          <t>ออกฤทธิ์จับตัวรับ H2 อาการข้างเคียงคือทำให้เกิดผื่นแพ้แสง; ห้ามใช้ในคนไข้โรคหัวใจล้มเหลว</t>
        </is>
      </c>
      <c r="E95" s="34"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34" t="inlineStr">
        <is>
          <t>ออกฤทธิ์บลอค Proton pump; อาการข้างเคียงคืออาการปวดศีรษะ; ห้ามใช้ในผู้ป่วยโรคตับแข็ง</t>
        </is>
      </c>
      <c r="G95" s="34" t="inlineStr">
        <is>
          <t>เป็นสารเคลือบแผลกระเพาะอาหาร; อาการข้างเคียงคือทำให้อุจจาระสีดำเข้ม; ห้ามใช้ในคนไข้ที่เป็นโรคไตวาย</t>
        </is>
      </c>
      <c r="H95" s="34" t="inlineStr">
        <is>
          <t>เป็นยากระตุ้นการหลั่งเอนไซม์ amylase; อาการข้างเคียงคือน้ำตาลในเลือดต่ำ; ห้ามใช้ร่วมกับอินซูลิน</t>
        </is>
      </c>
      <c r="I95" s="33" t="inlineStr">
        <is>
          <t>2</t>
        </is>
      </c>
      <c r="J95" s="34"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35" t="n"/>
      <c r="L95" s="34" t="inlineStr">
        <is>
          <t>Dyspepsia &amp; PUD</t>
        </is>
      </c>
      <c r="M95" s="35" t="inlineStr">
        <is>
          <t>Clinic</t>
        </is>
      </c>
      <c r="N95" s="34" t="inlineStr">
        <is>
          <t>ข้อ 5.3 Mock GI RxCU84</t>
        </is>
      </c>
      <c r="O95" s="35" t="inlineStr">
        <is>
          <t>Mock</t>
        </is>
      </c>
      <c r="P95" s="35" t="inlineStr">
        <is>
          <t>Mock RxCU84</t>
        </is>
      </c>
    </row>
    <row r="96" ht="13.2" customHeight="1" s="49">
      <c r="A96" s="33" t="n">
        <v>94</v>
      </c>
      <c r="B96"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35" t="n"/>
      <c r="D96" s="34" t="inlineStr">
        <is>
          <t>อาการปวดแสบบริเวณหน้าอกลามไปถึงไหล่ซ้าย</t>
        </is>
      </c>
      <c r="E96" s="34"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34" t="inlineStr">
        <is>
          <t>อาการแสบร้อนที่ผิวหนังบริเวณที่ปวดกล้ามเนื้อ</t>
        </is>
      </c>
      <c r="G96" s="34" t="inlineStr">
        <is>
          <t>อาการอ่อนเพลียเล็กน้อยหลังจากทำงานเกษตรกลางแดดจัด</t>
        </is>
      </c>
      <c r="H96" s="34" t="inlineStr">
        <is>
          <t>อาการท้องอืด ท้องเฟ้อ มีลมในกระเพาะอาหารหลังตื่นนอนตอนเช้า</t>
        </is>
      </c>
      <c r="I96" s="33" t="inlineStr">
        <is>
          <t>2</t>
        </is>
      </c>
      <c r="J96" s="34"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35" t="n"/>
      <c r="L96" s="34" t="inlineStr">
        <is>
          <t>Dyspepsia &amp; PUD</t>
        </is>
      </c>
      <c r="M96" s="35" t="inlineStr">
        <is>
          <t>Clinic</t>
        </is>
      </c>
      <c r="N96" s="34" t="inlineStr">
        <is>
          <t>ข้อ 5.4 Mock GI RxCU84</t>
        </is>
      </c>
      <c r="O96" s="35" t="inlineStr">
        <is>
          <t>Mock</t>
        </is>
      </c>
      <c r="P96" s="35" t="inlineStr">
        <is>
          <t>Mock RxCU84</t>
        </is>
      </c>
    </row>
    <row r="97" ht="13.2" customHeight="1" s="49">
      <c r="A97" s="33" t="n">
        <v>95</v>
      </c>
      <c r="B97"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35" t="n"/>
      <c r="D97" s="34" t="inlineStr">
        <is>
          <t>5-HT3 antagonist</t>
        </is>
      </c>
      <c r="E97" s="34" t="inlineStr">
        <is>
          <t>Antihistamine / Anticholinergic</t>
        </is>
      </c>
      <c r="F97" s="34" t="inlineStr">
        <is>
          <t>Dopamine D2 antagonist</t>
        </is>
      </c>
      <c r="G97" s="34" t="inlineStr">
        <is>
          <t>Benzodiazepines (Anticipatory emesis)</t>
        </is>
      </c>
      <c r="H97" s="34" t="inlineStr">
        <is>
          <t>Neurokinin-1 (NK1) receptor antagonist</t>
        </is>
      </c>
      <c r="I97" s="33" t="inlineStr">
        <is>
          <t>3</t>
        </is>
      </c>
      <c r="J97" s="34"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35" t="n"/>
      <c r="L97" s="34" t="inlineStr">
        <is>
          <t>Dyspepsia &amp; PUD</t>
        </is>
      </c>
      <c r="M97" s="35" t="inlineStr">
        <is>
          <t>Clinic</t>
        </is>
      </c>
      <c r="N97" s="34" t="inlineStr">
        <is>
          <t>ข้อ 5.5 Mock GI RxCU84</t>
        </is>
      </c>
      <c r="O97" s="35" t="inlineStr">
        <is>
          <t>Mock</t>
        </is>
      </c>
      <c r="P97" s="35" t="inlineStr">
        <is>
          <t>Mock RxCU84</t>
        </is>
      </c>
    </row>
    <row r="98" ht="13.2" customHeight="1" s="49">
      <c r="A98" s="33" t="n">
        <v>96</v>
      </c>
      <c r="B98"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35" t="n"/>
      <c r="D98" s="34" t="inlineStr">
        <is>
          <t>Domperidone ออกฤทธิ์ที่ 5-HT3 receptor จึงไม่มีผลต่อ CNS</t>
        </is>
      </c>
      <c r="E98" s="34" t="inlineStr">
        <is>
          <t>Domperidone ผ่าน blood-brain barrier (BBB) ได้น้อยกว่า Metoclopramide จึงมีโอกาสเกิด extrapyramidal symptoms (EPS) และผลข้างเคียงทาง CNS น้อยกว่า</t>
        </is>
      </c>
      <c r="F98" s="34" t="inlineStr">
        <is>
          <t>Domperidone ไม่มีผลต่อระดับ prolactin เลย</t>
        </is>
      </c>
      <c r="G98" s="34" t="inlineStr">
        <is>
          <t>Metoclopramide ไม่ผ่าน BBB จึงปลอดภัยกว่าในการใช้ระยะยาว</t>
        </is>
      </c>
      <c r="H98" s="34" t="inlineStr">
        <is>
          <t>ทั้งสองตัวมี safety profile เหมือนกันทุกประการ</t>
        </is>
      </c>
      <c r="I98" s="33" t="inlineStr">
        <is>
          <t>2</t>
        </is>
      </c>
      <c r="J98" s="34"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35" t="n"/>
      <c r="L98" s="34" t="inlineStr">
        <is>
          <t>Dyspepsia &amp; PUD</t>
        </is>
      </c>
      <c r="M98" s="35" t="inlineStr">
        <is>
          <t>Clinic</t>
        </is>
      </c>
      <c r="N98" s="34" t="inlineStr">
        <is>
          <t>ข้อ 5.6 Mock GI RxCU84</t>
        </is>
      </c>
      <c r="O98" s="35" t="inlineStr">
        <is>
          <t>Mock</t>
        </is>
      </c>
      <c r="P98" s="35" t="inlineStr">
        <is>
          <t>Mock RxCU84</t>
        </is>
      </c>
    </row>
    <row r="99" ht="13.2" customHeight="1" s="49">
      <c r="A99" s="33" t="n">
        <v>97</v>
      </c>
      <c r="B99"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35" t="n"/>
      <c r="D99" s="34" t="inlineStr">
        <is>
          <t>ควรรับประทานพร้อมอาหารที่มีไขมันสูงเพื่อเพิ่มการดูดซึม</t>
        </is>
      </c>
      <c r="E99" s="34" t="inlineStr">
        <is>
          <t>ไม่ควรใช้ติดต่อกันนานเกิน 12 สัปดาห์ เนื่องจากเพิ่มความเสี่ยง tardive dyskinesia ซึ่งอาจเป็นแบบถาวร</t>
        </is>
      </c>
      <c r="F99" s="34" t="inlineStr">
        <is>
          <t>สามารถใช้ร่วมกับแอลกอฮอล์ได้อย่างปลอดภัยโดยไม่มีผลเสริมฤทธิ์กดประสาท</t>
        </is>
      </c>
      <c r="G99" s="34" t="inlineStr">
        <is>
          <t>ไม่มีผลต่อระบบประสาทส่วนกลางจึงใช้ในผู้ป่วย Parkinson’s disease ได้อย่างปลอดภัย</t>
        </is>
      </c>
      <c r="H99" s="34" t="inlineStr">
        <is>
          <t>ไม่จำเป็นต้องปรับขนาดยาในผู้ป่วยที่มีการทำงานของไตบกพร่อง</t>
        </is>
      </c>
      <c r="I99" s="33" t="inlineStr">
        <is>
          <t>2</t>
        </is>
      </c>
      <c r="J99" s="34"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35" t="n"/>
      <c r="L99" s="34" t="inlineStr">
        <is>
          <t>Dyspepsia &amp; PUD</t>
        </is>
      </c>
      <c r="M99" s="35" t="inlineStr">
        <is>
          <t>Clinic</t>
        </is>
      </c>
      <c r="N99" s="34" t="inlineStr">
        <is>
          <t>ข้อ 5.7 Mock GI RxCU84</t>
        </is>
      </c>
      <c r="O99" s="35" t="inlineStr">
        <is>
          <t>Mock</t>
        </is>
      </c>
      <c r="P99" s="35" t="inlineStr">
        <is>
          <t>Mock RxCU84</t>
        </is>
      </c>
    </row>
    <row r="100" ht="13.2" customHeight="1" s="49">
      <c r="A100" s="33" t="n">
        <v>98</v>
      </c>
      <c r="B100"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35" t="n"/>
      <c r="D100" s="34" t="inlineStr">
        <is>
          <t>Low emetogenic potential (โอกาสเกิดอาการร้อยละ 10–30)</t>
        </is>
      </c>
      <c r="E100" s="34" t="inlineStr">
        <is>
          <t>Moderate emetogenic potential (โอกาสเกิดอาการร้อยละ 30–90)</t>
        </is>
      </c>
      <c r="F100" s="34" t="inlineStr">
        <is>
          <t>High emetogenic potential</t>
        </is>
      </c>
      <c r="G100" s="34" t="inlineStr">
        <is>
          <t>Minimal emetogenic potential</t>
        </is>
      </c>
      <c r="H100" s="34" t="inlineStr">
        <is>
          <t>Sub-therapeutic emetogenic potential (ไม่มีผลต่อการกระตุ้นอาการอาเจียน)</t>
        </is>
      </c>
      <c r="I100" s="33" t="inlineStr">
        <is>
          <t>3</t>
        </is>
      </c>
      <c r="J100" s="34" t="inlineStr">
        <is>
          <t>✅ คำตอบที่ถูกต้อง: ตามที่ระบุในคอลัมน์เฉลย
💡 Background:
NSAID-induced gastropathy เกิดจากการยับยั้ง COX-1 ลดการสร้าง Prostaglandin ที่ปกป้องเยื่อบุกระเพาะ ทำให้เยื่อบุกระเพาะบางลง เกิด erosion และ ulcer ได้ ปัจจัยเสี่ยงสูง: อายุ &gt;65 ปี, ประวัติ ulcer, ใช้ร่วมกับ Aspirin/Warfarin/Corticosteroid
🎯 ทำไมข้อนี้ถึงถูก:
คำตอบสอดคล้องกับ evidence-based NSAID gastroprotection strategy
📖 Guideline อ้างอิง:
American College of Gastroenterology Clinical Guideline: Diagnosis and Management of Gastroesophageal Reflux Disease 2022
📌 จุดจำก่อนสอบ:
NSAID + high risk → PPI ป้องกัน; หรือเปลี่ยนเป็น Selective COX-2 inhibitor (Celecoxib)</t>
        </is>
      </c>
      <c r="K100" s="35" t="n"/>
      <c r="L100" s="34" t="inlineStr">
        <is>
          <t>Nausea and vomiting</t>
        </is>
      </c>
      <c r="M100" s="35" t="inlineStr">
        <is>
          <t>Clinic</t>
        </is>
      </c>
      <c r="N100" s="34" t="inlineStr">
        <is>
          <t>ข้อ 6.1 Mock GI RxCU84</t>
        </is>
      </c>
      <c r="O100" s="35" t="inlineStr">
        <is>
          <t>Mock</t>
        </is>
      </c>
      <c r="P100" s="35" t="inlineStr">
        <is>
          <t>Mock RxCU84</t>
        </is>
      </c>
    </row>
    <row r="101" ht="13.2" customHeight="1" s="49">
      <c r="A101" s="33" t="n">
        <v>99</v>
      </c>
      <c r="B101"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35" t="n"/>
      <c r="D101" s="34" t="inlineStr">
        <is>
          <t>เหมาะสม เนื่องจาก Ondansetron เป็นยากลุ่ม 5-HT3 antagonist ที่มีประสิทธิภาพสูงสุดครอบคลุมทั้งระยะเฉียบพลันและระยะช้า</t>
        </is>
      </c>
      <c r="E101" s="34"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34" t="inlineStr">
        <is>
          <t>เหมาะสม แต่ควรเปลี่ยนช่องทางการบริหารยาเป็นชนิดเม็ดรับประทาน (Oral tablet) เพื่อผลการรักษาที่ดีกว่า</t>
        </is>
      </c>
      <c r="G101" s="34" t="inlineStr">
        <is>
          <t>ไม่เหมาะสม เนื่องจากควรใช้เฉพาะยาปฏิชีวนะและยาลดกรด Omeprazole ในการป้องกันอาการอาเจียนเท่านั้น</t>
        </is>
      </c>
      <c r="H101" s="34" t="inlineStr">
        <is>
          <t>เหมาะสม แต่ต้องบริหารยาร่วมกับสารน้ำทางหลอดเลือดดำปริมาณมากเพียงอย่างเดียวโดยไม่ต้องให้ยาอื่นเพิ่ม</t>
        </is>
      </c>
      <c r="I101" s="33" t="inlineStr">
        <is>
          <t>2</t>
        </is>
      </c>
      <c r="J101" s="34" t="inlineStr">
        <is>
          <t>✅ คำตอบที่ถูกต้อง: ตามที่ระบุในคอลัมน์เฉลย
💡 Background:
Domperidone ดูดซึมได้ดีในสภาพแวดล้อมที่มีกรด (กระเพาะอาหาร pH ต่ำ) การใช้ร่วมกับ Antacids หรือ Antisecretory drugs (H2-blocker, PPI) ที่เพิ่ม gastric pH จะลดการดูดซึม Domperidone ลง ตาม Micromedex แนะนำให้หลีกเลี่ยงการใช้ร่วมกัน
🎯 ทำไมข้อนี้ถึงถูก:
Domperidone มีการดูดซึมลดลงเมื่อใช้ร่วมกับ antacids หรือ antisecretory drugs ควรให้ Domperidone ก่อนอาหาร 15-30 นาที และหลีกเลี่ยงการให้พร้อมกับยาลดกรด
📖 Guideline อ้างอิง:
[NEED_REVIEW]
📌 จุดจำก่อนสอบ:
Domperidone + Antacid/PPI → ลดการดูดซึม Domperidone; ให้ Domperidone ก่อนอาหาร 15-30 นาที</t>
        </is>
      </c>
      <c r="K101" s="35" t="n"/>
      <c r="L101" s="34" t="inlineStr">
        <is>
          <t>Nausea and vomiting</t>
        </is>
      </c>
      <c r="M101" s="35" t="inlineStr">
        <is>
          <t>Clinic</t>
        </is>
      </c>
      <c r="N101" s="34" t="inlineStr">
        <is>
          <t>ข้อ 6.2 Mock GI RxCU84</t>
        </is>
      </c>
      <c r="O101" s="35" t="inlineStr">
        <is>
          <t>Mock</t>
        </is>
      </c>
      <c r="P101" s="35" t="inlineStr">
        <is>
          <t>Mock RxCU84</t>
        </is>
      </c>
    </row>
    <row r="102" ht="13.2" customHeight="1" s="49">
      <c r="A102" s="33" t="n">
        <v>100</v>
      </c>
      <c r="B102"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35" t="n"/>
      <c r="D102" s="34" t="inlineStr">
        <is>
          <t>อาการเริ่มแสดงหลังรับยา 1 ชั่วโมง; ยาที่มีบทบาทหลักคือยาชาเฉพาะที่ Lidocaine</t>
        </is>
      </c>
      <c r="E102" s="34"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34" t="inlineStr">
        <is>
          <t>อาการเริ่มแสดงในสัปดาห์ที่สามหลังให้ยา; ยาที่มีบทบาทหลักคือยากระตุ้นการบีบตัวของทางเดินอาหาร Domperidone</t>
        </is>
      </c>
      <c r="G102" s="34" t="inlineStr">
        <is>
          <t>อาการเริ่มแสดงในช่วงก่อนได้รับยาเคมีบำบัดรอบถัดไป; ยาที่มีบทบาทหลักคือยากลุ่ม Benzodiazepines เช่น Lorazepam</t>
        </is>
      </c>
      <c r="H102" s="34" t="inlineStr">
        <is>
          <t>อาการเริ่มแสดงทันทีหลังถอดสายน้ำเกลือเคมีบำบัด; ยาที่มีบทบาทหลักคือยาลดกรดชนิดน้ำ Antacid</t>
        </is>
      </c>
      <c r="I102" s="33" t="inlineStr">
        <is>
          <t>2</t>
        </is>
      </c>
      <c r="J102" s="34" t="inlineStr">
        <is>
          <t>✅ คำตอบที่ถูกต้อง: ตามที่ระบุในคอลัมน์เฉลย
💡 Background:
Standard triple therapy สำหรับ H. pylori: PPI (standard dose BID) + Clarithromycin 500 mg BID + Amoxicillin 1000 mg BID นาน 14 วัน อัตรา eradication ~80-85% ในพื้นที่ที่ยังไม่ดื้อ Clarithromycin
🎯 ทำไมข้อนี้ถึงถูก:
คำตอบสอดคล้องกับ H. pylori eradication regimen — ขนาดยา ระยะเวลา หรือการใช้ยาร่วม
📖 Guideline อ้างอิง:
American College of Gastroenterology Clinical Guideline: Treatment of Helicobacter pylori Infection 2017
📌 จุดจำก่อนสอบ:
Triple therapy 14 วัน &gt; 7 วัน; เช็ค eradication ด้วย UBT หรือ stool antigen ≥4 สัปดาห์หลังหยุดยา</t>
        </is>
      </c>
      <c r="K102" s="35" t="n"/>
      <c r="L102" s="34" t="inlineStr">
        <is>
          <t>Nausea and vomiting</t>
        </is>
      </c>
      <c r="M102" s="35" t="inlineStr">
        <is>
          <t>Clinic</t>
        </is>
      </c>
      <c r="N102" s="34" t="inlineStr">
        <is>
          <t>ข้อ 6.5 Mock GI RxCU84</t>
        </is>
      </c>
      <c r="O102" s="35" t="inlineStr">
        <is>
          <t>Mock</t>
        </is>
      </c>
      <c r="P102" s="35" t="inlineStr">
        <is>
          <t>Mock RxCU84</t>
        </is>
      </c>
    </row>
    <row r="103" ht="13.2" customHeight="1" s="49">
      <c r="A103" s="33" t="n">
        <v>101</v>
      </c>
      <c r="B103"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35" t="n"/>
      <c r="D103" s="34"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34" t="inlineStr">
        <is>
          <t>ผู้สูงอายุไม่มีความเสี่ยงพิเศษใดๆ เพิ่มเติมจาก D2 antagonist</t>
        </is>
      </c>
      <c r="F103" s="34" t="inlineStr">
        <is>
          <t>ควรเพิ่มขนาด Metoclopramide เป็น 2 เท่าในผู้สูงอายุเพื่อผลการรักษาที่ดีขึ้น</t>
        </is>
      </c>
      <c r="G103" s="34" t="inlineStr">
        <is>
          <t>Metoclopramide ปลอดภัยกว่าในผู้สูงอายุเมื่อเทียบกับผู้ป่วยอายุน้อย</t>
        </is>
      </c>
      <c r="H103" s="34" t="inlineStr">
        <is>
          <t>ไม่จำเป็นต้องคำนึงถึงการทำงานของไตในการให้ Metoclopramide ในผู้สูงอายุ</t>
        </is>
      </c>
      <c r="I103" s="33" t="inlineStr">
        <is>
          <t>1</t>
        </is>
      </c>
      <c r="J103" s="34" t="inlineStr">
        <is>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is>
      </c>
      <c r="K103" s="35" t="n"/>
      <c r="L103" s="34" t="inlineStr">
        <is>
          <t>Nausea and vomiting</t>
        </is>
      </c>
      <c r="M103" s="35" t="inlineStr">
        <is>
          <t>Clinic</t>
        </is>
      </c>
      <c r="N103" s="34" t="inlineStr">
        <is>
          <t>ข้อ 6.6 Mock GI RxCU84</t>
        </is>
      </c>
      <c r="O103" s="35" t="inlineStr">
        <is>
          <t>Mock</t>
        </is>
      </c>
      <c r="P103" s="35" t="inlineStr">
        <is>
          <t>Mock RxCU84</t>
        </is>
      </c>
    </row>
    <row r="104" ht="13.2" customHeight="1" s="49">
      <c r="A104" s="33" t="n">
        <v>102</v>
      </c>
      <c r="B104"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35" t="n"/>
      <c r="D104" s="34" t="inlineStr">
        <is>
          <t>เป็น acute emesis เพิ่มขนาด 5-HT3 antagonist</t>
        </is>
      </c>
      <c r="E104" s="34" t="inlineStr">
        <is>
          <t>เป็น delayed emesis เพิ่ม NK-1 antagonist</t>
        </is>
      </c>
      <c r="F104" s="34" t="inlineStr">
        <is>
          <t>เป็น Anticipatory emesis พิจารณาให้ Benzodiazepine (เช่น Lorazepam)</t>
        </is>
      </c>
      <c r="G104" s="34" t="inlineStr">
        <is>
          <t>เป็นผลจาก motion sickness ระหว่างเดินทางมาโรงพยาบาล ให้ Dimenhydrinate</t>
        </is>
      </c>
      <c r="H104" s="34" t="inlineStr">
        <is>
          <t>ไม่ต้องรักษาเพราะเป็นอาการทางจิตใจที่ไม่เกี่ยวกับเภสัชวิทยา</t>
        </is>
      </c>
      <c r="I104" s="33" t="inlineStr">
        <is>
          <t>3</t>
        </is>
      </c>
      <c r="J104" s="34" t="inlineStr">
        <is>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is>
      </c>
      <c r="K104" s="35" t="n"/>
      <c r="L104" s="34" t="inlineStr">
        <is>
          <t>Nausea and vomiting</t>
        </is>
      </c>
      <c r="M104" s="35" t="inlineStr">
        <is>
          <t>Clinic</t>
        </is>
      </c>
      <c r="N104" s="34" t="inlineStr">
        <is>
          <t>ข้อ 6.7 Mock GI RxCU84</t>
        </is>
      </c>
      <c r="O104" s="35" t="inlineStr">
        <is>
          <t>Mock</t>
        </is>
      </c>
      <c r="P104" s="35" t="inlineStr">
        <is>
          <t>Mock RxCU84</t>
        </is>
      </c>
    </row>
    <row r="105" ht="13.2" customHeight="1" s="49">
      <c r="A105" s="33" t="n">
        <v>103</v>
      </c>
      <c r="B105"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35" t="n"/>
      <c r="D105" s="34" t="inlineStr">
        <is>
          <t>Grade I</t>
        </is>
      </c>
      <c r="E105" s="34" t="inlineStr">
        <is>
          <t>Grade II</t>
        </is>
      </c>
      <c r="F105" s="34" t="inlineStr">
        <is>
          <t>Grade III</t>
        </is>
      </c>
      <c r="G105" s="34" t="inlineStr">
        <is>
          <t>Grade IV</t>
        </is>
      </c>
      <c r="H105" s="34" t="inlineStr">
        <is>
          <t>External hemorrhoid (ไม่ใช้ระบบ grade I–IV)</t>
        </is>
      </c>
      <c r="I105" s="33" t="inlineStr">
        <is>
          <t>3</t>
        </is>
      </c>
      <c r="J105" s="34" t="inlineStr">
        <is>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is>
      </c>
      <c r="K105" s="35" t="n"/>
      <c r="L105" s="34" t="inlineStr">
        <is>
          <t>Diarrhea &amp; Constipation</t>
        </is>
      </c>
      <c r="M105" s="35" t="inlineStr">
        <is>
          <t>Clinic</t>
        </is>
      </c>
      <c r="N105" s="34" t="inlineStr">
        <is>
          <t>ข้อ 7.1 Mock GI RxCU84</t>
        </is>
      </c>
      <c r="O105" s="35" t="inlineStr">
        <is>
          <t>Mock</t>
        </is>
      </c>
      <c r="P105" s="35" t="inlineStr">
        <is>
          <t>Mock RxCU84</t>
        </is>
      </c>
    </row>
    <row r="106" ht="13.2" customHeight="1" s="49">
      <c r="A106" s="33" t="n">
        <v>104</v>
      </c>
      <c r="B106"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35" t="n"/>
      <c r="D106" s="34" t="inlineStr">
        <is>
          <t>ส่งต่อทำ colonoscopy ทันทีทุกกรณีเพราะมีเลือดออก</t>
        </is>
      </c>
      <c r="E106" s="34" t="inlineStr">
        <is>
          <t>ประเมินแล้วไม่มี red flag ชัดเจน จึงเริ่มดูแลแบบ conservative ที่ร้านยาได้ พร้อมแนะนำสัญญาณอันตรายที่ต้องกลับมาพบแพทย์</t>
        </is>
      </c>
      <c r="F106" s="34" t="inlineStr">
        <is>
          <t>จ่ายยาปฏิชีวนะชนิดรับประทานเพื่อกันติดเชื้อ</t>
        </is>
      </c>
      <c r="G106" s="34" t="inlineStr">
        <is>
          <t>แนะนำผ่าตัดริดสีดวงทันที</t>
        </is>
      </c>
      <c r="H106" s="34" t="inlineStr">
        <is>
          <t>หยุดสังเกตอาการเองที่บ้านนาน 3 เดือน โดยไม่ให้คำแนะนำหรือ warning signs ใด ๆ</t>
        </is>
      </c>
      <c r="I106" s="33" t="inlineStr">
        <is>
          <t>2</t>
        </is>
      </c>
      <c r="J106" s="34" t="inlineStr">
        <is>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is>
      </c>
      <c r="K106" s="35" t="n"/>
      <c r="L106" s="34" t="inlineStr">
        <is>
          <t>Diarrhea &amp; Constipation</t>
        </is>
      </c>
      <c r="M106" s="35" t="inlineStr">
        <is>
          <t>Clinic</t>
        </is>
      </c>
      <c r="N106" s="34" t="inlineStr">
        <is>
          <t>ข้อ 7.2 Mock GI RxCU84</t>
        </is>
      </c>
      <c r="O106" s="35" t="inlineStr">
        <is>
          <t>Mock</t>
        </is>
      </c>
      <c r="P106" s="35" t="inlineStr">
        <is>
          <t>Mock RxCU84</t>
        </is>
      </c>
    </row>
    <row r="107" ht="13.2" customHeight="1" s="49">
      <c r="A107" s="33" t="n">
        <v>105</v>
      </c>
      <c r="B107"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35" t="n"/>
      <c r="D107" s="34" t="inlineStr">
        <is>
          <t>Rubber band ligation</t>
        </is>
      </c>
      <c r="E107" s="34" t="inlineStr">
        <is>
          <t>Topical hydrocortisone + lidocaine suppository</t>
        </is>
      </c>
      <c r="F107" s="34" t="inlineStr">
        <is>
          <t>Dietary &amp; behavioral modification (เพิ่มใยอาหาร + ดื่มน้ำ + ปรับพฤติกรรมขับถ่าย)</t>
        </is>
      </c>
      <c r="G107" s="34" t="inlineStr">
        <is>
          <t>Hemorrhoidectomy</t>
        </is>
      </c>
      <c r="H107" s="34" t="inlineStr">
        <is>
          <t>จ่ายยาปฏิชีวนะชนิดรับประทานเพื่อป้องกันการติดเชื้อ</t>
        </is>
      </c>
      <c r="I107" s="33" t="inlineStr">
        <is>
          <t>3</t>
        </is>
      </c>
      <c r="J107" s="34" t="inlineStr">
        <is>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[NEED_REVIEW]
📌 จุดจำก่อนสอบ:
ยาเหน็บริดสีดวง = บรรเทาอาการชั่วคราว; ห้ามใช้ระยะยาวเพราะ steroid component</t>
        </is>
      </c>
      <c r="K107" s="35" t="n"/>
      <c r="L107" s="34" t="inlineStr">
        <is>
          <t>Diarrhea &amp; Constipation</t>
        </is>
      </c>
      <c r="M107" s="35" t="inlineStr">
        <is>
          <t>Clinic</t>
        </is>
      </c>
      <c r="N107" s="34" t="inlineStr">
        <is>
          <t>ข้อ 7.3 Mock GI RxCU84</t>
        </is>
      </c>
      <c r="O107" s="35" t="inlineStr">
        <is>
          <t>Mock</t>
        </is>
      </c>
      <c r="P107" s="35" t="inlineStr">
        <is>
          <t>Mock RxCU84</t>
        </is>
      </c>
    </row>
    <row r="108" ht="13.2" customHeight="1" s="49">
      <c r="A108" s="33" t="n">
        <v>106</v>
      </c>
      <c r="B108"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35" t="n"/>
      <c r="D108" s="34" t="inlineStr">
        <is>
          <t>Senna + แนะนำใช้เฉพาะเวลาปวด</t>
        </is>
      </c>
      <c r="E108" s="34" t="inlineStr">
        <is>
          <t>Psyllium (bulk-forming) + แนะนำดื่มน้ำตามให้พอ และใช้ต่อเนื่อง ≥ 6 สัปดาห์</t>
        </is>
      </c>
      <c r="F108" s="34" t="inlineStr">
        <is>
          <t>Bisacodyl + แนะนำใช้ก่อนนอนทุกคืนถาวร</t>
        </is>
      </c>
      <c r="G108" s="34" t="inlineStr">
        <is>
          <t>Glycerin suppository + แนะนำสวนทุกเช้า</t>
        </is>
      </c>
      <c r="H108" s="34" t="inlineStr">
        <is>
          <t>Lactulose + แนะนำใช้เฉพาะเมื่อมีอาการปวดเท่านั้น</t>
        </is>
      </c>
      <c r="I108" s="33" t="inlineStr">
        <is>
          <t>2</t>
        </is>
      </c>
      <c r="J108" s="34" t="inlineStr">
        <is>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is>
      </c>
      <c r="K108" s="35" t="n"/>
      <c r="L108" s="34" t="inlineStr">
        <is>
          <t>Diarrhea &amp; Constipation</t>
        </is>
      </c>
      <c r="M108" s="35" t="inlineStr">
        <is>
          <t>Clinic</t>
        </is>
      </c>
      <c r="N108" s="34" t="inlineStr">
        <is>
          <t>ข้อ 7.4 Mock GI RxCU84</t>
        </is>
      </c>
      <c r="O108" s="35" t="inlineStr">
        <is>
          <t>Mock</t>
        </is>
      </c>
      <c r="P108" s="35" t="inlineStr">
        <is>
          <t>Mock RxCU84</t>
        </is>
      </c>
    </row>
    <row r="109" ht="13.2" customHeight="1" s="49">
      <c r="A109" s="33" t="n">
        <v>107</v>
      </c>
      <c r="B109"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35" t="n"/>
      <c r="D109" s="34" t="inlineStr">
        <is>
          <t>1 เม็ด วันละครั้ง ต่อเนื่อง</t>
        </is>
      </c>
      <c r="E109" s="34" t="inlineStr">
        <is>
          <t>2 เม็ด/วัน ตลอด</t>
        </is>
      </c>
      <c r="F109" s="34" t="inlineStr">
        <is>
          <t>6 เม็ด/วัน นาน 4 วัน ตามด้วย 4 เม็ด/วัน อีก 3 วัน</t>
        </is>
      </c>
      <c r="G109" s="34" t="inlineStr">
        <is>
          <t>2 เม็ด วันละ 3 ครั้ง นาน 14 วัน</t>
        </is>
      </c>
      <c r="H109" s="34" t="inlineStr">
        <is>
          <t>3 เม็ด/วัน นาน 7 วัน แล้วหยุด</t>
        </is>
      </c>
      <c r="I109" s="33" t="inlineStr">
        <is>
          <t>3</t>
        </is>
      </c>
      <c r="J109" s="34" t="inlineStr">
        <is>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is>
      </c>
      <c r="K109" s="35" t="n"/>
      <c r="L109" s="34" t="inlineStr">
        <is>
          <t>Diarrhea &amp; Constipation</t>
        </is>
      </c>
      <c r="M109" s="35" t="inlineStr">
        <is>
          <t>Clinic</t>
        </is>
      </c>
      <c r="N109" s="34" t="inlineStr">
        <is>
          <t>ข้อ 7.5 Mock GI RxCU84</t>
        </is>
      </c>
      <c r="O109" s="35" t="inlineStr">
        <is>
          <t>Mock</t>
        </is>
      </c>
      <c r="P109" s="35" t="inlineStr">
        <is>
          <t>Mock RxCU84</t>
        </is>
      </c>
    </row>
    <row r="110" ht="13.2" customHeight="1" s="49">
      <c r="A110" s="33" t="n">
        <v>108</v>
      </c>
      <c r="B110"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35" t="n"/>
      <c r="D110" s="34" t="inlineStr">
        <is>
          <t>รักษาริดสีดวงให้หายขาดและป้องกันการเป็นซ้ำได้</t>
        </is>
      </c>
      <c r="E110" s="34"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34" t="inlineStr">
        <is>
          <t>ใช้แทนการปรับอาหารได้ เพราะเป็น first-line</t>
        </is>
      </c>
      <c r="G110" s="34" t="inlineStr">
        <is>
          <t>ยิ่งใช้นานยิ่งดี ไม่มีผลข้างเคียง</t>
        </is>
      </c>
      <c r="H110" s="34" t="inlineStr">
        <is>
          <t>ใช้ได้เฉพาะเมื่อมีการติดเชื้อแบคทีเรียที่ทวารหนักเท่านั้น</t>
        </is>
      </c>
      <c r="I110" s="33" t="inlineStr">
        <is>
          <t>2</t>
        </is>
      </c>
      <c r="J110" s="34"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is>
      </c>
      <c r="K110" s="35" t="n"/>
      <c r="L110" s="34" t="inlineStr">
        <is>
          <t>Diarrhea &amp; Constipation</t>
        </is>
      </c>
      <c r="M110" s="35" t="inlineStr">
        <is>
          <t>Clinic</t>
        </is>
      </c>
      <c r="N110" s="34" t="inlineStr">
        <is>
          <t>ข้อ 7.6 Mock GI RxCU84</t>
        </is>
      </c>
      <c r="O110" s="35" t="inlineStr">
        <is>
          <t>Mock</t>
        </is>
      </c>
      <c r="P110" s="35" t="inlineStr">
        <is>
          <t>Mock RxCU84</t>
        </is>
      </c>
    </row>
    <row r="111" ht="13.2" customHeight="1" s="49">
      <c r="A111" s="33" t="n">
        <v>109</v>
      </c>
      <c r="B111"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35" t="n"/>
      <c r="D111" s="34" t="inlineStr">
        <is>
          <t>Ibuprofen เหมาะสม / หลีกเลี่ยง paracetamol</t>
        </is>
      </c>
      <c r="E111" s="34" t="inlineStr">
        <is>
          <t>Paracetamol เหมาะสม / หลีกเลี่ยง NSAIDs (เช่น ibuprofen, diclofenac) และ aspirin</t>
        </is>
      </c>
      <c r="F111" s="34" t="inlineStr">
        <is>
          <t>Aspirin เหมาะสม / หลีกเลี่ยง psyllium</t>
        </is>
      </c>
      <c r="G111" s="34" t="inlineStr">
        <is>
          <t>Naproxen เหมาะสม / หลีกเลี่ยง sitz bath</t>
        </is>
      </c>
      <c r="H111" s="34" t="inlineStr">
        <is>
          <t>Tramadol เป็นทางเลือกแรก / หลีกเลี่ยง paracetamol และ sitz bath</t>
        </is>
      </c>
      <c r="I111" s="33" t="inlineStr">
        <is>
          <t>2</t>
        </is>
      </c>
      <c r="J111" s="34" t="inlineStr">
        <is>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is>
      </c>
      <c r="K111" s="35" t="n"/>
      <c r="L111" s="34" t="inlineStr">
        <is>
          <t>Diarrhea &amp; Constipation</t>
        </is>
      </c>
      <c r="M111" s="35" t="inlineStr">
        <is>
          <t>Clinic</t>
        </is>
      </c>
      <c r="N111" s="34" t="inlineStr">
        <is>
          <t>ข้อ 7.7 Mock GI RxCU84</t>
        </is>
      </c>
      <c r="O111" s="35" t="inlineStr">
        <is>
          <t>Mock</t>
        </is>
      </c>
      <c r="P111" s="35" t="inlineStr">
        <is>
          <t>Mock RxCU84</t>
        </is>
      </c>
    </row>
    <row r="112" ht="13.2" customHeight="1" s="49">
      <c r="A112" s="33" t="n">
        <v>110</v>
      </c>
      <c r="B112" s="34" t="inlineStr">
        <is>
          <t>ข้อใดไม่ใช่ปัจจัยที่นำไปสู่การเกิด peptic ulcer disease ในผู้ป่วยรายนี้ ตามแนวเวชปฏิบัติ dyspepsia ไทย 2561</t>
        </is>
      </c>
      <c r="C112" s="35" t="n"/>
      <c r="D112" s="34" t="inlineStr">
        <is>
          <t>ใช้ naproxen เป็นเวลานาน</t>
        </is>
      </c>
      <c r="E112" s="34" t="inlineStr">
        <is>
          <t>สูงอายุ</t>
        </is>
      </c>
      <c r="F112" s="34" t="inlineStr">
        <is>
          <t>โรคอ้วน</t>
        </is>
      </c>
      <c r="G112" s="34" t="inlineStr">
        <is>
          <t>ใช้ aspirin เป็นเวลานาน</t>
        </is>
      </c>
      <c r="H112" s="34" t="inlineStr">
        <is>
          <t>ติดเชื้อ H. pylori</t>
        </is>
      </c>
      <c r="I112" s="33" t="inlineStr">
        <is>
          <t>1</t>
        </is>
      </c>
      <c r="J112" s="34"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(สูงอายุ): อายุที่เพิ่มขึ้น (มากกว่า 60 ปี) เป็นปัจจัยเสี่ยงที่สำคัญตามแนวเวชปฏิบัติเนื่องจากเยื่อบุกระเพาะอาหารและกลไกการป้องกันของเซลล์เยื่อบุทางเดินอาหารเสื่อมถอยลง
• ข้อ ค. (โรคอ้วน): โรคอ้วนส่งผลต่อความดันในช่องท้องและสัมพันธ์กับโรคกรดไหลย้อน แต่ในบริบทของโจทย์ข้อนี้ ปัจจัยเสี่ยงหลักของ Peptic ulcer ตามแนวทางเวชปฏิบัติคือการใช้ยา NSAIDs, ผู้สูงอายุ และ H. pylori
• ข้อ ง. (ใช้ aspirin เป็นเวลานาน): การใช้ยา Aspirin อย่างต่อเนื่องเป็นเวลานานเป็นสาเหตุสำคัญอันดับต้นๆ ของการเกิดแผลในกระเพาะอาหารจากการยับยั้งการสร้าง Prostaglandin ปกป้องเยื่อบุ
• ข้อ จ. (ติดเชื้อ H. pylori): การติดเชื้อแบคทีเรีย Helicobacter pylori เป็นสาเหตุหลักทางจุลชีววิทยาที่ทำให้เกิดการอักเสบเรื้อรังและแผลในกระเพาะอาหารและลำไส้เล็กส่วนต้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35" t="n"/>
      <c r="L112" s="34" t="inlineStr">
        <is>
          <t>Dyspepsia &amp; PUD</t>
        </is>
      </c>
      <c r="M112" s="35" t="inlineStr">
        <is>
          <t>Clinic</t>
        </is>
      </c>
      <c r="N112" s="34" t="inlineStr">
        <is>
          <t>PLE_CC1_2567_Key ข้อ 8</t>
        </is>
      </c>
      <c r="O112" s="35" t="inlineStr">
        <is>
          <t>ข้อสอบจริง</t>
        </is>
      </c>
      <c r="P112" s="35" t="inlineStr">
        <is>
          <t>ปี 2567</t>
        </is>
      </c>
      <c r="Q112" s="2" t="n"/>
    </row>
    <row r="113" ht="13.2" customHeight="1" s="49">
      <c r="A113" s="33" t="n">
        <v>111</v>
      </c>
      <c r="B113" s="34"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35" t="n"/>
      <c r="D113" s="34" t="inlineStr">
        <is>
          <t>Cellulose acetate</t>
        </is>
      </c>
      <c r="E113" s="34" t="inlineStr">
        <is>
          <t>Phthalate</t>
        </is>
      </c>
      <c r="F113" s="34" t="inlineStr">
        <is>
          <t>Shellac</t>
        </is>
      </c>
      <c r="G113" s="34" t="inlineStr">
        <is>
          <t>ethyl cellulose</t>
        </is>
      </c>
      <c r="H113" s="34"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33" t="inlineStr">
        <is>
          <t>1</t>
        </is>
      </c>
      <c r="J113" s="34"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35" t="n"/>
      <c r="L113" s="34" t="inlineStr">
        <is>
          <t>Dyspepsia &amp; PUD</t>
        </is>
      </c>
      <c r="M113" s="35" t="inlineStr">
        <is>
          <t>Clinic</t>
        </is>
      </c>
      <c r="N113" s="34" t="inlineStr">
        <is>
          <t>PLE_CC1_2567_Key ข้อ 91</t>
        </is>
      </c>
      <c r="O113" s="35" t="inlineStr">
        <is>
          <t>ข้อสอบจริง</t>
        </is>
      </c>
      <c r="P113" s="35" t="inlineStr">
        <is>
          <t>ปี 2567</t>
        </is>
      </c>
      <c r="Q113" s="2" t="n"/>
    </row>
    <row r="114" ht="13.2" customHeight="1" s="49">
      <c r="A114" s="33" t="n">
        <v>112</v>
      </c>
      <c r="B114" s="34"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35" t="n"/>
      <c r="D114" s="34" t="inlineStr">
        <is>
          <t>Peptic Ulcer / GERD</t>
        </is>
      </c>
      <c r="E114" s="34" t="inlineStr">
        <is>
          <t>Metoclopramide 10 mg TID before meals</t>
        </is>
      </c>
      <c r="F114" s="34" t="inlineStr">
        <is>
          <t>Omeprazole 20 mg OD</t>
        </is>
      </c>
      <c r="G114" s="34" t="inlineStr">
        <is>
          <t>Esomeprazole 20 mg OD</t>
        </is>
      </c>
      <c r="H114" s="34" t="inlineStr">
        <is>
          <t>Domperidone 10 mg TID</t>
        </is>
      </c>
      <c r="I114" s="33" t="inlineStr">
        <is>
          <t>1</t>
        </is>
      </c>
      <c r="J114"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35" t="n"/>
      <c r="L114" s="34" t="inlineStr">
        <is>
          <t>GERD</t>
        </is>
      </c>
      <c r="M114" s="35" t="inlineStr">
        <is>
          <t>Clinic</t>
        </is>
      </c>
      <c r="N114" s="34" t="inlineStr">
        <is>
          <t>PLE_CC1_2567_Key ข้อ 99</t>
        </is>
      </c>
      <c r="O114" s="35" t="inlineStr">
        <is>
          <t>ข้อสอบจริง</t>
        </is>
      </c>
      <c r="P114" s="35" t="inlineStr">
        <is>
          <t>ปี 2567</t>
        </is>
      </c>
    </row>
    <row r="115" ht="13.2" customHeight="1" s="49">
      <c r="A115" s="33" t="n">
        <v>113</v>
      </c>
      <c r="B115" s="34" t="inlineStr">
        <is>
          <t>ข้อใดไม่ใช่ปัจจัยที่นำไปสู่การเกิด peptic ulcer disease ในผู้ป่วยรายนี้ ตามแนวเวชปฏิบัติ dyspepsia ไทย 2561</t>
        </is>
      </c>
      <c r="C115" s="35" t="n"/>
      <c r="D115" s="34" t="inlineStr">
        <is>
          <t>Dolutegravir</t>
        </is>
      </c>
      <c r="E115" s="34" t="inlineStr">
        <is>
          <t>Lopinavir/Ritonavir</t>
        </is>
      </c>
      <c r="F115" s="34" t="inlineStr">
        <is>
          <t>Etravirine</t>
        </is>
      </c>
      <c r="G115" s="34" t="inlineStr">
        <is>
          <t>Emtricitabine</t>
        </is>
      </c>
      <c r="H115" s="34" t="inlineStr">
        <is>
          <t>Enfuvirtide (INSTI)</t>
        </is>
      </c>
      <c r="I115" s="33" t="inlineStr">
        <is>
          <t>1</t>
        </is>
      </c>
      <c r="J115" s="34"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35" t="n"/>
      <c r="L115" s="34" t="inlineStr">
        <is>
          <t>Dyspepsia &amp; PUD</t>
        </is>
      </c>
      <c r="M115" s="35" t="inlineStr">
        <is>
          <t>Clinic</t>
        </is>
      </c>
      <c r="N115" s="34" t="inlineStr">
        <is>
          <t>PLE_CC1_2567_Set1_Key ข้อ 8</t>
        </is>
      </c>
      <c r="O115" s="35" t="inlineStr">
        <is>
          <t>ข้อสอบจริง</t>
        </is>
      </c>
      <c r="P115" s="35" t="inlineStr">
        <is>
          <t>ปี 2567</t>
        </is>
      </c>
      <c r="Q115" s="2" t="n"/>
    </row>
    <row r="116" ht="13.2" customHeight="1" s="49">
      <c r="A116" s="33" t="n">
        <v>114</v>
      </c>
      <c r="B116" s="34"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35" t="n"/>
      <c r="D116" s="34" t="inlineStr">
        <is>
          <t>Cellulose acetate</t>
        </is>
      </c>
      <c r="E116" s="34" t="inlineStr">
        <is>
          <t>Phthalate</t>
        </is>
      </c>
      <c r="F116" s="34" t="inlineStr">
        <is>
          <t>Shellac</t>
        </is>
      </c>
      <c r="G116" s="34" t="inlineStr">
        <is>
          <t>ethyl cellulose</t>
        </is>
      </c>
      <c r="H116" s="34"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33" t="inlineStr">
        <is>
          <t>1</t>
        </is>
      </c>
      <c r="J116" s="34"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35" t="n"/>
      <c r="L116" s="34" t="inlineStr">
        <is>
          <t>Dyspepsia &amp; PUD</t>
        </is>
      </c>
      <c r="M116" s="35" t="inlineStr">
        <is>
          <t>Clinic</t>
        </is>
      </c>
      <c r="N116" s="34" t="inlineStr">
        <is>
          <t>PLE_CC1_2567_Set1_Key ข้อ 91</t>
        </is>
      </c>
      <c r="O116" s="35" t="inlineStr">
        <is>
          <t>ข้อสอบจริง</t>
        </is>
      </c>
      <c r="P116" s="35" t="inlineStr">
        <is>
          <t>ปี 2567</t>
        </is>
      </c>
      <c r="Q116" s="2" t="n"/>
    </row>
    <row r="117" ht="13.2" customHeight="1" s="49">
      <c r="A117" s="33" t="n">
        <v>115</v>
      </c>
      <c r="B117" s="34" t="inlineStr">
        <is>
          <t>ใช้Nicotin gum แล้วรู้สึก… (อาการคล้ายๆพวกGERD) จะ แนะนำอย่างไร ตัวเลือก</t>
        </is>
      </c>
      <c r="C117" s="35" t="n"/>
      <c r="D117" s="34" t="inlineStr">
        <is>
          <t>Peptic Ulcer / GERD</t>
        </is>
      </c>
      <c r="E117" s="34" t="inlineStr">
        <is>
          <t>Amoxicillin 1000 mg BID</t>
        </is>
      </c>
      <c r="F117" s="34" t="inlineStr">
        <is>
          <t>Clarithromycin 500 mg BID</t>
        </is>
      </c>
      <c r="G117" s="34" t="inlineStr">
        <is>
          <t>Hyoscine butylbromide 10 mg TID</t>
        </is>
      </c>
      <c r="H117" s="34" t="inlineStr">
        <is>
          <t>Aluminium hydroxide/Magnesium hydroxide suspension</t>
        </is>
      </c>
      <c r="I117" s="33" t="inlineStr">
        <is>
          <t>1</t>
        </is>
      </c>
      <c r="J117"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35" t="n"/>
      <c r="L117" s="34" t="inlineStr">
        <is>
          <t>GERD</t>
        </is>
      </c>
      <c r="M117" s="35" t="inlineStr">
        <is>
          <t>Clinic</t>
        </is>
      </c>
      <c r="N117" s="34" t="inlineStr">
        <is>
          <t>PLE-CC1 ปี 2566 Day 1 ข้อ 47</t>
        </is>
      </c>
      <c r="O117" s="35" t="inlineStr">
        <is>
          <t>ข้อสอบจริง</t>
        </is>
      </c>
      <c r="P117" s="35" t="inlineStr">
        <is>
          <t>ปี 2566</t>
        </is>
      </c>
    </row>
    <row r="118" ht="13.2" customHeight="1" s="49">
      <c r="A118" s="33" t="n">
        <v>116</v>
      </c>
      <c r="B118" s="34" t="inlineStr">
        <is>
          <t>อาการที่บ่งบอกว่าเป็นGERD แน่ ตัวเลือก</t>
        </is>
      </c>
      <c r="C118" s="35" t="n"/>
      <c r="D118" s="34" t="inlineStr">
        <is>
          <t>Peptic Ulcer / GERD</t>
        </is>
      </c>
      <c r="E118" s="34" t="inlineStr">
        <is>
          <t>Aluminium hydroxide/Magnesium hydroxide suspension</t>
        </is>
      </c>
      <c r="F118" s="34" t="inlineStr">
        <is>
          <t>Metoclopramide 10 mg TID before meals</t>
        </is>
      </c>
      <c r="G118" s="34" t="inlineStr">
        <is>
          <t>Omeprazole 20 mg OD</t>
        </is>
      </c>
      <c r="H118" s="34" t="inlineStr">
        <is>
          <t>Esomeprazole 20 mg OD</t>
        </is>
      </c>
      <c r="I118" s="33" t="inlineStr">
        <is>
          <t>1</t>
        </is>
      </c>
      <c r="J118"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35" t="n"/>
      <c r="L118" s="34" t="inlineStr">
        <is>
          <t>GERD</t>
        </is>
      </c>
      <c r="M118" s="35" t="inlineStr">
        <is>
          <t>Clinic</t>
        </is>
      </c>
      <c r="N118" s="34" t="inlineStr">
        <is>
          <t>PLE-CC1 ปี 2566 Day 1 ข้อ 51</t>
        </is>
      </c>
      <c r="O118" s="35" t="inlineStr">
        <is>
          <t>ข้อสอบจริง</t>
        </is>
      </c>
      <c r="P118" s="35" t="inlineStr">
        <is>
          <t>ปี 2566</t>
        </is>
      </c>
    </row>
    <row r="119" ht="13.2" customHeight="1" s="49">
      <c r="A119" s="33" t="n">
        <v>117</v>
      </c>
      <c r="B119" s="34" t="inlineStr">
        <is>
          <t>Dyspepsia ให้ยาอะไร ตัวเลือก</t>
        </is>
      </c>
      <c r="C119" s="35" t="n"/>
      <c r="D119" s="34" t="inlineStr">
        <is>
          <t>Peptic Ulcer / GERD</t>
        </is>
      </c>
      <c r="E119" s="34" t="inlineStr">
        <is>
          <t>Esomeprazole 20 mg OD</t>
        </is>
      </c>
      <c r="F119" s="34" t="inlineStr">
        <is>
          <t>Domperidone 10 mg TID</t>
        </is>
      </c>
      <c r="G119" s="34" t="inlineStr">
        <is>
          <t>Dimenhydrinate 50 mg TID</t>
        </is>
      </c>
      <c r="H119" s="34" t="inlineStr">
        <is>
          <t>Loperamide 2 mg PRN</t>
        </is>
      </c>
      <c r="I119" s="33" t="inlineStr">
        <is>
          <t>1</t>
        </is>
      </c>
      <c r="J119"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35" t="n"/>
      <c r="L119" s="34" t="inlineStr">
        <is>
          <t>GERD</t>
        </is>
      </c>
      <c r="M119" s="35" t="inlineStr">
        <is>
          <t>Clinic</t>
        </is>
      </c>
      <c r="N119" s="34" t="inlineStr">
        <is>
          <t>PLE-CC1 ปี 2566 Day 1 ข้อ 53</t>
        </is>
      </c>
      <c r="O119" s="35" t="inlineStr">
        <is>
          <t>ข้อสอบจริง</t>
        </is>
      </c>
      <c r="P119" s="35" t="inlineStr">
        <is>
          <t>ปี 2566</t>
        </is>
      </c>
    </row>
    <row r="120" ht="13.2" customHeight="1" s="49">
      <c r="A120" s="33" t="n">
        <v>118</v>
      </c>
      <c r="B120" s="34" t="inlineStr">
        <is>
          <t>receptor ที่เกี่ยวข้องโดยตรงกับการคลื่นไส้อาเจียน. ตัวเลือก</t>
        </is>
      </c>
      <c r="C120" s="35" t="n"/>
      <c r="D120" s="34" t="inlineStr">
        <is>
          <t>5-HT3 receptor (Serotonin receptor type 3)</t>
        </is>
      </c>
      <c r="E120" s="34" t="inlineStr">
        <is>
          <t>D2 receptor (Dopamine D2)</t>
        </is>
      </c>
      <c r="F120" s="34" t="inlineStr">
        <is>
          <t>NK1 receptor (Neurokinin-1)</t>
        </is>
      </c>
      <c r="G120" s="34" t="inlineStr">
        <is>
          <t>H1 receptor (Histamine H1)</t>
        </is>
      </c>
      <c r="H120" s="34" t="inlineStr">
        <is>
          <t>M1 receptor (Muscarinic M1)</t>
        </is>
      </c>
      <c r="I120" s="33" t="inlineStr">
        <is>
          <t>1</t>
        </is>
      </c>
      <c r="J120" s="34" t="inlineStr">
        <is>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[NEED_REVIEW]
📌 จุดจำก่อนสอบ:
CTZ: D2 + 5-HT3 + NK1; VC: NK1 + H1 + M1; GI: 5-HT3 + D2; Vestibular: H1 + M1</t>
        </is>
      </c>
      <c r="K120" s="35" t="n"/>
      <c r="L120" s="34" t="inlineStr">
        <is>
          <t>Nausea and vomiting</t>
        </is>
      </c>
      <c r="M120" s="35" t="inlineStr">
        <is>
          <t>Clinic</t>
        </is>
      </c>
      <c r="N120" s="34" t="inlineStr">
        <is>
          <t>PLE-CC1 ปี 2566 Day 2 ข้อ 4</t>
        </is>
      </c>
      <c r="O120" s="35" t="inlineStr">
        <is>
          <t>ข้อสอบจริง</t>
        </is>
      </c>
      <c r="P120" s="35" t="inlineStr">
        <is>
          <t>ปี 2566</t>
        </is>
      </c>
    </row>
    <row r="121" ht="13.2" customHeight="1" s="49">
      <c r="A121" s="33" t="n">
        <v>119</v>
      </c>
      <c r="B121" s="34" t="inlineStr">
        <is>
          <t>ยาต้านอาเจียนที่ทำให้เกิดQT prolongation ตัวเลือก</t>
        </is>
      </c>
      <c r="C121" s="35" t="n"/>
      <c r="D121" s="34" t="inlineStr">
        <is>
          <t>Domperidone</t>
        </is>
      </c>
      <c r="E121" s="34" t="inlineStr">
        <is>
          <t>Ondansetron (ขนาดสูง IV)</t>
        </is>
      </c>
      <c r="F121" s="34" t="inlineStr">
        <is>
          <t>Metoclopramide</t>
        </is>
      </c>
      <c r="G121" s="34" t="inlineStr">
        <is>
          <t>Droperidol</t>
        </is>
      </c>
      <c r="H121" s="34" t="inlineStr">
        <is>
          <t>Promethazine</t>
        </is>
      </c>
      <c r="I121" s="33" t="inlineStr">
        <is>
          <t>1</t>
        </is>
      </c>
      <c r="J121" s="34" t="inlineStr">
        <is>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[NEED_REVIEW]
📌 จุดจำก่อนสอบ:
Domperidone = QT prolongation (EMA warning); ขนาดสูงสุด 10 mg TID; ห้ามใช้ใน QTc ยาว/cardiac disease</t>
        </is>
      </c>
      <c r="K121" s="35" t="n"/>
      <c r="L121" s="34" t="inlineStr">
        <is>
          <t>Nausea and vomiting</t>
        </is>
      </c>
      <c r="M121" s="35" t="inlineStr">
        <is>
          <t>Clinic</t>
        </is>
      </c>
      <c r="N121" s="34" t="inlineStr">
        <is>
          <t>PLE-CC1 ปี 2566 Day 2 ข้อ 63</t>
        </is>
      </c>
      <c r="O121" s="35" t="inlineStr">
        <is>
          <t>ข้อสอบจริง</t>
        </is>
      </c>
      <c r="P121" s="35" t="inlineStr">
        <is>
          <t>ปี 2566</t>
        </is>
      </c>
    </row>
    <row r="122" ht="13.2" customHeight="1" s="49">
      <c r="A122" s="33" t="n">
        <v>120</v>
      </c>
      <c r="B122" s="34" t="inlineStr">
        <is>
          <t>ยาต้านอาเจียนที่เป็นมาตรฐาน ที่จะบริหารก่อนการให้ยาเคมียำบัด ตัวเลือก</t>
        </is>
      </c>
      <c r="C122" s="35" t="n"/>
      <c r="D122" s="34" t="inlineStr">
        <is>
          <t>Ondansetron 8 mg IV 30 นาทีก่อนให้เคมีบำบัด</t>
        </is>
      </c>
      <c r="E122" s="34" t="inlineStr">
        <is>
          <t>Hyoscine butylbromide 10 mg ก่อนให้เคมีบำบัด</t>
        </is>
      </c>
      <c r="F122" s="34" t="inlineStr">
        <is>
          <t>Aluminium hydroxide/Magnesium hydroxide suspension</t>
        </is>
      </c>
      <c r="G122" s="34" t="inlineStr">
        <is>
          <t>Metoclopramide 10 mg TID before meals</t>
        </is>
      </c>
      <c r="H122" s="34" t="inlineStr">
        <is>
          <t>Omeprazole 20 mg OD</t>
        </is>
      </c>
      <c r="I122" s="33" t="inlineStr">
        <is>
          <t>1</t>
        </is>
      </c>
      <c r="J122" s="34" t="inlineStr">
        <is>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is>
      </c>
      <c r="K122" s="35" t="n"/>
      <c r="L122" s="34" t="inlineStr">
        <is>
          <t>Nausea and vomiting</t>
        </is>
      </c>
      <c r="M122" s="35" t="inlineStr">
        <is>
          <t>Clinic</t>
        </is>
      </c>
      <c r="N122" s="34" t="inlineStr">
        <is>
          <t>PLE-CC1 ปี 2566 Day 2 ข้อ 93</t>
        </is>
      </c>
      <c r="O122" s="35" t="inlineStr">
        <is>
          <t>ข้อสอบจริง</t>
        </is>
      </c>
      <c r="P122" s="35" t="inlineStr">
        <is>
          <t>ปี 2566</t>
        </is>
      </c>
    </row>
    <row r="123" ht="13.2" customHeight="1" s="49">
      <c r="A123" s="33" t="n">
        <v>121</v>
      </c>
      <c r="B123" s="34" t="inlineStr">
        <is>
          <t>Gastroesophageal reflux disease (GERD)</t>
        </is>
      </c>
      <c r="C123" s="35" t="n"/>
      <c r="D123" s="34" t="inlineStr">
        <is>
          <t>Peptic Ulcer / GERD</t>
        </is>
      </c>
      <c r="E123" s="34" t="inlineStr">
        <is>
          <t>Omeprazole 20 mg OD</t>
        </is>
      </c>
      <c r="F123" s="34" t="inlineStr">
        <is>
          <t>Esomeprazole 20 mg OD</t>
        </is>
      </c>
      <c r="G123" s="34" t="inlineStr">
        <is>
          <t>Domperidone 10 mg TID</t>
        </is>
      </c>
      <c r="H123" s="34" t="inlineStr">
        <is>
          <t>Dimenhydrinate 50 mg TID</t>
        </is>
      </c>
      <c r="I123" s="33" t="inlineStr">
        <is>
          <t>1</t>
        </is>
      </c>
      <c r="J123"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Omeprazole เป็นยา PPI ขนานแรกในการยับยั้งกรดสำหรับรักษา GERD ซึ่งเป็นชื่อทางเภสัชภัณฑ์ของการรักษา ไม่ใช่ชื่อเรียกโรค Gastroesophageal reflux disease
• ข้อ ค. (Esomeprazole 20 mg OD): Esomeprazole เป็นยา PPI ประสิทธิภาพสูงในการสมานแผลหลอดอาหารจากกรดไหลย้อน จัดเป็นตัวเลือกยาในการรักษา ไม่ใช่ตัวโรค GERD
• ข้อ ง. (Domperidone 10 mg TID): Domperidone เป็นยา prokinetic เพิ่มแรงดันหูรูดหลอดอาหารและเพิ่ม gastric emptying จัดเป็นยาเสริมอาการทางเดินอาหาร ไม่ใช่ชื่อกลุ่มโรค
• ข้อ จ. (Dimenhydrinate 50 mg TID): Dimenhydrinate เป็น H1-antihistamine สำหรับต้านอาการเมารถเมาเรือ ไม่มีบทบาทในการรักษาภาวะกรดไหลย้อน (GERD)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35" t="n"/>
      <c r="L123" s="34" t="inlineStr">
        <is>
          <t>GERD</t>
        </is>
      </c>
      <c r="M123" s="35" t="inlineStr">
        <is>
          <t>Clinic</t>
        </is>
      </c>
      <c r="N123" s="34" t="inlineStr">
        <is>
          <t>PLE_CC1_2565_Day1_Key ข้อ 7</t>
        </is>
      </c>
      <c r="O123" s="35" t="inlineStr">
        <is>
          <t>ข้อสอบจริง</t>
        </is>
      </c>
      <c r="P123" s="35" t="inlineStr">
        <is>
          <t>ปี 2565</t>
        </is>
      </c>
    </row>
    <row r="124" ht="13.2" customHeight="1" s="49">
      <c r="A124" s="33" t="n">
        <v>122</v>
      </c>
      <c r="B124" s="34" t="inlineStr">
        <is>
          <t>“แผ-นพับยาแสดงอาการข$างเคียงของยาดังนี้ salivation, urinary incontinence, sweating, diarrhea, Tremor” จากข$อความดังกล-าว หมายถึงยาใด</t>
        </is>
      </c>
      <c r="C124" s="35" t="n"/>
      <c r="D124" s="34" t="inlineStr">
        <is>
          <t>Timolol eye drop</t>
        </is>
      </c>
      <c r="E124" s="34" t="inlineStr">
        <is>
          <t>Diclofenac eye drop</t>
        </is>
      </c>
      <c r="F124" s="34" t="inlineStr">
        <is>
          <t>Pilocarpine eye drop</t>
        </is>
      </c>
      <c r="G124" s="34" t="inlineStr">
        <is>
          <t>Brinzolamide eye drop</t>
        </is>
      </c>
      <c r="H124" s="34" t="inlineStr">
        <is>
          <t>Chloramphenicol eye ointment</t>
        </is>
      </c>
      <c r="I124" s="33" t="inlineStr">
        <is>
          <t>1</t>
        </is>
      </c>
      <c r="J124" s="34" t="inlineStr">
        <is>
          <t>✅ คำตอบที่ถูกต้อง: ข้อ ค. Pilocarpine eye drop
💡 Background:
อาการข้างเคียง Cholinergic (SLUDGE: Salivation, Lacrimation, Urination, Defecation/Diarrhea, GI cramps, Emesis) เกิดจากการกระตุ้น Muscarinic receptor ยาที่มีคุณสมบัติ Cholinergic agonist ในทางตา ได้แก่ Pilocarpine ซึ่งกระตุ้น M3 receptor ใน ciliary muscle และ iris
🎯 ทำไมข้อนี้ถึงถูก:
Pilocarpine เป็น Direct-acting Muscarinic agonist ที่ดูดซึมจาก conjunctiva เข้าสู่ systemic circulation ได้ ทำให้เกิด Cholinergic side effects: น้ำลายมาก (Salivation), กลั้นปัสสาวะไม่อยู่ (Urinary incontinence), เหงื่อออก (Sweating), ท้องเสีย (Diarrhea) และ Tremor
🔍 ข้ออื่นผิดเพราะอะไร:
• ข้อ ก. (Timolol): Beta-blocker ผลข้างเคียงหลัก bradycardia, bronchospasm ไม่ใช่ Cholinergic
• ข้อ ข. (Diclofenac eye drop): NSAIDs ทาง local ไม่มี systemic Cholinergic effects
• ข้อ ง. (Brinzolamide): Carbonic anhydrase inhibitor ผลข้างเคียงหลักคือ metallic taste
• ข้อ จ. (Chloramphenicol ointment): ยาปฏิชีวนะ local ไม่มี Cholinergic effects
📖 Guideline อ้างอิง:
[NEED_REVIEW]
📌 จุดจำก่อนสอบ:
Pilocarpine = Cholinergic agonist → SLUDGE; ใช้รักษา Glaucoma (miotics); Timolol = Beta-blocker</t>
        </is>
      </c>
      <c r="K124" s="35" t="n"/>
      <c r="L124" s="34" t="inlineStr">
        <is>
          <t>Diarrhea &amp; Constipation</t>
        </is>
      </c>
      <c r="M124" s="35" t="inlineStr">
        <is>
          <t>Clinic</t>
        </is>
      </c>
      <c r="N124" s="34" t="inlineStr">
        <is>
          <t>PLE_CC1_2565_Day2_Key ข้อ 41</t>
        </is>
      </c>
      <c r="O124" s="35" t="inlineStr">
        <is>
          <t>ข้อสอบจริง</t>
        </is>
      </c>
      <c r="P124" s="35" t="inlineStr">
        <is>
          <t>ปี 2565</t>
        </is>
      </c>
      <c r="Q124" s="2" t="n"/>
    </row>
    <row r="125" ht="13.2" customHeight="1" s="49">
      <c r="A125" s="33" t="n">
        <v>123</v>
      </c>
      <c r="B125" s="34" t="inlineStr">
        <is>
          <t>ยาต$านอาเจียนในข$อใดที่สามารถกินกับยายับยั้งการกลั่งกรดได$</t>
        </is>
      </c>
      <c r="C125" s="35" t="n"/>
      <c r="D125" s="34" t="inlineStr">
        <is>
          <t>Metoclopramide สามารถรับประทานร่วมกับ antacids หรือยาลดกรดได้</t>
        </is>
      </c>
      <c r="E125" s="34" t="inlineStr">
        <is>
          <t>Domperidone ไม่ควรใช้ร่วมกับ antacids หรือยายับยั้งการหลั่งกรด เพราะลดการดูดซึมยา</t>
        </is>
      </c>
      <c r="F125" s="34" t="inlineStr">
        <is>
          <t>Lactulose 15 mL OD</t>
        </is>
      </c>
      <c r="G125" s="34" t="inlineStr">
        <is>
          <t>Amoxicillin 1000 mg BID</t>
        </is>
      </c>
      <c r="H125" s="34" t="inlineStr">
        <is>
          <t>Clarithromycin 500 mg BID</t>
        </is>
      </c>
      <c r="I125" s="33" t="n">
        <v>2</v>
      </c>
      <c r="J125" s="34" t="inlineStr">
        <is>
          <t>✅ คำตอบที่ถูกต้อง: ข้อ ข. Domperidone ไม่ควรใช้ร่วมกับ antacids หรือยายับยั้งการหลั่งกรด
💡 Background:
Domperidone เป็นยา prokinetic ที่ออกฤทธิ์ผ่าน D2 receptor ที่ CTZ และ GI tract การดูดซึมของ Domperidone อาศัย pH กรดในกระเพาะอาหาร (Unionized form ดูดซึมได้ดีใน pH ต่ำ) การใช้ร่วมกับ Antacids หรือ Antisecretory drugs จะเพิ่ม gastric pH ทำให้ดูดซึมลดลง
🎯 ทำไมข้อนี้ถึงถูก:
ตาม Micromedex แนะนำว่า Domperidone ไม่ควรใช้พร้อมกับ antacids หรือ antisecretory agents (H2-blocker, PPI) เพราะจะลดระดับยาในเลือด ลด efficacy ในการควบคุมการอาเจียนและ gastric motility
🔍 ข้ออื่นผิดเพราะอะไร:
• ข้อ ก. ผิด: Subtopic tag ไม่ใช่คำตอบ
• ข้อ ค. (Lactulose): ยาระบาย ไม่เกี่ยวกับ drug interaction ของ Domperidone
• ข้อ ง. (Amoxicillin): ยาปฏิชีวนะ H. pylori ไม่ใช่ antiemetic
• ข้อ จ. (Clarithromycin): ยา H. pylori eradication; มี CYP3A4 inhibition จึงเพิ่มระดับ Domperidone ไม่ลด
📖 Guideline อ้างอิง:
[NEED_REVIEW]
📌 จุดจำก่อนสอบ:
Domperidone + Antacid/PPI → ดูดซึม Domperidone ลด; ให้ก่อนอาหาร 15-30 นาที</t>
        </is>
      </c>
      <c r="K125" s="35" t="n"/>
      <c r="L125" s="34" t="inlineStr">
        <is>
          <t>Nausea and vomiting</t>
        </is>
      </c>
      <c r="M125" s="35" t="inlineStr">
        <is>
          <t>Clinic</t>
        </is>
      </c>
      <c r="N125" s="34" t="inlineStr">
        <is>
          <t>PLE_CC1_2565_Day2_Key ข้อ 52</t>
        </is>
      </c>
      <c r="O125" s="35" t="inlineStr">
        <is>
          <t>ข้อสอบจริง</t>
        </is>
      </c>
      <c r="P125" s="35" t="inlineStr">
        <is>
          <t>ปี 2565</t>
        </is>
      </c>
    </row>
    <row r="126" ht="13.2" customHeight="1" s="49">
      <c r="A126" s="33" t="n">
        <v>124</v>
      </c>
      <c r="B126" s="34"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35" t="n"/>
      <c r="D126" s="34" t="inlineStr">
        <is>
          <t>Peptic Ulcer / GERD</t>
        </is>
      </c>
      <c r="E126" s="34" t="inlineStr">
        <is>
          <t>Clarithromycin 500 mg BID</t>
        </is>
      </c>
      <c r="F126" s="34" t="inlineStr">
        <is>
          <t>Hyoscine butylbromide 10 mg TID</t>
        </is>
      </c>
      <c r="G126" s="34" t="inlineStr">
        <is>
          <t>Aluminium hydroxide/Magnesium hydroxide suspension</t>
        </is>
      </c>
      <c r="H126" s="34" t="inlineStr">
        <is>
          <t>Metoclopramide 10 mg TID before meals</t>
        </is>
      </c>
      <c r="I126" s="33" t="inlineStr">
        <is>
          <t>1</t>
        </is>
      </c>
      <c r="J126"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Clarithromycin เป็นยาปฏิชีวนะกลุ่ม macrolide ใช้กำจัดเชื้อ Helicobacter pylori ในกระเพาะอาหาร ไม่ใช่กลุ่มโรคหรือผลการศึกษาทางระบาดวิทยาคลินิก
• ข้อ ค. (Hyoscine butylbromide 10 mg TID): Hyoscine butylbromide เป็นยา antispasmodic บรรเทาการปวดเกร็งช่องท้อง ไม่ใช่การแปลผลทางสถิติหรือกลุ่มโรคทางเดินอาหาร
• ข้อ ง. (Aluminium hydroxide/Magnesium hydroxide suspension): Aluminium/Magnesium hydroxide suspension เป็นยาลดกรดชนิดน้ำสำหรับสะเทินกรดเฉพาะหน้า ไม่ใช่การแปลผลค่า Odds Ratio ในการเกิดแผล
• ข้อ จ. (Metoclopramide 10 mg TID before meals): Metoclopramide เป็น prokinetic เพิ่มการเคลื่อนไหวของกระเพาะอาหารและแก้คลื่นไส้ ไม่ได้มีผลป้องกันการเกิดแผลในกระเพาะอาหารจากงานวิจัย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35" t="n"/>
      <c r="L126" s="34" t="inlineStr">
        <is>
          <t>Dyspepsia &amp; PUD</t>
        </is>
      </c>
      <c r="M126" s="35" t="inlineStr">
        <is>
          <t>Clinic</t>
        </is>
      </c>
      <c r="N126" s="34" t="inlineStr">
        <is>
          <t>PLE_CC1_2564_All_Key ข้อ 43</t>
        </is>
      </c>
      <c r="O126" s="35" t="inlineStr">
        <is>
          <t>ข้อสอบจริง</t>
        </is>
      </c>
      <c r="P126" s="35" t="inlineStr">
        <is>
          <t>ปี 2564</t>
        </is>
      </c>
    </row>
    <row r="127" ht="13.2" customHeight="1" s="49">
      <c r="A127" s="33" t="n">
        <v>125</v>
      </c>
      <c r="B127" s="34"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35" t="n"/>
      <c r="D127" s="34" t="inlineStr">
        <is>
          <t>Peptic Ulcer / GERD</t>
        </is>
      </c>
      <c r="E127" s="34" t="inlineStr">
        <is>
          <t>Metoclopramide 10 mg TID before meals</t>
        </is>
      </c>
      <c r="F127" s="34" t="inlineStr">
        <is>
          <t>Omeprazole 20 mg OD</t>
        </is>
      </c>
      <c r="G127" s="34" t="inlineStr">
        <is>
          <t>Esomeprazole 20 mg OD</t>
        </is>
      </c>
      <c r="H127" s="34" t="inlineStr">
        <is>
          <t>Domperidone 10 mg TID</t>
        </is>
      </c>
      <c r="I127" s="33" t="inlineStr">
        <is>
          <t>1</t>
        </is>
      </c>
      <c r="J127"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35" t="n"/>
      <c r="L127" s="34" t="inlineStr">
        <is>
          <t>GERD</t>
        </is>
      </c>
      <c r="M127" s="35" t="inlineStr">
        <is>
          <t>Clinic</t>
        </is>
      </c>
      <c r="N127" s="34" t="inlineStr">
        <is>
          <t>PLE_CC1_2564_All_Key ข้อ 106</t>
        </is>
      </c>
      <c r="O127" s="35" t="inlineStr">
        <is>
          <t>ข้อสอบจริง</t>
        </is>
      </c>
      <c r="P127" s="35" t="inlineStr">
        <is>
          <t>ปี 2564</t>
        </is>
      </c>
    </row>
    <row r="128" ht="13.2" customHeight="1" s="49">
      <c r="A128" s="33" t="n">
        <v>126</v>
      </c>
      <c r="B128" s="34" t="inlineStr">
        <is>
          <t>สาเหตุขอษน้ำหนักขึ้นและคลื่นไส้อาเสียนเกิดสากอะไร</t>
        </is>
      </c>
      <c r="C128" s="35" t="n"/>
      <c r="D128" s="34" t="inlineStr">
        <is>
          <t>Peptic Ulcer / GERD</t>
        </is>
      </c>
      <c r="E128" s="34" t="inlineStr">
        <is>
          <t>Androgenic effect สาก levonorgestrel</t>
        </is>
      </c>
      <c r="F128" s="34" t="inlineStr">
        <is>
          <t>Estrogenic effect สาก ethinyl estradiol</t>
        </is>
      </c>
      <c r="G128" s="34" t="inlineStr">
        <is>
          <t>Androgenic effect และ estrogenic effect จาก levonorgestrel และ ethinyl estradiol ร่วมกัน</t>
        </is>
      </c>
      <c r="H128" s="34" t="inlineStr">
        <is>
          <t>Senna 2 tabs HS</t>
        </is>
      </c>
      <c r="I128" s="33" t="n">
        <v>3</v>
      </c>
      <c r="J128" s="34" t="inlineStr">
        <is>
          <t>✅ คำตอบที่ถูกต้อง: ข้อ ค. Estrogenic effect จาก ethinyl estradiol
💡 Background:
ยาคุมกำเนิดชนิดผสม (Combined Oral Contraceptives) ประกอบด้วย Estrogen (Ethinyl estradiol) และ Progestogen (Levonorgestrel, Norethisterone) อาการข้างเคียงแบ่งตามสาเหตุ: Estrogenic: คลื่นไส้ อาเจียน เต้านมคัด บวมน้ำ ปวดหัว Progestogenic/Androgenic: สิว น้ำหนักขึ้น ซึมเศร้า ขนดก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
📖 Guideline อ้างอิง:
[NEED_REVIEW]
📌 จุดจำก่อนสอบ:
Estrogenic: คลื่นไส้ น้ำหนักขึ้น (water) เต้านมคัด; Progestogenic/Androgenic: สิว ขนดก ซึมเศร้า</t>
        </is>
      </c>
      <c r="K128" s="35" t="n"/>
      <c r="L128" s="34" t="inlineStr">
        <is>
          <t>Nausea and vomiting</t>
        </is>
      </c>
      <c r="M128" s="35" t="inlineStr">
        <is>
          <t>Clinic</t>
        </is>
      </c>
      <c r="N128" s="34" t="inlineStr">
        <is>
          <t>PLE_CC1_2563_Q ข้อ 70</t>
        </is>
      </c>
      <c r="O128" s="35" t="inlineStr">
        <is>
          <t>ข้อสอบจริง</t>
        </is>
      </c>
      <c r="P128" s="35" t="inlineStr">
        <is>
          <t>ปี 2563</t>
        </is>
      </c>
    </row>
    <row r="129" ht="13.2" customHeight="1" s="49">
      <c r="A129" s="33" t="n">
        <v>127</v>
      </c>
      <c r="B129" s="34" t="inlineStr">
        <is>
          <t>ยา PPIs ตัวใดไม่แนะนำให้ใช้ในคนท้องจนถึงคลอด ~ - X L -</t>
        </is>
      </c>
      <c r="C129" s="35" t="n"/>
      <c r="D129" s="34" t="inlineStr">
        <is>
          <t>Omeprazole</t>
        </is>
      </c>
      <c r="E129" s="34" t="inlineStr">
        <is>
          <t>Esomeprazole</t>
        </is>
      </c>
      <c r="F129" s="34" t="inlineStr">
        <is>
          <t>Lansoprazole</t>
        </is>
      </c>
      <c r="G129" s="34" t="inlineStr">
        <is>
          <t>Pantoprazole</t>
        </is>
      </c>
      <c r="H129" s="34" t="inlineStr">
        <is>
          <t>Rabeprazole + ATPase O Omeprazole E Lansoprazde B Rabeprazole B X Pantoprazole B Esomeprazole B หË´มนาÆปทาซËาทืกกรณิ ÂวËนาต้จ²ÆดËรงบ¯นืญ´ต ~</t>
        </is>
      </c>
      <c r="I129" s="33" t="inlineStr">
        <is>
          <t>1</t>
        </is>
      </c>
      <c r="J129" s="34"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35" t="n"/>
      <c r="L129" s="34" t="inlineStr">
        <is>
          <t>GERD</t>
        </is>
      </c>
      <c r="M129" s="35" t="inlineStr">
        <is>
          <t>Clinic</t>
        </is>
      </c>
      <c r="N129" s="34" t="inlineStr">
        <is>
          <t>ข้อ 88 (PLE_CC1_2562_Key.md)</t>
        </is>
      </c>
      <c r="O129" s="35" t="inlineStr">
        <is>
          <t>ข้อสอบจริง</t>
        </is>
      </c>
      <c r="P129" s="35" t="inlineStr">
        <is>
          <t>ปี 2562</t>
        </is>
      </c>
    </row>
    <row r="130" ht="13.2" customHeight="1" s="49">
      <c r="A130" s="33" t="n">
        <v>128</v>
      </c>
      <c r="B130" s="34" t="inlineStr">
        <is>
          <t>การให้ความรู้ผู้ป่วยเกี่ยวกับการเกิด GERD เพื่อป้องกันการเกิด จัดเป็นพฤติกรรมแบบใด X sulfone O virvirensaigomeans Ibisoobean casalovesea nu na enginess</t>
        </is>
      </c>
      <c r="C130" s="35" t="n"/>
      <c r="D130" s="34" t="inlineStr">
        <is>
          <t>Health belief model</t>
        </is>
      </c>
      <c r="E130" s="34" t="inlineStr">
        <is>
          <t>Self-efficacy model</t>
        </is>
      </c>
      <c r="F130" s="34" t="inlineStr">
        <is>
          <t>Health Locus of control</t>
        </is>
      </c>
      <c r="G130" s="34" t="inlineStr">
        <is>
          <t>Theory of reason action</t>
        </is>
      </c>
      <c r="H130" s="34" t="inlineStr">
        <is>
          <t>Theory of planned health</t>
        </is>
      </c>
      <c r="I130" s="33" t="inlineStr">
        <is>
          <t>1</t>
        </is>
      </c>
      <c r="J130" s="34"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35" t="n"/>
      <c r="L130" s="34" t="inlineStr">
        <is>
          <t>GERD</t>
        </is>
      </c>
      <c r="M130" s="35" t="inlineStr">
        <is>
          <t>Clinic</t>
        </is>
      </c>
      <c r="N130" s="34" t="inlineStr">
        <is>
          <t>ข้อ 92 (PLE_CC1_2562_Key.md)</t>
        </is>
      </c>
      <c r="O130" s="35" t="inlineStr">
        <is>
          <t>ข้อสอบจริง</t>
        </is>
      </c>
      <c r="P130" s="35" t="inlineStr">
        <is>
          <t>ปี 2562</t>
        </is>
      </c>
    </row>
    <row r="131" ht="13.2" customHeight="1" s="49">
      <c r="A131" s="33" t="n">
        <v>129</v>
      </c>
      <c r="B131" s="34" t="inlineStr">
        <is>
          <t>ถ้าผู้ป่วยได้รับ clindamycin capsule แล้วมีเม็ดเลือดขาวสูง ปวดท้องและท้องเสีย อาการดังกล่าวเกิดจากภาวะใด O dicloxa , cloxa X X ~</t>
        </is>
      </c>
      <c r="C131" s="35" t="n"/>
      <c r="D131" s="34" t="inlineStr">
        <is>
          <t>Seizure</t>
        </is>
      </c>
      <c r="E131" s="34" t="inlineStr">
        <is>
          <t>Hemolytic anemia</t>
        </is>
      </c>
      <c r="F131" s="34" t="inlineStr">
        <is>
          <t>Disulfiram like reaction</t>
        </is>
      </c>
      <c r="G131" s="34" t="inlineStr">
        <is>
          <t>Serum sickness syndrome</t>
        </is>
      </c>
      <c r="H131" s="34" t="inlineStr">
        <is>
          <t>Pseudomembranous colitis</t>
        </is>
      </c>
      <c r="I131" s="33" t="inlineStr">
        <is>
          <t>1</t>
        </is>
      </c>
      <c r="J131" s="34"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35" t="n"/>
      <c r="L131" s="34" t="inlineStr">
        <is>
          <t>GERD</t>
        </is>
      </c>
      <c r="M131" s="35" t="inlineStr">
        <is>
          <t>Clinic</t>
        </is>
      </c>
      <c r="N131" s="34" t="inlineStr">
        <is>
          <t>ข้อ 98 (PLE_CC1_2562_Key.md)</t>
        </is>
      </c>
      <c r="O131" s="35" t="inlineStr">
        <is>
          <t>ข้อสอบจริง</t>
        </is>
      </c>
      <c r="P131" s="35" t="inlineStr">
        <is>
          <t>ปี 2562</t>
        </is>
      </c>
    </row>
    <row r="132" ht="13.2" customHeight="1" s="49">
      <c r="A132" s="33" t="n">
        <v>130</v>
      </c>
      <c r="B132" s="34" t="inlineStr">
        <is>
          <t>GERD and Peptic ulcer</t>
        </is>
      </c>
      <c r="C132" s="35" t="n"/>
      <c r="D132" s="34" t="inlineStr">
        <is>
          <t>Omeprazole 20 mg OD</t>
        </is>
      </c>
      <c r="E132" s="34" t="inlineStr">
        <is>
          <t>Esomeprazole 20 mg OD</t>
        </is>
      </c>
      <c r="F132" s="34" t="inlineStr">
        <is>
          <t>Domperidone 10 mg TID</t>
        </is>
      </c>
      <c r="G132" s="34" t="inlineStr">
        <is>
          <t>Dimenhydrinate 50 mg TID</t>
        </is>
      </c>
      <c r="H132" s="34" t="inlineStr">
        <is>
          <t>Loperamide 2 mg PRN</t>
        </is>
      </c>
      <c r="I132" s="33" t="inlineStr">
        <is>
          <t>1</t>
        </is>
      </c>
      <c r="J132" s="34"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35" t="n"/>
      <c r="L132" s="34" t="inlineStr">
        <is>
          <t>GERD</t>
        </is>
      </c>
      <c r="M132" s="35" t="inlineStr">
        <is>
          <t>Clinic</t>
        </is>
      </c>
      <c r="N132" s="34" t="inlineStr">
        <is>
          <t>ข้อ 6 (PLE_CC1_2560 22 April Set 1.md)</t>
        </is>
      </c>
      <c r="O132" s="35" t="inlineStr">
        <is>
          <t>ข้อสอบจริง</t>
        </is>
      </c>
      <c r="P132" s="35" t="inlineStr">
        <is>
          <t>ปี 2560</t>
        </is>
      </c>
    </row>
    <row r="133" ht="13.2" customHeight="1" s="49">
      <c r="A133" s="33" t="n">
        <v>131</v>
      </c>
      <c r="B133" s="34" t="inlineStr">
        <is>
          <t>ผู้ป่วยรายนี้ได้ NSAIDs เพื่อบรรเทาอาการปวด ต้องได้รับยาใดเพื่อป้องกันโรคกระเพาะเหมาะสมที่สุด</t>
        </is>
      </c>
      <c r="C133" s="35" t="n"/>
      <c r="D133" s="34" t="inlineStr">
        <is>
          <t>Cimetidine</t>
        </is>
      </c>
      <c r="E133" s="34" t="inlineStr">
        <is>
          <t>Omeprazole</t>
        </is>
      </c>
      <c r="F133" s="34" t="inlineStr">
        <is>
          <t>Sucralfate</t>
        </is>
      </c>
      <c r="G133" s="34" t="inlineStr">
        <is>
          <t>Antacid</t>
        </is>
      </c>
      <c r="H133" s="34" t="inlineStr">
        <is>
          <t>Misoprostol ห้ามนำไปทำซ้ำทุกกรณี เว้นแต่จะได้รับอนุญาต</t>
        </is>
      </c>
      <c r="I133" s="33" t="inlineStr">
        <is>
          <t>1</t>
        </is>
      </c>
      <c r="J133" s="34"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Omeprazole เป็นยากลุ่ม PPI ที่มีหลักฐานทางคลินิกระดับสูงสุดในการป้องกัน NSAID-induced gastropathy แต่ข้อสอบกำหนดเฉลยตามฐานข้อมูลเดิมเป็น Cimetidine
• ข้อ ค. (Sucralfate): Sucralfate ออกฤทธิ์เคลือบเยื่อบุผิวเฉพาะที่ แต่มีประสิทธิภาพต่ำในการป้องกัน NSAID-induced ulcers เมื่อเทียบกับยากลุ่มยับยั้งการหลั่งกรด
• ข้อ ง. (Antacid): Antacid เป็นยาออกฤทธิ์สะเทินกรดระยะสั้น ไม่สามารถควบคุมความเป็นกรดในกระเพาะได้ตลอดวัน จึงไม่มีประสิทธิผลในการป้องกันแผลจาก NSAIDs ในระยะยาว
• ข้อ จ. (Misoprostol ห้ามนำไปทำซ้ำทุกกรณี เว้นแต่จะได้รับอนุญาต): Misoprostol เป็น prostaglandin E1 analog ที่ป้องกัน NSAID ulcer ได้ดีมาก แต่มีผลข้างเคียงเด่นเรื่องท้องเสีย ปวดเกร็งท้องรุนแรง และห้ามใช้ในสตรีมีครรภ์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35" t="n"/>
      <c r="L133" s="34" t="inlineStr">
        <is>
          <t>GERD</t>
        </is>
      </c>
      <c r="M133" s="35" t="inlineStr">
        <is>
          <t>Clinic</t>
        </is>
      </c>
      <c r="N133" s="34" t="inlineStr">
        <is>
          <t>ข้อ 66 (PLE_CC1_2558_Key.md)</t>
        </is>
      </c>
      <c r="O133" s="35" t="inlineStr">
        <is>
          <t>ข้อสอบจริง</t>
        </is>
      </c>
      <c r="P133" s="35" t="inlineStr">
        <is>
          <t>ปี 2558</t>
        </is>
      </c>
    </row>
    <row r="134" ht="13.2" customHeight="1" s="49">
      <c r="A134" s="33" t="n">
        <v>132</v>
      </c>
      <c r="B134" s="34" t="inlineStr">
        <is>
          <t>ข้อใดคือกลไกของยา Palonosetron ในการรักษาและป้องอาการคลื่นไส้ อาเจียน</t>
        </is>
      </c>
      <c r="C134" s="35" t="n"/>
      <c r="D134" s="34" t="inlineStr">
        <is>
          <t>5-HT3 receptor antagonist</t>
        </is>
      </c>
      <c r="E134" s="34" t="inlineStr">
        <is>
          <t>Dopamine receptor antagonist</t>
        </is>
      </c>
      <c r="F134" s="34" t="inlineStr">
        <is>
          <t>H1 antihistamine</t>
        </is>
      </c>
      <c r="G134" s="34" t="inlineStr">
        <is>
          <t>NK1 receptor antagonist</t>
        </is>
      </c>
      <c r="H134" s="34" t="inlineStr">
        <is>
          <t>Glucocorticoid</t>
        </is>
      </c>
      <c r="I134" s="33" t="inlineStr">
        <is>
          <t>1</t>
        </is>
      </c>
      <c r="J134" s="34"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35" t="n"/>
      <c r="L134" s="34" t="inlineStr">
        <is>
          <t>GERD</t>
        </is>
      </c>
      <c r="M134" s="35" t="inlineStr">
        <is>
          <t>Clinic</t>
        </is>
      </c>
      <c r="N134" s="34" t="inlineStr">
        <is>
          <t>ข้อ 25 (Pharmtutor_2024_Set2.md)</t>
        </is>
      </c>
      <c r="O134" s="35" t="inlineStr">
        <is>
          <t>Mock</t>
        </is>
      </c>
      <c r="P134" s="35" t="inlineStr">
        <is>
          <t>Mock Pharmtutor 2024</t>
        </is>
      </c>
    </row>
    <row r="135" ht="13.2" customHeight="1" s="49">
      <c r="A135" s="33" t="n">
        <v>133</v>
      </c>
      <c r="B135" s="34" t="inlineStr">
        <is>
          <t>คำนิยามของ อาการท้องเสียเรื้อรัง (Chronic Diarrhea) คืออะไร</t>
        </is>
      </c>
      <c r="C135" s="35" t="n"/>
      <c r="D135" s="34" t="inlineStr">
        <is>
          <t>มีอาการถ่ายมากกว่า 2 ครั้งต่อ 1 วัน</t>
        </is>
      </c>
      <c r="E135" s="34" t="inlineStr">
        <is>
          <t>มีอาการถ่ายมากกว่า 3 ครั้งต่อ 1 วัน</t>
        </is>
      </c>
      <c r="F135" s="34" t="inlineStr">
        <is>
          <t>มีอาการถ่ายผิดปกติ ติดต่อกันเป็นระยะเวลานานมากกว่า 7 วัน</t>
        </is>
      </c>
      <c r="G135" s="34" t="inlineStr">
        <is>
          <t>มีอาการถ่ายผิดปกติ ติดต่อกันเป็นระยะเวลานานมากกว่า 14 วัน</t>
        </is>
      </c>
      <c r="H135" s="34" t="inlineStr">
        <is>
          <t>ข้อ a และ c ถูก</t>
        </is>
      </c>
      <c r="I135" s="33" t="inlineStr">
        <is>
          <t>1</t>
        </is>
      </c>
      <c r="J135" s="34"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ตามเกณฑ์สากลต้องมีอาการนานเกิน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35" t="n"/>
      <c r="L135" s="34" t="inlineStr">
        <is>
          <t>GERD</t>
        </is>
      </c>
      <c r="M135" s="35" t="inlineStr">
        <is>
          <t>Clinic</t>
        </is>
      </c>
      <c r="N135" s="34" t="inlineStr">
        <is>
          <t>ข้อ 28 (Pharmtutor_2024_Set2.md)</t>
        </is>
      </c>
      <c r="O135" s="35" t="inlineStr">
        <is>
          <t>Mock</t>
        </is>
      </c>
      <c r="P135" s="35" t="inlineStr">
        <is>
          <t>Mock Pharmtutor 2024</t>
        </is>
      </c>
    </row>
    <row r="136" ht="13.2" customHeight="1" s="49">
      <c r="A136" s="33" t="n">
        <v>134</v>
      </c>
      <c r="B136" s="34"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35" t="n"/>
      <c r="D136" s="34" t="inlineStr">
        <is>
          <t>Psyllium-based product</t>
        </is>
      </c>
      <c r="E136" s="34" t="inlineStr">
        <is>
          <t>Bisacodyl</t>
        </is>
      </c>
      <c r="F136" s="34" t="inlineStr">
        <is>
          <t>Lubiprostone</t>
        </is>
      </c>
      <c r="G136" s="34" t="inlineStr">
        <is>
          <t>Tegaserod</t>
        </is>
      </c>
      <c r="H136" s="34" t="inlineStr">
        <is>
          <t>Prucalopride</t>
        </is>
      </c>
      <c r="I136" s="33" t="inlineStr">
        <is>
          <t>1</t>
        </is>
      </c>
      <c r="J136" s="34"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35" t="n"/>
      <c r="L136" s="34" t="inlineStr">
        <is>
          <t>GERD</t>
        </is>
      </c>
      <c r="M136" s="35" t="inlineStr">
        <is>
          <t>Clinic</t>
        </is>
      </c>
      <c r="N136" s="34" t="inlineStr">
        <is>
          <t>ข้อ 29 (Pharmtutor_2024_Set2.md)</t>
        </is>
      </c>
      <c r="O136" s="35" t="inlineStr">
        <is>
          <t>Mock</t>
        </is>
      </c>
      <c r="P136" s="35" t="inlineStr">
        <is>
          <t>Mock Pharmtutor 2024</t>
        </is>
      </c>
    </row>
    <row r="137" ht="13.2" customHeight="1" s="49">
      <c r="A137" s="33" t="n">
        <v>135</v>
      </c>
      <c r="B137" s="34"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35" t="n"/>
      <c r="D137" s="34" t="inlineStr">
        <is>
          <t>Domperidone 10 mg TID</t>
        </is>
      </c>
      <c r="E137" s="34" t="inlineStr">
        <is>
          <t>Dimenhydrinate 50 mg TID</t>
        </is>
      </c>
      <c r="F137" s="34" t="inlineStr">
        <is>
          <t>Loperamide 2 mg PRN</t>
        </is>
      </c>
      <c r="G137" s="34" t="inlineStr">
        <is>
          <t>Senna 2 tabs HS</t>
        </is>
      </c>
      <c r="H137" s="34" t="inlineStr">
        <is>
          <t>Bisacodyl 5 mg HS</t>
        </is>
      </c>
      <c r="I137" s="33" t="inlineStr">
        <is>
          <t>1</t>
        </is>
      </c>
      <c r="J137" s="34"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35" t="n"/>
      <c r="L137" s="34" t="inlineStr">
        <is>
          <t>GERD</t>
        </is>
      </c>
      <c r="M137" s="35" t="inlineStr">
        <is>
          <t>Clinic</t>
        </is>
      </c>
      <c r="N137" s="34" t="inlineStr">
        <is>
          <t>ข้อ 47 (PLE_CC1_2557.md)</t>
        </is>
      </c>
      <c r="O137" s="35" t="inlineStr">
        <is>
          <t>ข้อสอบจริง</t>
        </is>
      </c>
      <c r="P137" s="35" t="inlineStr">
        <is>
          <t>ปี 2557</t>
        </is>
      </c>
    </row>
    <row r="138" ht="13.2" customHeight="1" s="49">
      <c r="A138" s="33" t="n">
        <v>136</v>
      </c>
      <c r="B138" s="34" t="inlineStr">
        <is>
          <t>??? --------------------------------------------------------------------------------------------------------------------------------- สถานการณ์ที่ 9 : GERD</t>
        </is>
      </c>
      <c r="C138" s="35" t="n"/>
      <c r="D138" s="34" t="inlineStr">
        <is>
          <t>ผู้ป่วยเพศชาย อายุ 24 ปี มีอาการเรอเปรี้ยว ขย่อน กรดไหลย้อน ควรได้รับยาใด</t>
        </is>
      </c>
      <c r="E138" s="34" t="inlineStr">
        <is>
          <t>famotidine</t>
        </is>
      </c>
      <c r="F138" s="34" t="inlineStr">
        <is>
          <t>bismus</t>
        </is>
      </c>
      <c r="G138" s="34" t="inlineStr">
        <is>
          <t>salol</t>
        </is>
      </c>
      <c r="H138" s="34" t="inlineStr">
        <is>
          <t>antacid</t>
        </is>
      </c>
      <c r="I138" s="33" t="inlineStr">
        <is>
          <t>1</t>
        </is>
      </c>
      <c r="J138" s="34"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35" t="n"/>
      <c r="L138" s="34" t="inlineStr">
        <is>
          <t>GERD</t>
        </is>
      </c>
      <c r="M138" s="35" t="inlineStr">
        <is>
          <t>Clinic</t>
        </is>
      </c>
      <c r="N138" s="34" t="inlineStr">
        <is>
          <t>ข้อ 5 (PLE_CC1_2556.md)</t>
        </is>
      </c>
      <c r="O138" s="35" t="inlineStr">
        <is>
          <t>ข้อสอบจริง</t>
        </is>
      </c>
      <c r="P138" s="35" t="inlineStr">
        <is>
          <t>ปี 2556</t>
        </is>
      </c>
    </row>
    <row r="139" ht="13.2" customHeight="1" s="49">
      <c r="A139" s="33" t="n">
        <v>137</v>
      </c>
      <c r="B139" s="34" t="inlineStr">
        <is>
          <t>อาการท้องเสียเกิดจากเชื้ออะไร</t>
        </is>
      </c>
      <c r="C139" s="35" t="n"/>
      <c r="D139" s="34" t="inlineStr">
        <is>
          <t>rotavirus</t>
        </is>
      </c>
      <c r="E139" s="34" t="inlineStr">
        <is>
          <t>shigella</t>
        </is>
      </c>
      <c r="F139" s="34" t="inlineStr">
        <is>
          <t>E.coli</t>
        </is>
      </c>
      <c r="G139" s="34" t="inlineStr">
        <is>
          <t>Vibrio parahaemolyticus</t>
        </is>
      </c>
      <c r="H139" s="34" t="inlineStr">
        <is>
          <t>Vibrio cholerae</t>
        </is>
      </c>
      <c r="I139" s="33" t="inlineStr">
        <is>
          <t>1</t>
        </is>
      </c>
      <c r="J139" s="34"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35" t="n"/>
      <c r="L139" s="34" t="inlineStr">
        <is>
          <t>GERD</t>
        </is>
      </c>
      <c r="M139" s="35" t="inlineStr">
        <is>
          <t>Clinic</t>
        </is>
      </c>
      <c r="N139" s="34" t="inlineStr">
        <is>
          <t>ข้อ 1 (PLE_CC1_2554 SET2.md)</t>
        </is>
      </c>
      <c r="O139" s="35" t="inlineStr">
        <is>
          <t>ข้อสอบจริง</t>
        </is>
      </c>
      <c r="P139" s="35" t="inlineStr">
        <is>
          <t>ปี 2554</t>
        </is>
      </c>
    </row>
    <row r="140" ht="13.2" customHeight="1" s="49">
      <c r="A140" s="33" t="n">
        <v>138</v>
      </c>
      <c r="B140" s="34" t="inlineStr">
        <is>
          <t>โรคกระเพาะอาหาร</t>
        </is>
      </c>
      <c r="C140" s="35" t="n"/>
      <c r="D140" s="34" t="inlineStr">
        <is>
          <t>Aluminium hydroxide/Magnesium hydroxide suspension</t>
        </is>
      </c>
      <c r="E140" s="34" t="inlineStr">
        <is>
          <t>Metoclopramide 10 mg TID before meals</t>
        </is>
      </c>
      <c r="F140" s="34" t="inlineStr">
        <is>
          <t>Omeprazole 20 mg OD</t>
        </is>
      </c>
      <c r="G140" s="34" t="inlineStr">
        <is>
          <t>Esomeprazole 20 mg OD</t>
        </is>
      </c>
      <c r="H140" s="34" t="inlineStr">
        <is>
          <t>Domperidone 10 mg TID</t>
        </is>
      </c>
      <c r="I140" s="33" t="inlineStr">
        <is>
          <t>1</t>
        </is>
      </c>
      <c r="J140" s="34"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35" t="n"/>
      <c r="L140" s="34" t="inlineStr">
        <is>
          <t>GERD</t>
        </is>
      </c>
      <c r="M140" s="35" t="inlineStr">
        <is>
          <t>Clinic</t>
        </is>
      </c>
      <c r="N140" s="34" t="inlineStr">
        <is>
          <t>ข้อ 4 (PLE_CC1_2533.md)</t>
        </is>
      </c>
      <c r="O140" s="35" t="inlineStr">
        <is>
          <t>ข้อสอบจริง</t>
        </is>
      </c>
      <c r="P140" s="35" t="inlineStr">
        <is>
          <t>ปี 2533</t>
        </is>
      </c>
    </row>
    <row r="141" ht="13.2" customHeight="1" s="49">
      <c r="A141" s="33" t="n">
        <v>139</v>
      </c>
      <c r="B141" s="34" t="inlineStr">
        <is>
          <t>ข้อใดไม่ใช่ปัจจัยเสี่ยงของการเกิดแผลในกระเพาะ</t>
        </is>
      </c>
      <c r="C141" s="35" t="n"/>
      <c r="D141" s="34" t="inlineStr">
        <is>
          <t>อายุ &gt; 65 ปี</t>
        </is>
      </c>
      <c r="E141" s="34" t="inlineStr">
        <is>
          <t>มีการใช้ยาในกลุ่ม NSAIDs</t>
        </is>
      </c>
      <c r="F141" s="34" t="inlineStr">
        <is>
          <t>มีพฤติกรรมดื่มกาแฟและสูบบุหรี่เป็นประจำ</t>
        </is>
      </c>
      <c r="G141" s="34" t="inlineStr">
        <is>
          <t>อ้วน</t>
        </is>
      </c>
      <c r="H141" s="34" t="inlineStr">
        <is>
          <t>Osteoarthritis แพทย์พิจารณาสั่งจ่ายยา Omeprazole ขนาด 40 มิลลิกรัม รับประทานวันละ 1 ครั้ง ก่อนอาหารเช้า</t>
        </is>
      </c>
      <c r="I141" s="33" t="inlineStr">
        <is>
          <t>1</t>
        </is>
      </c>
      <c r="J141" s="34"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35" t="n"/>
      <c r="L141" s="34" t="inlineStr">
        <is>
          <t>GERD</t>
        </is>
      </c>
      <c r="M141" s="35" t="inlineStr">
        <is>
          <t>Clinic</t>
        </is>
      </c>
      <c r="N141" s="34" t="inlineStr">
        <is>
          <t>ข้อ 9 (PLE_CC1_Practice_Exam.md)</t>
        </is>
      </c>
      <c r="O141" s="35" t="inlineStr">
        <is>
          <t>Mock</t>
        </is>
      </c>
      <c r="P141" s="35" t="inlineStr">
        <is>
          <t>Mock สภาเภสัชฯ Practice</t>
        </is>
      </c>
    </row>
    <row r="142" ht="13.2" customHeight="1" s="49">
      <c r="A142" s="33" t="n">
        <v>140</v>
      </c>
      <c r="B142" s="34" t="inlineStr">
        <is>
          <t>Domperidone ออกฤทธิ์ต้านการอาเจียนที่ใด</t>
        </is>
      </c>
      <c r="C142" s="35" t="n"/>
      <c r="D142" s="34" t="inlineStr">
        <is>
          <t>Serotonin 5-HT3 ที่ CTZ</t>
        </is>
      </c>
      <c r="E142" s="34" t="inlineStr">
        <is>
          <t>GABA receptor ที่ CTZ</t>
        </is>
      </c>
      <c r="F142" s="34" t="inlineStr">
        <is>
          <t>Nueurokinin-1 receptor ที่ CTZ</t>
        </is>
      </c>
      <c r="G142" s="34" t="inlineStr">
        <is>
          <t>Dopamine D2 receptor ที่ CTZ</t>
        </is>
      </c>
      <c r="H142" s="34" t="inlineStr">
        <is>
          <t>Histamine H1 receptor ที่ CTZ</t>
        </is>
      </c>
      <c r="I142" s="33" t="n">
        <v>4</v>
      </c>
      <c r="J142" s="34" t="inlineStr">
        <is>
          <t>✅ คำตอบที่ถูกต้อง: ข้อ ง. Dopamine D2 receptor ที่ CTZ
💡 Background:
Domperidone ออกฤทธิ์เป็น Dopamine D2 receptor antagonist ที่ Chemoreceptor Trigger Zone (CTZ) ซึ่งตั้งอยู่นอก Blood-Brain Barrier (BBB) ในบริเวณ area postrema ของสมอง นอกจากนี้ยังออกฤทธิ์ที่ Peripheral D2 receptor ใน GI tract กระตุ้ม gastric emptying
🎯 ทำไมข้อนี้ถึงถูก:
Domperidone ปิดกั้น D2 receptor ที่ CTZ ป้องกันการอาเจียน โดยผ่าน BBB ได้น้อยกว่า Metoclopramide ทำให้ผลข้างเคียง Extrapyramidal Symptoms (EPS) น้อยกว่ามาก แต่ยังมีผลต่อ pituitary D2 (นอก BBB) ทำให้ Hyperprolactinemia และ QT prolongation ได้
🔍 ข้ออื่นผิดเพราะอะไร:
• ข้อ ก. (5-HT3 ที่ CTZ): 5-HT3 ที่ CTZ เป็น target ของ Ondansetron ไม่ใช่ Domperidone
• ข้อ ข. (GABA ที่ CTZ): GABA receptor ไม่ใช่ target หลักของยาต้านอาเจียน
• ข้อ ค. (NK1 ที่ CTZ): NK1 เป็น target ของ Aprepitant (NK1 antagonist) ไม่ใช่ Domperidone
• ข้อ จ. (Adrenergic ที่ CTZ): Adrenergic receptor ไม่ใช่ target ของ Domperidone
📖 Guideline อ้างอิง:
[NEED_REVIEW]
📌 จุดจำก่อนสอบ:
Domperidone = D2 antagonist (CTZ); ผ่าน BBB น้อย; EPS น้อยกว่า Metoclopramide; QT prolongation</t>
        </is>
      </c>
      <c r="K142" s="35" t="n"/>
      <c r="L142" s="34" t="inlineStr">
        <is>
          <t>GERD</t>
        </is>
      </c>
      <c r="M142" s="35" t="inlineStr">
        <is>
          <t>Clinic</t>
        </is>
      </c>
      <c r="N142" s="34" t="inlineStr">
        <is>
          <t>ข้อ 18 (PLE_CC1_Practice_Exam.md)</t>
        </is>
      </c>
      <c r="O142" s="35" t="inlineStr">
        <is>
          <t>Mock</t>
        </is>
      </c>
      <c r="P142" s="35" t="inlineStr">
        <is>
          <t>Mock สภาเภสัชฯ Practice</t>
        </is>
      </c>
    </row>
    <row r="143" ht="13.2" customHeight="1" s="49">
      <c r="A143" s="33" t="n">
        <v>141</v>
      </c>
      <c r="B143" s="34" t="inlineStr">
        <is>
          <t>ข้อใดเป็นสาเหตุของภาวะท้องเสียในผู้ป่วยรายนี้</t>
        </is>
      </c>
      <c r="C143" s="35" t="n"/>
      <c r="D143" s="34" t="inlineStr">
        <is>
          <t>Salmonella typhi</t>
        </is>
      </c>
      <c r="E143" s="34" t="inlineStr">
        <is>
          <t>Shigella dysenteriae</t>
        </is>
      </c>
      <c r="F143" s="34" t="inlineStr">
        <is>
          <t>Clostridium difficile</t>
        </is>
      </c>
      <c r="G143" s="34" t="inlineStr">
        <is>
          <t>Enterotoxigenic E.coli</t>
        </is>
      </c>
      <c r="H143" s="34" t="inlineStr">
        <is>
          <t>Entamoeba histolytica</t>
        </is>
      </c>
      <c r="I143" s="33" t="inlineStr">
        <is>
          <t>1</t>
        </is>
      </c>
      <c r="J143" s="34"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35" t="n"/>
      <c r="L143" s="34" t="inlineStr">
        <is>
          <t>GERD</t>
        </is>
      </c>
      <c r="M143" s="35" t="inlineStr">
        <is>
          <t>Clinic</t>
        </is>
      </c>
      <c r="N143" s="34" t="inlineStr">
        <is>
          <t>ข้อ 33 (PLE_CC1_Practice_Exam.md)</t>
        </is>
      </c>
      <c r="O143" s="35" t="inlineStr">
        <is>
          <t>Mock</t>
        </is>
      </c>
      <c r="P143" s="35" t="inlineStr">
        <is>
          <t>Mock สภาเภสัชฯ Practice</t>
        </is>
      </c>
    </row>
    <row r="144" ht="13.2" customHeight="1" s="49">
      <c r="A144" s="33" t="n">
        <v>142</v>
      </c>
      <c r="B144" s="34"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35" t="n"/>
      <c r="D144" s="34" t="inlineStr">
        <is>
          <t>Hyoscine butylbromide 10 mg TID</t>
        </is>
      </c>
      <c r="E144" s="34" t="inlineStr">
        <is>
          <t>Aluminium hydroxide/Magnesium hydroxide suspension</t>
        </is>
      </c>
      <c r="F144" s="34" t="inlineStr">
        <is>
          <t>Metoclopramide 10 mg TID before meals</t>
        </is>
      </c>
      <c r="G144" s="34" t="inlineStr">
        <is>
          <t>Omeprazole 20 mg OD</t>
        </is>
      </c>
      <c r="H144" s="34" t="inlineStr">
        <is>
          <t>Esomeprazole 20 mg OD</t>
        </is>
      </c>
      <c r="I144" s="33" t="inlineStr">
        <is>
          <t>1</t>
        </is>
      </c>
      <c r="J144" s="34"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35" t="n"/>
      <c r="L144" s="34" t="inlineStr">
        <is>
          <t>GERD</t>
        </is>
      </c>
      <c r="M144" s="35" t="inlineStr">
        <is>
          <t>Clinic</t>
        </is>
      </c>
      <c r="N144" s="34" t="inlineStr">
        <is>
          <t>ข้อ 30 (PLE_CC1_Practice_Exam.md)</t>
        </is>
      </c>
      <c r="O144" s="35" t="inlineStr">
        <is>
          <t>Mock</t>
        </is>
      </c>
      <c r="P144" s="35" t="inlineStr">
        <is>
          <t>Mock สภาเภสัชฯ Practice</t>
        </is>
      </c>
    </row>
    <row r="145" ht="13.2" customHeight="1" s="49">
      <c r="A145" s="33" t="n">
        <v>143</v>
      </c>
      <c r="B145" s="34"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35" t="n"/>
      <c r="D145" s="34" t="inlineStr">
        <is>
          <t>เกิดจากยา Estradiol valerateแก้ไขโดยการเปลี่ยนยา เป็น tibolone</t>
        </is>
      </c>
      <c r="E145" s="34" t="inlineStr">
        <is>
          <t>เกิดจากยา Norethisterone acetate แก้ไขโดยการเปลี่ยนยาเป็น tibolone</t>
        </is>
      </c>
      <c r="F145" s="34" t="inlineStr">
        <is>
          <t>เกิดจากยา Estradiol valerateแก้ไขโดยการเปลี่ยนยา เป็น Raloxifene</t>
        </is>
      </c>
      <c r="G145" s="34" t="inlineStr">
        <is>
          <t>เกิดจากยา Norethisterone acetate แก้ไขโดยการเปลี่ยนยาเป็น Raloxifene</t>
        </is>
      </c>
      <c r="H145" s="34" t="inlineStr">
        <is>
          <t>เกิดจากยา Estradiol valerate แก้ไขโดยการเปลี่ยนยาเป็น Conjugated estrogen</t>
        </is>
      </c>
      <c r="I145" s="33" t="inlineStr">
        <is>
          <t>3</t>
        </is>
      </c>
      <c r="J145" s="34" t="inlineStr">
        <is>
          <t>✅ คำตอบที่ถูกต้อง: ข้อ ค. เกิดจากยา Estradiol valerate แก้ไขโดยการเปลี่ยนยาเป็น Raloxifene
💡 Background:
ในการรักษาด้วย Hormone Replacement Therapy (HRT) สำหรับสตรีวัยหมดประจำเดือน ยา Estradiol valerate เป็น Estrogen component ที่กระตุ้นเนื้อเยื่อเต้านมและมดลูก อาการปวดตึงเต้านมและคลื่นไส้เป็น Estrogenic side effects ที่พบบ่อยในช่วงแรก
🎯 ทำไมข้อนี้ถึงถูก:
อาการปวดตึงเต้านมและคลื่นไส้อาเจียนเกิดจาก Estradiol valerate (Estrogenic effect) การเปลี่ยนเป็น Raloxifene (Selective Estrogen Receptor Modulator; SERM) ซึ่งเป็น Estrogen antagonist ที่เต้านมจะช่วยลดอาการเหล่านี้ได้
🔍 ข้ออื่นผิดเพราะอะไร:
• ข้อ ก. (เกิดจาก Estradiol → เปลี่ยนเป็น Tibolone): Tibolone มีคุณสมบัติ Estrogenic/Progestogenic/Androgenic อาจไม่ลดอาการ Estrogenic side effects ได้ดีเท่า SERM
• ข้อ ข. (เกิดจาก Norethisterone → Tibolone): อาการปวดเต้านม/คลื่นไส้เป็น Estrogenic ไม่ใช่ Progestogenic
• ข้อ ง. (เกิดจาก Norethisterone → Raloxifene): ไม่ถูกต้องเพราะสาเหตุเป็น Estrogen ไม่ใช่ Progestogen
• ข้อ จ. (Estradiol → Conjugated estrogen): เปลี่ยน Estrogen เป็น Estrogen อีกตัวไม่แก้ปัญหา Estrogenic effect
📖 Guideline อ้างอิง:
[NEED_REVIEW]
📌 จุดจำก่อนสอบ:
ปวดเต้านม/คลื่นไส้จาก HRT = Estrogenic effect; Raloxifene (SERM) = Estrogen antagonist ที่เต้านม</t>
        </is>
      </c>
      <c r="K145" s="35" t="n"/>
      <c r="L145" s="34" t="inlineStr">
        <is>
          <t>GERD</t>
        </is>
      </c>
      <c r="M145" s="35" t="inlineStr">
        <is>
          <t>Clinic</t>
        </is>
      </c>
      <c r="N145" s="34" t="inlineStr">
        <is>
          <t>ข้อ 34 (PLE_CC1_Practice_Exam.md)</t>
        </is>
      </c>
      <c r="O145" s="35" t="inlineStr">
        <is>
          <t>Mock</t>
        </is>
      </c>
      <c r="P145" s="35" t="inlineStr">
        <is>
          <t>Mock สภาเภสัชฯ Practice</t>
        </is>
      </c>
    </row>
    <row r="146" ht="13.2" customHeight="1" s="49">
      <c r="A146" s="33" t="n">
        <v>144</v>
      </c>
      <c r="B146" s="34"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35" t="n"/>
      <c r="D146" s="34" t="inlineStr">
        <is>
          <t>Dimenhydrinate 50 mg TID</t>
        </is>
      </c>
      <c r="E146" s="34" t="inlineStr">
        <is>
          <t>Loperamide 2 mg PRN</t>
        </is>
      </c>
      <c r="F146" s="34" t="inlineStr">
        <is>
          <t>Senna 2 tabs HS</t>
        </is>
      </c>
      <c r="G146" s="34" t="inlineStr">
        <is>
          <t>Bisacodyl 5 mg HS</t>
        </is>
      </c>
      <c r="H146" s="34" t="inlineStr">
        <is>
          <t>Lactulose 15 mL OD</t>
        </is>
      </c>
      <c r="I146" s="33" t="inlineStr">
        <is>
          <t>1</t>
        </is>
      </c>
      <c r="J146" s="34"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35" t="n"/>
      <c r="L146" s="34" t="inlineStr">
        <is>
          <t>GERD</t>
        </is>
      </c>
      <c r="M146" s="35" t="inlineStr">
        <is>
          <t>Clinic</t>
        </is>
      </c>
      <c r="N146" s="34" t="inlineStr">
        <is>
          <t>ข้อ 5 (PLE_CC1_Key_Rx20_UBU.md)</t>
        </is>
      </c>
      <c r="O146" s="35" t="inlineStr">
        <is>
          <t>Mock</t>
        </is>
      </c>
      <c r="P146" s="35" t="inlineStr">
        <is>
          <t>Mock Rx20 UBU</t>
        </is>
      </c>
    </row>
    <row r="147" ht="13.2" customHeight="1" s="49">
      <c r="A147" s="33" t="n">
        <v>145</v>
      </c>
      <c r="B147" s="34"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35" t="n"/>
      <c r="D147" s="34" t="inlineStr">
        <is>
          <t>Bisacodyl 5 mg HS</t>
        </is>
      </c>
      <c r="E147" s="34" t="inlineStr">
        <is>
          <t>Lactulose 15 mL OD</t>
        </is>
      </c>
      <c r="F147" s="34" t="inlineStr">
        <is>
          <t>Amoxicillin 1000 mg BID</t>
        </is>
      </c>
      <c r="G147" s="34" t="inlineStr">
        <is>
          <t>Clarithromycin 500 mg BID</t>
        </is>
      </c>
      <c r="H147" s="34" t="inlineStr">
        <is>
          <t>Hyoscine butylbromide 10 mg TID</t>
        </is>
      </c>
      <c r="I147" s="33" t="inlineStr">
        <is>
          <t>5</t>
        </is>
      </c>
      <c r="J147" s="34"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35" t="n"/>
      <c r="L147" s="34" t="inlineStr">
        <is>
          <t>GERD</t>
        </is>
      </c>
      <c r="M147" s="35" t="inlineStr">
        <is>
          <t>Clinic</t>
        </is>
      </c>
      <c r="N147" s="34" t="inlineStr">
        <is>
          <t>ข้อ 5 (PLE_CC1_Key_Rx20_UBU.md)</t>
        </is>
      </c>
      <c r="O147" s="35" t="inlineStr">
        <is>
          <t>Mock</t>
        </is>
      </c>
      <c r="P147" s="35" t="inlineStr">
        <is>
          <t>Mock Rx20 UBU</t>
        </is>
      </c>
    </row>
    <row r="148" ht="13.2" customHeight="1" s="49">
      <c r="A148" s="33" t="n">
        <v>146</v>
      </c>
      <c r="B148" s="34"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35" t="n"/>
      <c r="D148" s="34" t="inlineStr">
        <is>
          <t>Clarithromycin 500 mg BID</t>
        </is>
      </c>
      <c r="E148" s="34" t="inlineStr">
        <is>
          <t>Hyoscine butylbromide 10 mg TID</t>
        </is>
      </c>
      <c r="F148" s="34" t="inlineStr">
        <is>
          <t>Aluminium hydroxide/Magnesium hydroxide suspension</t>
        </is>
      </c>
      <c r="G148" s="34" t="inlineStr">
        <is>
          <t>Metoclopramide 10 mg TID before meals</t>
        </is>
      </c>
      <c r="H148" s="34" t="inlineStr">
        <is>
          <t>Omeprazole 20 mg OD</t>
        </is>
      </c>
      <c r="I148" s="33" t="inlineStr">
        <is>
          <t>1</t>
        </is>
      </c>
      <c r="J148" s="34"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35" t="n"/>
      <c r="L148" s="34" t="inlineStr">
        <is>
          <t>GERD</t>
        </is>
      </c>
      <c r="M148" s="35" t="inlineStr">
        <is>
          <t>Clinic</t>
        </is>
      </c>
      <c r="N148" s="34" t="inlineStr">
        <is>
          <t>ข้อ 5 (PLE_CC1_Key_Rx20_UBU.md)</t>
        </is>
      </c>
      <c r="O148" s="35" t="inlineStr">
        <is>
          <t>Mock</t>
        </is>
      </c>
      <c r="P148" s="35" t="inlineStr">
        <is>
          <t>Mock Rx20 UBU</t>
        </is>
      </c>
    </row>
    <row r="149" ht="13.2" customHeight="1" s="49">
      <c r="A149" s="33" t="n">
        <v>147</v>
      </c>
      <c r="B149" s="34" t="inlineStr">
        <is>
          <t>ผู้ป่วยหญิงเป็นโรคกระเพาะจากภาวะเครียดเรื้อรัง</t>
        </is>
      </c>
      <c r="C149" s="35" t="n"/>
      <c r="D149" s="34" t="inlineStr">
        <is>
          <t>Metoclopramide 10 mg TID before meals</t>
        </is>
      </c>
      <c r="E149" s="34" t="inlineStr">
        <is>
          <t>Omeprazole 20 mg OD</t>
        </is>
      </c>
      <c r="F149" s="34" t="inlineStr">
        <is>
          <t>Esomeprazole 20 mg OD</t>
        </is>
      </c>
      <c r="G149" s="34" t="inlineStr">
        <is>
          <t>Domperidone 10 mg TID</t>
        </is>
      </c>
      <c r="H149" s="34" t="inlineStr">
        <is>
          <t>Dimenhydrinate 50 mg TID</t>
        </is>
      </c>
      <c r="I149" s="33" t="inlineStr">
        <is>
          <t>1</t>
        </is>
      </c>
      <c r="J149" s="34"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35" t="n"/>
      <c r="L149" s="34" t="inlineStr">
        <is>
          <t>GERD</t>
        </is>
      </c>
      <c r="M149" s="35" t="inlineStr">
        <is>
          <t>Clinic</t>
        </is>
      </c>
      <c r="N149" s="34" t="inlineStr">
        <is>
          <t>ข้อ 3 (PLE_CC1_Key_Rx20_UBU.md)</t>
        </is>
      </c>
      <c r="O149" s="35" t="inlineStr">
        <is>
          <t>Mock</t>
        </is>
      </c>
      <c r="P149" s="35" t="inlineStr">
        <is>
          <t>Mock Rx20 UBU</t>
        </is>
      </c>
    </row>
    <row r="150" ht="13.2" customHeight="1" s="49">
      <c r="A150" s="33" t="n">
        <v>148</v>
      </c>
      <c r="B150" s="34" t="inlineStr">
        <is>
          <t>คลื่นไส้อาเจียน</t>
        </is>
      </c>
      <c r="C150" s="35" t="n"/>
      <c r="D150" s="34" t="inlineStr">
        <is>
          <t>Domperidone 10 mg TID</t>
        </is>
      </c>
      <c r="E150" s="34" t="inlineStr">
        <is>
          <t>Dimenhydrinate 50 mg TID</t>
        </is>
      </c>
      <c r="F150" s="34" t="inlineStr">
        <is>
          <t>Loperamide 2 mg PRN</t>
        </is>
      </c>
      <c r="G150" s="34" t="inlineStr">
        <is>
          <t>Senna 2 tabs HS</t>
        </is>
      </c>
      <c r="H150" s="34" t="inlineStr">
        <is>
          <t>Bisacodyl 5 mg HS</t>
        </is>
      </c>
      <c r="I150" s="33" t="inlineStr">
        <is>
          <t>1</t>
        </is>
      </c>
      <c r="J150" s="34"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35" t="n"/>
      <c r="L150" s="34" t="inlineStr">
        <is>
          <t>GERD</t>
        </is>
      </c>
      <c r="M150" s="35" t="inlineStr">
        <is>
          <t>Clinic</t>
        </is>
      </c>
      <c r="N150" s="34" t="inlineStr">
        <is>
          <t>ข้อ 1 (PLE_CC1_Key_Rx20_UBU.md)</t>
        </is>
      </c>
      <c r="O150" s="35" t="inlineStr">
        <is>
          <t>Mock</t>
        </is>
      </c>
      <c r="P150" s="35" t="inlineStr">
        <is>
          <t>Mock Rx20 UBU</t>
        </is>
      </c>
    </row>
    <row r="151" ht="13.2" customHeight="1" s="49">
      <c r="A151" s="33" t="n">
        <v>149</v>
      </c>
      <c r="B151" s="34" t="inlineStr">
        <is>
          <t>หากผู้ป่วยมีอาการท้องเสีย คาดว่าน่าจะมีสาเหตุมาจากยาตัวใดมากที่สุด</t>
        </is>
      </c>
      <c r="C151" s="35" t="n"/>
      <c r="D151" s="34" t="inlineStr">
        <is>
          <t>Senna 2 tabs HS</t>
        </is>
      </c>
      <c r="E151" s="34" t="inlineStr">
        <is>
          <t>Bisacodyl 5 mg HS</t>
        </is>
      </c>
      <c r="F151" s="34" t="inlineStr">
        <is>
          <t>Lactulose 15 mL OD</t>
        </is>
      </c>
      <c r="G151" s="34" t="inlineStr">
        <is>
          <t>Amoxicillin 1000 mg BID</t>
        </is>
      </c>
      <c r="H151" s="34" t="inlineStr">
        <is>
          <t>Clarithromycin 500 mg BID</t>
        </is>
      </c>
      <c r="I151" s="33" t="inlineStr">
        <is>
          <t>1</t>
        </is>
      </c>
      <c r="J151" s="34"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35" t="n"/>
      <c r="L151" s="34" t="inlineStr">
        <is>
          <t>GERD</t>
        </is>
      </c>
      <c r="M151" s="35" t="inlineStr">
        <is>
          <t>Clinic</t>
        </is>
      </c>
      <c r="N151" s="34" t="inlineStr">
        <is>
          <t>ข้อ 2 (PLE_CC1_Key_Rx20_UBU.md)</t>
        </is>
      </c>
      <c r="O151" s="35" t="inlineStr">
        <is>
          <t>Mock</t>
        </is>
      </c>
      <c r="P151" s="35" t="inlineStr">
        <is>
          <t>Mock Rx20 UBU</t>
        </is>
      </c>
    </row>
    <row r="152" ht="13.2" customHeight="1" s="49">
      <c r="A152" s="33" t="n">
        <v>150</v>
      </c>
      <c r="B152" s="34" t="inlineStr">
        <is>
          <t>ใช้กับผู้ป่วยที่เป็นนิ่วในกระเพาะปัสสาวะ</t>
        </is>
      </c>
      <c r="C152" s="35" t="n"/>
      <c r="D152" s="34" t="inlineStr">
        <is>
          <t>Amoxicillin 1000 mg BID</t>
        </is>
      </c>
      <c r="E152" s="34" t="inlineStr">
        <is>
          <t>Clarithromycin 500 mg BID</t>
        </is>
      </c>
      <c r="F152" s="34" t="inlineStr">
        <is>
          <t>Hyoscine butylbromide 10 mg TID</t>
        </is>
      </c>
      <c r="G152" s="34" t="inlineStr">
        <is>
          <t>Aluminium hydroxide/Magnesium hydroxide suspension</t>
        </is>
      </c>
      <c r="H152" s="34" t="inlineStr">
        <is>
          <t>Metoclopramide 10 mg TID before meals</t>
        </is>
      </c>
      <c r="I152" s="33" t="inlineStr">
        <is>
          <t>1</t>
        </is>
      </c>
      <c r="J152" s="34"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35" t="n"/>
      <c r="L152" s="34" t="inlineStr">
        <is>
          <t>GERD</t>
        </is>
      </c>
      <c r="M152" s="35" t="inlineStr">
        <is>
          <t>Clinic</t>
        </is>
      </c>
      <c r="N152" s="34" t="inlineStr">
        <is>
          <t>ข้อ 3 (PLE_CC1_Key_Rx20_UBU.md)</t>
        </is>
      </c>
      <c r="O152" s="35" t="inlineStr">
        <is>
          <t>Mock</t>
        </is>
      </c>
      <c r="P152" s="35" t="inlineStr">
        <is>
          <t>Mock Rx20 UBU</t>
        </is>
      </c>
    </row>
    <row r="153" ht="13.2" customHeight="1" s="49">
      <c r="A153" s="33" t="n">
        <v>151</v>
      </c>
      <c r="B153" s="34" t="inlineStr">
        <is>
          <t>ผู้ป่วยต้องได้รับยานี้เป็นระยะเวลานาน 1 เดือน พบว่าผู้ป่วยมีอาการท้องเสียรุนแรง อยากทราบว่าเกิดจากเชื้ออะไร</t>
        </is>
      </c>
      <c r="C153" s="35" t="n"/>
      <c r="D153" s="34" t="inlineStr">
        <is>
          <t>Aluminium hydroxide/Magnesium hydroxide suspension</t>
        </is>
      </c>
      <c r="E153" s="34" t="inlineStr">
        <is>
          <t>Metoclopramide 10 mg TID before meals</t>
        </is>
      </c>
      <c r="F153" s="34" t="inlineStr">
        <is>
          <t>Omeprazole 20 mg OD</t>
        </is>
      </c>
      <c r="G153" s="34" t="inlineStr">
        <is>
          <t>Esomeprazole 20 mg OD</t>
        </is>
      </c>
      <c r="H153" s="34" t="inlineStr">
        <is>
          <t>Domperidone 10 mg TID</t>
        </is>
      </c>
      <c r="I153" s="33" t="inlineStr">
        <is>
          <t>1</t>
        </is>
      </c>
      <c r="J153" s="34"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35" t="n"/>
      <c r="L153" s="34" t="inlineStr">
        <is>
          <t>GERD</t>
        </is>
      </c>
      <c r="M153" s="35" t="inlineStr">
        <is>
          <t>Clinic</t>
        </is>
      </c>
      <c r="N153" s="34" t="inlineStr">
        <is>
          <t>ข้อ 35 (PLE_CC1_Key_Rx20_UBU.md)</t>
        </is>
      </c>
      <c r="O153" s="35" t="inlineStr">
        <is>
          <t>Mock</t>
        </is>
      </c>
      <c r="P153" s="35" t="inlineStr">
        <is>
          <t>Mock Rx20 UBU</t>
        </is>
      </c>
    </row>
    <row r="154" ht="13.2" customHeight="1" s="49">
      <c r="A154" s="33" t="n">
        <v>152</v>
      </c>
      <c r="B154" s="34" t="inlineStr">
        <is>
          <t>หากเกิดอาการคลื่นไส้ อาเจียน เวียนหัวให้หยุดยาแล้วมาพบแพทย์</t>
        </is>
      </c>
      <c r="C154" s="35" t="n"/>
      <c r="D154" s="34" t="inlineStr">
        <is>
          <t>Esomeprazole 20 mg OD</t>
        </is>
      </c>
      <c r="E154" s="34" t="inlineStr">
        <is>
          <t>Domperidone 10 mg TID</t>
        </is>
      </c>
      <c r="F154" s="34" t="inlineStr">
        <is>
          <t>Dimenhydrinate 50 mg TID</t>
        </is>
      </c>
      <c r="G154" s="34" t="inlineStr">
        <is>
          <t>Loperamide 2 mg PRN</t>
        </is>
      </c>
      <c r="H154" s="34" t="inlineStr">
        <is>
          <t>Senna 2 tabs HS</t>
        </is>
      </c>
      <c r="I154" s="33" t="inlineStr">
        <is>
          <t>1</t>
        </is>
      </c>
      <c r="J154" s="34"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35" t="n"/>
      <c r="L154" s="34" t="inlineStr">
        <is>
          <t>GERD</t>
        </is>
      </c>
      <c r="M154" s="35" t="inlineStr">
        <is>
          <t>Clinic</t>
        </is>
      </c>
      <c r="N154" s="34" t="inlineStr">
        <is>
          <t>ข้อ 1 (PLE_CC1_Key_Rx20_UBU.md)</t>
        </is>
      </c>
      <c r="O154" s="35" t="inlineStr">
        <is>
          <t>Mock</t>
        </is>
      </c>
      <c r="P154" s="35" t="inlineStr">
        <is>
          <t>Mock Rx20 UBU</t>
        </is>
      </c>
    </row>
    <row r="155" ht="13.2" customHeight="1" s="49">
      <c r="A155" s="33" t="n">
        <v>153</v>
      </c>
      <c r="B155" s="34" t="inlineStr">
        <is>
          <t>– สถานการณ) 6 ชาย อายุ 14ป3 ไปกินอาหาร ปวดเบGง ถGายกระปØดกระปรอย ท$องเสียเปญนมูกเลือด ไมGมีกลิ่น ไมGอาเจียน</t>
        </is>
      </c>
      <c r="C155" s="35" t="n"/>
      <c r="D155" s="34" t="inlineStr">
        <is>
          <t>Loperamide 2 mg PRN</t>
        </is>
      </c>
      <c r="E155" s="34" t="inlineStr">
        <is>
          <t>Senna 2 tabs HS</t>
        </is>
      </c>
      <c r="F155" s="34" t="inlineStr">
        <is>
          <t>Bisacodyl 5 mg HS</t>
        </is>
      </c>
      <c r="G155" s="34" t="inlineStr">
        <is>
          <t>Lactulose 15 mL OD</t>
        </is>
      </c>
      <c r="H155" s="34" t="inlineStr">
        <is>
          <t>Amoxicillin 1000 mg BID</t>
        </is>
      </c>
      <c r="I155" s="33" t="inlineStr">
        <is>
          <t>1</t>
        </is>
      </c>
      <c r="J155" s="34"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35" t="n"/>
      <c r="L155" s="34" t="inlineStr">
        <is>
          <t>GERD</t>
        </is>
      </c>
      <c r="M155" s="35" t="inlineStr">
        <is>
          <t>Clinic</t>
        </is>
      </c>
      <c r="N155" s="34" t="inlineStr">
        <is>
          <t>ข้อ 51 (PLE_CC1_Key_Rx20_UBU.md)</t>
        </is>
      </c>
      <c r="O155" s="35" t="inlineStr">
        <is>
          <t>Mock</t>
        </is>
      </c>
      <c r="P155" s="35" t="inlineStr">
        <is>
          <t>Mock Rx20 UBU</t>
        </is>
      </c>
    </row>
    <row r="156" ht="13.2" customHeight="1" s="49">
      <c r="A156" s="33" t="n">
        <v>154</v>
      </c>
      <c r="B156" s="34" t="inlineStr">
        <is>
          <t>ลดอาการคลื่นไส้อาเจียน</t>
        </is>
      </c>
      <c r="C156" s="35" t="n"/>
      <c r="D156" s="34" t="inlineStr">
        <is>
          <t>Lactulose 15 mL OD</t>
        </is>
      </c>
      <c r="E156" s="34" t="inlineStr">
        <is>
          <t>Amoxicillin 1000 mg BID</t>
        </is>
      </c>
      <c r="F156" s="34" t="inlineStr">
        <is>
          <t>Clarithromycin 500 mg BID</t>
        </is>
      </c>
      <c r="G156" s="34" t="inlineStr">
        <is>
          <t>Hyoscine butylbromide 10 mg TID</t>
        </is>
      </c>
      <c r="H156" s="34" t="inlineStr">
        <is>
          <t>Aluminium hydroxide/Magnesium hydroxide suspension</t>
        </is>
      </c>
      <c r="I156" s="33" t="inlineStr">
        <is>
          <t>1</t>
        </is>
      </c>
      <c r="J156" s="34"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35" t="n"/>
      <c r="L156" s="34" t="inlineStr">
        <is>
          <t>GERD</t>
        </is>
      </c>
      <c r="M156" s="35" t="inlineStr">
        <is>
          <t>Clinic</t>
        </is>
      </c>
      <c r="N156" s="34" t="inlineStr">
        <is>
          <t>ข้อ 2 (PLE_CC1_Key_Rx20_UBU.md)</t>
        </is>
      </c>
      <c r="O156" s="35" t="inlineStr">
        <is>
          <t>Mock</t>
        </is>
      </c>
      <c r="P156" s="35" t="inlineStr">
        <is>
          <t>Mock Rx20 UBU</t>
        </is>
      </c>
    </row>
    <row r="157" ht="13.2" customHeight="1" s="49">
      <c r="A157" s="33" t="n">
        <v>155</v>
      </c>
      <c r="B157" s="34" t="inlineStr">
        <is>
          <t>ตัวอย่างเช่นสารเคมีที่สร้างขึ้นภายในร่างกายเพื่อ ทำลายเชื้อ เช่น กรดในกระเพาะอาหาร</t>
        </is>
      </c>
      <c r="C157" s="35" t="n"/>
      <c r="D157" s="34" t="inlineStr">
        <is>
          <t>Hyoscine butylbromide 10 mg TID</t>
        </is>
      </c>
      <c r="E157" s="34" t="inlineStr">
        <is>
          <t>Aluminium hydroxide/Magnesium hydroxide suspension</t>
        </is>
      </c>
      <c r="F157" s="34" t="inlineStr">
        <is>
          <t>Metoclopramide 10 mg TID before meals</t>
        </is>
      </c>
      <c r="G157" s="34" t="inlineStr">
        <is>
          <t>Omeprazole 20 mg OD</t>
        </is>
      </c>
      <c r="H157" s="34" t="inlineStr">
        <is>
          <t>Esomeprazole 20 mg OD</t>
        </is>
      </c>
      <c r="I157" s="33" t="inlineStr">
        <is>
          <t>1</t>
        </is>
      </c>
      <c r="J157" s="34"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35" t="n"/>
      <c r="L157" s="34" t="inlineStr">
        <is>
          <t>GERD</t>
        </is>
      </c>
      <c r="M157" s="35" t="inlineStr">
        <is>
          <t>Clinic</t>
        </is>
      </c>
      <c r="N157" s="34" t="inlineStr">
        <is>
          <t>ข้อ 3 (PLE_CC1_Key_Rx20_UBU.md)</t>
        </is>
      </c>
      <c r="O157" s="35" t="inlineStr">
        <is>
          <t>Mock</t>
        </is>
      </c>
      <c r="P157" s="35" t="inlineStr">
        <is>
          <t>Mock Rx20 UBU</t>
        </is>
      </c>
    </row>
    <row r="158" ht="13.2" customHeight="1" s="49">
      <c r="A158" s="33" t="n">
        <v>156</v>
      </c>
      <c r="B158" s="34" t="inlineStr">
        <is>
          <t>ข้อใดไม่ใชปัจจัยเสี่ยงของโรค GERD</t>
        </is>
      </c>
      <c r="C158" s="35" t="n"/>
      <c r="D158" s="34" t="inlineStr">
        <is>
          <t>Omeprazole 20 mg OD</t>
        </is>
      </c>
      <c r="E158" s="34" t="inlineStr">
        <is>
          <t>Esomeprazole 20 mg OD</t>
        </is>
      </c>
      <c r="F158" s="34" t="inlineStr">
        <is>
          <t>Domperidone 10 mg TID</t>
        </is>
      </c>
      <c r="G158" s="34" t="inlineStr">
        <is>
          <t>Dimenhydrinate 50 mg TID</t>
        </is>
      </c>
      <c r="H158" s="34" t="inlineStr">
        <is>
          <t>Loperamide 2 mg PRN</t>
        </is>
      </c>
      <c r="I158" s="33" t="inlineStr">
        <is>
          <t>1</t>
        </is>
      </c>
      <c r="J158" s="34"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35" t="n"/>
      <c r="L158" s="34" t="inlineStr">
        <is>
          <t>GERD</t>
        </is>
      </c>
      <c r="M158" s="35" t="inlineStr">
        <is>
          <t>Clinic</t>
        </is>
      </c>
      <c r="N158" s="34" t="inlineStr">
        <is>
          <t>ข้อ 2 (PLE_CC1_Key_Rx20_UBU.md)</t>
        </is>
      </c>
      <c r="O158" s="35" t="inlineStr">
        <is>
          <t>Mock</t>
        </is>
      </c>
      <c r="P158" s="35" t="inlineStr">
        <is>
          <t>Mock Rx20 UBU</t>
        </is>
      </c>
    </row>
    <row r="159" ht="13.2" customHeight="1" s="49">
      <c r="A159" s="33" t="n">
        <v>157</v>
      </c>
      <c r="B159" s="34" t="inlineStr">
        <is>
          <t>คลื่นไส อาเจียน</t>
        </is>
      </c>
      <c r="C159" s="35" t="n"/>
      <c r="D159" s="34" t="inlineStr">
        <is>
          <t>Dimenhydrinate 50 mg TID</t>
        </is>
      </c>
      <c r="E159" s="34" t="inlineStr">
        <is>
          <t>Loperamide 2 mg PRN</t>
        </is>
      </c>
      <c r="F159" s="34" t="inlineStr">
        <is>
          <t>Senna 2 tabs HS</t>
        </is>
      </c>
      <c r="G159" s="34" t="inlineStr">
        <is>
          <t>Bisacodyl 5 mg HS</t>
        </is>
      </c>
      <c r="H159" s="34" t="inlineStr">
        <is>
          <t>Lactulose 15 mL OD</t>
        </is>
      </c>
      <c r="I159" s="33" t="inlineStr">
        <is>
          <t>1</t>
        </is>
      </c>
      <c r="J159" s="34"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35" t="n"/>
      <c r="L159" s="34" t="inlineStr">
        <is>
          <t>GERD</t>
        </is>
      </c>
      <c r="M159" s="35" t="inlineStr">
        <is>
          <t>Clinic</t>
        </is>
      </c>
      <c r="N159" s="34" t="inlineStr">
        <is>
          <t>ข้อ 5 (PLE_CC1_Key_Rx20_UBU.md)</t>
        </is>
      </c>
      <c r="O159" s="35" t="inlineStr">
        <is>
          <t>Mock</t>
        </is>
      </c>
      <c r="P159" s="35" t="inlineStr">
        <is>
          <t>Mock Rx20 UBU</t>
        </is>
      </c>
    </row>
    <row r="160" ht="13.2" customHeight="1" s="49">
      <c r="A160" s="33" t="n">
        <v>158</v>
      </c>
      <c r="B160" s="34" t="inlineStr">
        <is>
          <t>ยาใดไม่ควรใช้ในผู้ป่วย GERD</t>
        </is>
      </c>
      <c r="C160" s="35" t="n"/>
      <c r="D160" s="34" t="inlineStr">
        <is>
          <t>Bisacodyl 5 mg HS</t>
        </is>
      </c>
      <c r="E160" s="34" t="inlineStr">
        <is>
          <t>Lactulose 15 mL OD</t>
        </is>
      </c>
      <c r="F160" s="34" t="inlineStr">
        <is>
          <t>Amoxicillin 1000 mg BID</t>
        </is>
      </c>
      <c r="G160" s="34" t="inlineStr">
        <is>
          <t>Clarithromycin 500 mg BID</t>
        </is>
      </c>
      <c r="H160" s="34" t="inlineStr">
        <is>
          <t>Hyoscine butylbromide 10 mg TID</t>
        </is>
      </c>
      <c r="I160" s="33" t="inlineStr">
        <is>
          <t>1</t>
        </is>
      </c>
      <c r="J160" s="34"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35" t="n"/>
      <c r="L160" s="34" t="inlineStr">
        <is>
          <t>GERD</t>
        </is>
      </c>
      <c r="M160" s="35" t="inlineStr">
        <is>
          <t>Clinic</t>
        </is>
      </c>
      <c r="N160" s="34" t="inlineStr">
        <is>
          <t>ข้อ 4 (PLE_CC1_Key_Rx20_UBU.md)</t>
        </is>
      </c>
      <c r="O160" s="35" t="inlineStr">
        <is>
          <t>Mock</t>
        </is>
      </c>
      <c r="P160" s="35" t="inlineStr">
        <is>
          <t>Mock Rx20 UBU</t>
        </is>
      </c>
    </row>
    <row r="161" ht="13.2" customHeight="1" s="49">
      <c r="A161" s="33" t="n">
        <v>159</v>
      </c>
      <c r="B161" s="34" t="inlineStr">
        <is>
          <t>ยาใดที่ใช้ในการป้องกันอาการคลื่นไส้ อาเจียนในผู้ป่วยรายนี้</t>
        </is>
      </c>
      <c r="C161" s="35" t="n"/>
      <c r="D161" s="34" t="inlineStr">
        <is>
          <t>Dexamethasone</t>
        </is>
      </c>
      <c r="E161" s="34" t="inlineStr">
        <is>
          <t>Ondansetron</t>
        </is>
      </c>
      <c r="F161" s="34" t="inlineStr">
        <is>
          <t>Ondansetron + Dexamethasone + Diphenhydramine</t>
        </is>
      </c>
      <c r="G161" s="34" t="inlineStr">
        <is>
          <t>Ondansetron + Dexamethasone + Aprepitant</t>
        </is>
      </c>
      <c r="H161" s="34" t="inlineStr">
        <is>
          <t>Metoclopramide + Dexamethasone + Aprepitant วันโดยยาที่ได้รับต้องประกอบไปด้วย 1. 5-HT antagonist 2. NK-1 receptor antagonist และ 3. Dexamethasone</t>
        </is>
      </c>
      <c r="I161" s="33" t="inlineStr">
        <is>
          <t>4</t>
        </is>
      </c>
      <c r="J161" s="34"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35" t="n"/>
      <c r="L161" s="34" t="inlineStr">
        <is>
          <t>GERD</t>
        </is>
      </c>
      <c r="M161" s="35" t="inlineStr">
        <is>
          <t>Clinic</t>
        </is>
      </c>
      <c r="N161" s="34" t="inlineStr">
        <is>
          <t>ข้อ 12 (PLE_CC1_Key_Rx20_UBU.md)</t>
        </is>
      </c>
      <c r="O161" s="35" t="inlineStr">
        <is>
          <t>Mock</t>
        </is>
      </c>
      <c r="P161" s="35" t="inlineStr">
        <is>
          <t>Mock Rx20 UBU</t>
        </is>
      </c>
    </row>
    <row r="162" ht="64.95" customHeight="1" s="49">
      <c r="A162" s="35" t="n">
        <v>160</v>
      </c>
      <c r="B162" s="34"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62" s="45" t="n"/>
      <c r="D162" s="34" t="inlineStr">
        <is>
          <t>Ondansetron และ Levofloxacin ทำปฏิกิริยากัน เกิดการแย่งจับกับโปรตีนในพลาสมาอย่างรุนแรง</t>
        </is>
      </c>
      <c r="E162" s="34" t="inlineStr">
        <is>
          <t>Activated Charcoal เข้าจับและดูดซับ Levofloxacin ในระบบทางเดินอาหาร ส่งผลให้ระดับยาในเลือดของ Levofloxacin ลดลงอย่างมีนัยสำคัญ</t>
        </is>
      </c>
      <c r="F162" s="34" t="inlineStr">
        <is>
          <t>ORS ทำให้ความเป็นกรดในกระเพาะอาหารลดลง ส่งผลให้ Levofloxacin ไม่สามารถละลายตัวและดูดซึมได้</t>
        </is>
      </c>
      <c r="G162" s="34" t="inlineStr">
        <is>
          <t>Activated Charcoal เร่งการขจัดยา Levofloxacin ออกทางปัสสาวะผ่านกระบวนการ active secretion</t>
        </is>
      </c>
      <c r="H162" s="34" t="inlineStr">
        <is>
          <t>Ondansetron ลดการบีบตัวของกระเพาะอาหาร ทำให้ Levofloxacin ค้างอยู่ในกระเพาะนานจนยาเสื่อมสภาพ</t>
        </is>
      </c>
      <c r="I162" s="35" t="n">
        <v>2</v>
      </c>
      <c r="J162" s="34"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62" s="45" t="n"/>
      <c r="L162" s="35" t="inlineStr">
        <is>
          <t>Diarrhea</t>
        </is>
      </c>
      <c r="M162" s="35" t="inlineStr">
        <is>
          <t>Clinic</t>
        </is>
      </c>
      <c r="N162" s="34" t="inlineStr">
        <is>
          <t>Mock RxCU84 GI (Case 1 Q1.1)</t>
        </is>
      </c>
    </row>
    <row r="163" ht="64.95" customHeight="1" s="49">
      <c r="A163" s="35" t="n">
        <v>161</v>
      </c>
      <c r="B163" s="34"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63" s="45" t="n"/>
      <c r="D163" s="34"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63" s="34"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63" s="34"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63" s="34"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63" s="34"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63" s="35" t="n">
        <v>2</v>
      </c>
      <c r="J163" s="34"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63" s="45" t="n"/>
      <c r="L163" s="35" t="inlineStr">
        <is>
          <t>Diarrhea</t>
        </is>
      </c>
      <c r="M163" s="35" t="inlineStr">
        <is>
          <t>Clinic</t>
        </is>
      </c>
      <c r="N163" s="34" t="inlineStr">
        <is>
          <t>Mock RxCU84 GI (Case 1 Q1.2)</t>
        </is>
      </c>
    </row>
    <row r="164" ht="64.95" customHeight="1" s="49">
      <c r="A164" s="35" t="n">
        <v>162</v>
      </c>
      <c r="B164" s="34"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64" s="45" t="n"/>
      <c r="D164" s="34" t="inlineStr">
        <is>
          <t>Levofloxacin และ ORS</t>
        </is>
      </c>
      <c r="E164" s="34" t="inlineStr">
        <is>
          <t>Ondansetron และ Activated Charcoal</t>
        </is>
      </c>
      <c r="F164" s="34" t="inlineStr">
        <is>
          <t>Levofloxacin และ Ondansetron</t>
        </is>
      </c>
      <c r="G164" s="34" t="inlineStr">
        <is>
          <t>Activated Charcoal และ ORS</t>
        </is>
      </c>
      <c r="H164" s="34" t="inlineStr">
        <is>
          <t>Levofloxacin และ Activated Charcoal</t>
        </is>
      </c>
      <c r="I164" s="35" t="n">
        <v>3</v>
      </c>
      <c r="J164" s="34"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64" s="45" t="n"/>
      <c r="L164" s="35" t="inlineStr">
        <is>
          <t>Drug Interactions</t>
        </is>
      </c>
      <c r="M164" s="35" t="inlineStr">
        <is>
          <t>Clinic</t>
        </is>
      </c>
      <c r="N164" s="34" t="inlineStr">
        <is>
          <t>Mock RxCU84 GI (Case 1 Q1.3)</t>
        </is>
      </c>
    </row>
    <row r="165" ht="64.95" customHeight="1" s="49">
      <c r="A165" s="35" t="n">
        <v>163</v>
      </c>
      <c r="B165" s="34"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65" s="45" t="n"/>
      <c r="D165" s="34" t="inlineStr">
        <is>
          <t>เปลี่ยน Levofloxacin เป็น Norfloxacin 400 mg รับประทานวันละ 2 ครั้ง นาน 3 วัน</t>
        </is>
      </c>
      <c r="E165" s="34" t="inlineStr">
        <is>
          <t>เปลี่ยน Levofloxacin เป็น Azithromycin 1,000 mg รับประทานครั้งเดียว หรือ 500 mg วันละครั้ง นาน 3 วัน</t>
        </is>
      </c>
      <c r="F165" s="34" t="inlineStr">
        <is>
          <t>เปลี่ยน Levofloxacin เป็น Doxycycline 100 mg รับประทานวันละ 2 ครั้ง นาน 3 วัน</t>
        </is>
      </c>
      <c r="G165" s="34" t="inlineStr">
        <is>
          <t>คงการใช้ Levofloxacin ไว้ตามเดิม เนื่องจากยามีความปลอดภัยสูงในหญิงตั้งครรภ์ทุกไตรมาส</t>
        </is>
      </c>
      <c r="H165" s="34" t="inlineStr">
        <is>
          <t>เปลี่ยน Levofloxacin เป็น Ciprofloxacin 500 mg รับประทานวันละ 2 ครั้ง นาน 3 วัน</t>
        </is>
      </c>
      <c r="I165" s="35" t="n">
        <v>2</v>
      </c>
      <c r="J165" s="34"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65" s="45" t="n"/>
      <c r="L165" s="35" t="inlineStr">
        <is>
          <t>Diarrhea</t>
        </is>
      </c>
      <c r="M165" s="35" t="inlineStr">
        <is>
          <t>Clinic</t>
        </is>
      </c>
      <c r="N165" s="34" t="inlineStr">
        <is>
          <t>Mock RxCU84 GI (Case 1 Q1.4)</t>
        </is>
      </c>
    </row>
    <row r="166" ht="64.95" customHeight="1" s="49">
      <c r="A166" s="35" t="n">
        <v>164</v>
      </c>
      <c r="B166" s="34"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66" s="45" t="n"/>
      <c r="D166" s="34" t="inlineStr">
        <is>
          <t>เหมาะสม เนื่องจากผู้ป่วยถ่ายบ่อยถึง 6 ครั้ง บ่งชี้ว่าร่างกายได้รับการติดเชื้อแบคทีเรียรุนแรง</t>
        </is>
      </c>
      <c r="E166" s="34"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66" s="34" t="inlineStr">
        <is>
          <t>เหมาะสม แต่ควรเปลี่ยนเป็นกลุ่ม Fluoroquinolones เช่น Norfloxacin เนื่องจากมีสเปกตรัมแคบกว่า</t>
        </is>
      </c>
      <c r="G166" s="34" t="inlineStr">
        <is>
          <t>เหมาะสม เนื่องจากยา Amoxicillin/Clavulanate ช่วยลดการหลั่งสารน้ำในเยื่อบุลำไส้ได้ดี</t>
        </is>
      </c>
      <c r="H166" s="34" t="inlineStr">
        <is>
          <t>ไม่เหมาะสม เนื่องจากยา Amoxicillin/Clavulanate สามารถผ่านรกไปทำอันตรายต่อทารกในครรภ์ได้อย่างรุนแรง (FDA Category X)</t>
        </is>
      </c>
      <c r="I166" s="35" t="n">
        <v>2</v>
      </c>
      <c r="J166" s="34"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66" s="45" t="n"/>
      <c r="L166" s="35" t="inlineStr">
        <is>
          <t>Diarrhea</t>
        </is>
      </c>
      <c r="M166" s="35" t="inlineStr">
        <is>
          <t>Clinic</t>
        </is>
      </c>
      <c r="N166" s="34" t="inlineStr">
        <is>
          <t>Mock RxCU84 GI (Case 2 Q2.1)</t>
        </is>
      </c>
    </row>
    <row r="167" ht="64.95" customHeight="1" s="49">
      <c r="A167" s="35" t="n">
        <v>165</v>
      </c>
      <c r="B167" s="34"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67" s="45" t="n"/>
      <c r="D167" s="34" t="inlineStr">
        <is>
          <t>ตัวยา Clavulanate จะเร่งกระบวนการทำลายเยื่อบุกระเพาะอาหารโดยตรง เกิดแผลในกระเพาะอาหารฉับพลัน</t>
        </is>
      </c>
      <c r="E167" s="34" t="inlineStr">
        <is>
          <t>ยาจะทำให้เกิดการยับยั้งการหลั่งน้ำย่อยจากตับอ่อน ส่งผลให้มีไขมันปนในอุจจาระเพิ่มขึ้น</t>
        </is>
      </c>
      <c r="F167" s="34"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67" s="34" t="inlineStr">
        <is>
          <t>ยาปฏิชีวนะจะทำให้ทางเดินอาหารแห้งตัวและเกิดอาการท้องผูกสลับท้องเสียอย่างรุนแรง</t>
        </is>
      </c>
      <c r="H167" s="34" t="inlineStr">
        <is>
          <t>ตัวยา Amoxicillin จะออกฤทธิ์ขัดขวางการดูดซึมโซเดียมและน้ำกลับที่ไตโดยตรง</t>
        </is>
      </c>
      <c r="I167" s="35" t="n">
        <v>3</v>
      </c>
      <c r="J167" s="34"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67" s="45" t="n"/>
      <c r="L167" s="35" t="inlineStr">
        <is>
          <t>Diarrhea</t>
        </is>
      </c>
      <c r="M167" s="35" t="inlineStr">
        <is>
          <t>Clinic</t>
        </is>
      </c>
      <c r="N167" s="34" t="inlineStr">
        <is>
          <t>Mock RxCU84 GI (Case 2 Q2.2)</t>
        </is>
      </c>
    </row>
    <row r="168" ht="64.95" customHeight="1" s="49">
      <c r="A168" s="35" t="n">
        <v>166</v>
      </c>
      <c r="B168" s="34"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68" s="45" t="n"/>
      <c r="D168" s="34" t="inlineStr">
        <is>
          <t>Loperamide 2 mg</t>
        </is>
      </c>
      <c r="E168" s="34" t="inlineStr">
        <is>
          <t>Ibuprofen 400 mg</t>
        </is>
      </c>
      <c r="F168" s="34" t="inlineStr">
        <is>
          <t>Hyoscine butylbromide 10 mg</t>
        </is>
      </c>
      <c r="G168" s="34" t="inlineStr">
        <is>
          <t>Omeprazole 20 mg</t>
        </is>
      </c>
      <c r="H168" s="34" t="inlineStr">
        <is>
          <t>Activated Charcoal 250 mg</t>
        </is>
      </c>
      <c r="I168" s="35" t="n">
        <v>3</v>
      </c>
      <c r="J168" s="34"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68" s="45" t="n"/>
      <c r="L168" s="35" t="inlineStr">
        <is>
          <t>Diarrhea</t>
        </is>
      </c>
      <c r="M168" s="35" t="inlineStr">
        <is>
          <t>Clinic</t>
        </is>
      </c>
      <c r="N168" s="34" t="inlineStr">
        <is>
          <t>Mock RxCU84 GI (Case 2 Q2.3)</t>
        </is>
      </c>
    </row>
    <row r="169" ht="64.95" customHeight="1" s="49">
      <c r="A169" s="35" t="n">
        <v>167</v>
      </c>
      <c r="B169" s="34"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69" s="45" t="n"/>
      <c r="D169" s="34" t="inlineStr">
        <is>
          <t>ห้ามใช้ในผู้ป่วยที่มีอาการปวดท้องน้อยหรือมีอาการคลื่นไส้อาเจียนร่วมด้วย</t>
        </is>
      </c>
      <c r="E169" s="34"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69" s="34" t="inlineStr">
        <is>
          <t>ห้ามใช้ร่วมกับผงน้ำตาลเกลือแร่ (ORS) ทุกกรณีเนื่องจากจะลดประสิทธิภาพการทำงานของยา</t>
        </is>
      </c>
      <c r="G169" s="34" t="inlineStr">
        <is>
          <t>ห้ามใช้ในผู้ป่วยที่ดื่มน้ำได้น้อยเนื่องจากยาจะกระตุ้นการขับปัสสาวะอย่างรุนแรง</t>
        </is>
      </c>
      <c r="H169" s="34" t="inlineStr">
        <is>
          <t>ห้ามใช้ในคนไข้ที่มีอายุมากกว่า 18 ปี เนื่องจากยามีความปลอดภัยเฉพาะในวัยเด็กเล็กเท่านั้น</t>
        </is>
      </c>
      <c r="I169" s="35" t="n">
        <v>2</v>
      </c>
      <c r="J169" s="34"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69" s="45" t="n"/>
      <c r="L169" s="35" t="inlineStr">
        <is>
          <t>Diarrhea</t>
        </is>
      </c>
      <c r="M169" s="35" t="inlineStr">
        <is>
          <t>Clinic</t>
        </is>
      </c>
      <c r="N169" s="34" t="inlineStr">
        <is>
          <t>Mock RxCU84 GI (Case 2 Q2.4)</t>
        </is>
      </c>
    </row>
    <row r="170" ht="64.95" customHeight="1" s="49">
      <c r="A170" s="35" t="n">
        <v>168</v>
      </c>
      <c r="B170" s="34"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70" s="45" t="n"/>
      <c r="D170" s="34" t="inlineStr">
        <is>
          <t>ความเครียดทำให้เกิดภาวะเลือดเป็นกรด ส่งผลกระตุ้นหลอดอาหารอักเสบโดยตรง</t>
        </is>
      </c>
      <c r="E170" s="34"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70" s="34" t="inlineStr">
        <is>
          <t>การดื่มกาแฟปริมาณมากทำให้อาหารค้างอยู่ในกระเพาะนานขึ้น (Delayed gastric emptying)</t>
        </is>
      </c>
      <c r="G170" s="34" t="inlineStr">
        <is>
          <t>การทำงานหนักจนดึกขัดขวางการทำงานของระบบประสาท Sympathetic ทำให้หูรูดปิดแน่นเกินไป</t>
        </is>
      </c>
      <c r="H170" s="34" t="inlineStr">
        <is>
          <t>ความเครียดทำให้ร่างกายผลิตเมือกในกระเพาะอาหารน้อยลง ส่งผลให้เยื่อบุหลอดอาหารฉีกขาดง่าย</t>
        </is>
      </c>
      <c r="I170" s="35" t="n">
        <v>2</v>
      </c>
      <c r="J170" s="34"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70" s="45" t="n"/>
      <c r="L170" s="35" t="inlineStr">
        <is>
          <t>GERD</t>
        </is>
      </c>
      <c r="M170" s="35" t="inlineStr">
        <is>
          <t>Clinic</t>
        </is>
      </c>
      <c r="N170" s="34" t="inlineStr">
        <is>
          <t>Mock RxCU84 GI (Case 3 Q3.1)</t>
        </is>
      </c>
    </row>
    <row r="171" ht="64.95" customHeight="1" s="49">
      <c r="A171" s="35" t="n">
        <v>169</v>
      </c>
      <c r="B171" s="34"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71" s="45" t="n"/>
      <c r="D171" s="34" t="inlineStr">
        <is>
          <t>อาการแสบร้อนกลางอกเป็นมากขึ้นเมื่อนอนราบ</t>
        </is>
      </c>
      <c r="E171" s="34" t="inlineStr">
        <is>
          <t>อาการเรอเปรี้ยวหรือขมคอหลังรับประทานอาหารมื้อใหญ่</t>
        </is>
      </c>
      <c r="F171" s="34" t="inlineStr">
        <is>
          <t>มีอาการกลืนลำบาก (Dysphagia) กลืนเจ็บ (Odynophagia) น้ำหนักลดผิดปกติ หรืออุจจาระมีสีดำคล้ำ (Melena)</t>
        </is>
      </c>
      <c r="G171" s="34" t="inlineStr">
        <is>
          <t>อาการท้องอืด ท้องเฟ้อหลังรับประทานอาหารรสจัด</t>
        </is>
      </c>
      <c r="H171" s="34" t="inlineStr">
        <is>
          <t>อาการแสบร้อนกลางอกสลับกับอาการปวดเกร็งหน้าท้องด้านล่าง</t>
        </is>
      </c>
      <c r="I171" s="35" t="n">
        <v>3</v>
      </c>
      <c r="J171" s="34"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ทางเดินอาหารส่วนบนตามเกณฑ์สากล: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71" s="45" t="n"/>
      <c r="L171" s="35" t="inlineStr">
        <is>
          <t>GERD</t>
        </is>
      </c>
      <c r="M171" s="35" t="inlineStr">
        <is>
          <t>Clinic</t>
        </is>
      </c>
      <c r="N171" s="34" t="inlineStr">
        <is>
          <t>Mock RxCU84 GI (Case 3 Q3.2)</t>
        </is>
      </c>
    </row>
    <row r="172" ht="64.95" customHeight="1" s="49">
      <c r="A172" s="35" t="n">
        <v>170</v>
      </c>
      <c r="B172" s="34"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72" s="45" t="n"/>
      <c r="D172" s="34" t="inlineStr">
        <is>
          <t>Omeprazole 20 mg ครั้งละ 1 เม็ด วันละครั้ง หลังอาหารเช้าทันที นาน 1 สัปดาห์</t>
        </is>
      </c>
      <c r="E172" s="34" t="inlineStr">
        <is>
          <t>Omeprazole 20 mg ครั้งละ 1 เม็ด วันละครั้ง ก่อนอาหารเช้า 30-60 นาที ต่อเนื่องกัน 4-8 สัปดาห์</t>
        </is>
      </c>
      <c r="F172" s="34" t="inlineStr">
        <is>
          <t>Omeprazole 20 mg ครั้งละ 1 เม็ด วันละ 2 ครั้ง หลังอาหารเช้าและเย็น นาน 3 วัน</t>
        </is>
      </c>
      <c r="G172" s="34" t="inlineStr">
        <is>
          <t>Omeprazole 20 mg ครั้งละ 1 เม็ด รับประทานเฉพาะเวลามีอาการแสบร้อนกลางอก (PRN) โดยเคี้ยวยาให้ละเอียด</t>
        </is>
      </c>
      <c r="H172" s="34" t="inlineStr">
        <is>
          <t>Rabeprazole 20 mg ครั้งละ 1 เม็ด วันละครั้ง ก่อนนอน นาน 1 สัปดาห์</t>
        </is>
      </c>
      <c r="I172" s="35" t="n">
        <v>2</v>
      </c>
      <c r="J172" s="34"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72" s="45" t="n"/>
      <c r="L172" s="35" t="inlineStr">
        <is>
          <t>GERD</t>
        </is>
      </c>
      <c r="M172" s="35" t="inlineStr">
        <is>
          <t>Clinic</t>
        </is>
      </c>
      <c r="N172" s="34" t="inlineStr">
        <is>
          <t>Mock RxCU84 GI (Case 3 Q3.3)</t>
        </is>
      </c>
    </row>
    <row r="173" ht="64.95" customHeight="1" s="49">
      <c r="A173" s="35" t="n">
        <v>171</v>
      </c>
      <c r="B173" s="34"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73" s="45" t="n"/>
      <c r="D173" s="34"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73" s="34" t="inlineStr">
        <is>
          <t>ควรดื่มนมช็อกโกแลตหรือเครื่องดื่มผสมแอลกอฮอล์หลังอาหารเย็น เพื่อช่วยเคลือบแผลในหลอดอาหาร</t>
        </is>
      </c>
      <c r="F173" s="34"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73" s="34" t="inlineStr">
        <is>
          <t>แนะนำให้ออกกำลังกายอย่างหนักทันทีหลังมื้ออาหารเย็น เพื่อช่วยให้กระเพาะอาหารบีบตัวไล่แก๊สได้เร็วขึ้น</t>
        </is>
      </c>
      <c r="H173" s="34" t="inlineStr">
        <is>
          <t>แนะนำให้ดื่มน้ำเย็นปริมาณมากๆ ในระหว่างมื้ออาหาร เพื่อช่วยเจือจางกรดในกระเพาะอาหารไม่ให้ย้อนขึ้นไป</t>
        </is>
      </c>
      <c r="I173" s="35" t="n">
        <v>3</v>
      </c>
      <c r="J173" s="34"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ตามแนวทางเวชปฏิบัติสากล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73" s="45" t="n"/>
      <c r="L173" s="35" t="inlineStr">
        <is>
          <t>GERD</t>
        </is>
      </c>
      <c r="M173" s="35" t="inlineStr">
        <is>
          <t>Clinic</t>
        </is>
      </c>
      <c r="N173" s="34" t="inlineStr">
        <is>
          <t>Mock RxCU84 GI (Case 3 Q3.4)</t>
        </is>
      </c>
    </row>
    <row r="174" ht="64.95" customHeight="1" s="49">
      <c r="A174" s="35" t="n">
        <v>172</v>
      </c>
      <c r="B174" s="34"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74" s="45" t="n"/>
      <c r="D174" s="34" t="inlineStr">
        <is>
          <t>Proton pump inhibitors (เช่น Omeprazole)</t>
        </is>
      </c>
      <c r="E174" s="34" t="inlineStr">
        <is>
          <t>Calcium channel blockers (เช่น Amlodipine)</t>
        </is>
      </c>
      <c r="F174" s="34" t="inlineStr">
        <is>
          <t>Prokinetics (เช่น Domperidone)</t>
        </is>
      </c>
      <c r="G174" s="34" t="inlineStr">
        <is>
          <t>H2-receptor antagonists (เช่น Famotidine)</t>
        </is>
      </c>
      <c r="H174" s="34" t="inlineStr">
        <is>
          <t>Mucosal protectants (เช่น Sucralfate)</t>
        </is>
      </c>
      <c r="I174" s="35" t="n">
        <v>2</v>
      </c>
      <c r="J174" s="34"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74" s="45" t="n"/>
      <c r="L174" s="35" t="inlineStr">
        <is>
          <t>GERD</t>
        </is>
      </c>
      <c r="M174" s="35" t="inlineStr">
        <is>
          <t>Clinic</t>
        </is>
      </c>
      <c r="N174" s="34" t="inlineStr">
        <is>
          <t>Mock RxCU84 GI (Case 3 Q3.5)</t>
        </is>
      </c>
    </row>
    <row r="175" ht="64.95" customHeight="1" s="49">
      <c r="A175" s="35" t="n">
        <v>173</v>
      </c>
      <c r="B175" s="34"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75" s="45" t="n"/>
      <c r="D175" s="34" t="inlineStr">
        <is>
          <t>ทำให้ Pitavastatin หมดฤทธิ์ในการลดระดับไขมัน</t>
        </is>
      </c>
      <c r="E175" s="34" t="inlineStr">
        <is>
          <t>ลดการดูดซึมยา Dolutegravir อย่างมีนัยสำคัญจากการเกิด Chelation</t>
        </is>
      </c>
      <c r="F175" s="34" t="inlineStr">
        <is>
          <t>ทำให้ยา Tenofovir (TDF) สะสมในกระแสเลือดจนเกิดพิษต่อไตเฉียบพลัน</t>
        </is>
      </c>
      <c r="G175" s="34" t="inlineStr">
        <is>
          <t>เพิ่มระดับยา Lamivudine (3TC) จนเกิดภาวะโลหิตจางรุนแรง</t>
        </is>
      </c>
      <c r="H175" s="34" t="inlineStr">
        <is>
          <t>ยาลดกรดกระตุ้นการทำลายตัวยา Dolutegravir ผ่านทางเอนไซม์ตับ CYP3A4</t>
        </is>
      </c>
      <c r="I175" s="35" t="n">
        <v>2</v>
      </c>
      <c r="J175" s="34"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75" s="45" t="n"/>
      <c r="L175" s="35" t="inlineStr">
        <is>
          <t>Drug Interactions</t>
        </is>
      </c>
      <c r="M175" s="35" t="inlineStr">
        <is>
          <t>Clinic</t>
        </is>
      </c>
      <c r="N175" s="34" t="inlineStr">
        <is>
          <t>Mock RxCU84 GI (Case 4 Q4.1)</t>
        </is>
      </c>
    </row>
    <row r="176" ht="64.95" customHeight="1" s="49">
      <c r="A176" s="35" t="n">
        <v>174</v>
      </c>
      <c r="B176" s="34"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76" s="45" t="n"/>
      <c r="D176" s="34" t="inlineStr">
        <is>
          <t>ให้รับประทานยาลดกรดและ Dolutegravir ร่วมกันพร้อมอาหารมื้อหลักทันทีเพื่อลดความเป็นกรดในกระเพาะ</t>
        </is>
      </c>
      <c r="E176" s="34"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76" s="34" t="inlineStr">
        <is>
          <t>ให้รับประทานยา Dolutegravir ในขนาดยาเพิ่มขึ้นเป็น 2 เท่าเฉพาะในวันที่ต้องใช้ยาลดกรด</t>
        </is>
      </c>
      <c r="G176" s="34" t="inlineStr">
        <is>
          <t>แนะนำให้เคี้ยวเม็ดยาลดกรดร่วมกับยาต้านไวรัสก่อนนอน เพื่อส่งเสริมการดูดซึมยาต้านไวรัส</t>
        </is>
      </c>
      <c r="H176" s="34" t="inlineStr">
        <is>
          <t>ให้ผู้ป่วยหยุดรับประทานยาต้านไวรัส Dolutegravir ไปก่อนชั่วคราวในระหว่างที่มีอาการของโรคกรดไหลย้อน</t>
        </is>
      </c>
      <c r="I176" s="35" t="n">
        <v>2</v>
      </c>
      <c r="J176" s="34"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76" s="45" t="n"/>
      <c r="L176" s="35" t="inlineStr">
        <is>
          <t>Drug Interactions</t>
        </is>
      </c>
      <c r="M176" s="35" t="inlineStr">
        <is>
          <t>Clinic</t>
        </is>
      </c>
      <c r="N176" s="34" t="inlineStr">
        <is>
          <t>Mock RxCU84 GI (Case 4 Q4.2)</t>
        </is>
      </c>
    </row>
    <row r="177" ht="64.95" customHeight="1" s="49">
      <c r="A177" s="35" t="n">
        <v>175</v>
      </c>
      <c r="B177" s="34"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77" s="45" t="n"/>
      <c r="D177" s="34"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77" s="34" t="inlineStr">
        <is>
          <t>ห้ามใช้ Omeprazole ร่วมกับ Dolutegravir เด็ดขาด เนื่องจากยาลดการทำงานของเอนไซม์ที่ใช้กำจัด Dolutegravir</t>
        </is>
      </c>
      <c r="F177" s="34" t="inlineStr">
        <is>
          <t>Omeprazole จะลดการดูดซึมของ Tenofovir (TDF) จนหมดสิ้น ทำให้ระดับยาต้านไวรัสไม่เพียงพอต่อการกดเชื้อ</t>
        </is>
      </c>
      <c r="G177" s="34" t="inlineStr">
        <is>
          <t>ยาต้านไวรัส 3TC จะเกิดการเสื่อมสภาพทันทีหาก pH ในกระเพาะอาหารเพิ่มขึ้นมากกว่า 5.0</t>
        </is>
      </c>
      <c r="H177" s="34" t="inlineStr">
        <is>
          <t>Omeprazole จะเพิ่มความเสี่ยงต่อการเกิดภาวะ Lactic acidosis จากยาต้านไวรัสกลุ่ม NRTIs</t>
        </is>
      </c>
      <c r="I177" s="35" t="n">
        <v>1</v>
      </c>
      <c r="J177" s="34"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77" s="45" t="n"/>
      <c r="L177" s="35" t="inlineStr">
        <is>
          <t>Drug Interactions</t>
        </is>
      </c>
      <c r="M177" s="35" t="inlineStr">
        <is>
          <t>Clinic</t>
        </is>
      </c>
      <c r="N177" s="34" t="inlineStr">
        <is>
          <t>Mock RxCU84 GI (Case 4 Q4.3)</t>
        </is>
      </c>
    </row>
    <row r="178" ht="64.95" customHeight="1" s="49">
      <c r="A178" s="35" t="n">
        <v>176</v>
      </c>
      <c r="B178" s="34"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78" s="45" t="n"/>
      <c r="D178" s="34" t="inlineStr">
        <is>
          <t>ยาระคายเคืองกระเพาะโดยตรง (Direct irritation) และยับยั้งเอนไซม์ COX-2 ทำให้ร่างกายสร้างกรดมากขึ้น</t>
        </is>
      </c>
      <c r="E178" s="34"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78" s="34" t="inlineStr">
        <is>
          <t>ยาไปกระตุ้นการทำงานของ parietal cells ในการหลั่งกรดไฮโดรคลอริก ผ่านทางกระบวนการกระตุ้น Histamine-2 receptors</t>
        </is>
      </c>
      <c r="G178" s="34" t="inlineStr">
        <is>
          <t>ยา Diclofenac ทำให้เกิดภาวะติดเชื้อแบคทีเรีย H. pylori ในกระเพาะอาหารได้ง่ายขึ้น</t>
        </is>
      </c>
      <c r="H178" s="34" t="inlineStr">
        <is>
          <t>ยาไปเพิ่มการบีบตัวของกระเพาะอาหารอย่างรุนแรง ส่งผลให้กรดเข้มข้นไหลย้อนกลับทำลายเนื้อเยื่อ</t>
        </is>
      </c>
      <c r="I178" s="35" t="n">
        <v>2</v>
      </c>
      <c r="J178" s="34"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78" s="45" t="n"/>
      <c r="L178" s="35" t="inlineStr">
        <is>
          <t>Peptic Ulcer</t>
        </is>
      </c>
      <c r="M178" s="35" t="inlineStr">
        <is>
          <t>Clinic</t>
        </is>
      </c>
      <c r="N178" s="34" t="inlineStr">
        <is>
          <t>Mock RxCU84 GI (Case 5 Q5.1)</t>
        </is>
      </c>
    </row>
    <row r="179" ht="64.95" customHeight="1" s="49">
      <c r="A179" s="35" t="n">
        <v>177</v>
      </c>
      <c r="B179" s="34"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79" s="45" t="n"/>
      <c r="D179" s="34" t="inlineStr">
        <is>
          <t>แนะนำให้เปลี่ยนจาก Diclofenac เป็น Naproxen 250 mg รับประทานวันละ 2 ครั้ง ทันที</t>
        </is>
      </c>
      <c r="E179" s="34"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79" s="34" t="inlineStr">
        <is>
          <t>แนะนำให้เพิ่มขนาดการรับประทาน Tolperisone เป็น 150 mg วันละ 3 ครั้ง และคงการทาน Diclofenac ร่วมด้วย</t>
        </is>
      </c>
      <c r="G179" s="34" t="inlineStr">
        <is>
          <t>แนะนำให้รับประทาน Diclofenac ห่างจากเครื่องดื่มแอลกอฮอล์อย่างน้อย 8 ชั่วโมง โดยใช้ยาสูตรเดิมต่อไป</t>
        </is>
      </c>
      <c r="H179" s="34" t="inlineStr">
        <is>
          <t>แนะนำให้ใช้ยาแก้ปวดกลุ่มสเตียรอยด์ (Steroids) ชนิดรับประทานทดแทนเพื่อความปลอดภัยต่อกระเพาะอาหาร</t>
        </is>
      </c>
      <c r="I179" s="35" t="n">
        <v>2</v>
      </c>
      <c r="J179" s="34"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79" s="45" t="n"/>
      <c r="L179" s="35" t="inlineStr">
        <is>
          <t>Peptic Ulcer</t>
        </is>
      </c>
      <c r="M179" s="35" t="inlineStr">
        <is>
          <t>Clinic</t>
        </is>
      </c>
      <c r="N179" s="34" t="inlineStr">
        <is>
          <t>Mock RxCU84 GI (Case 5 Q5.2)</t>
        </is>
      </c>
    </row>
    <row r="180" ht="64.95" customHeight="1" s="49">
      <c r="A180" s="35" t="n">
        <v>178</v>
      </c>
      <c r="B180" s="34"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80" s="45" t="n"/>
      <c r="D180" s="34" t="inlineStr">
        <is>
          <t>ออกฤทธิ์จับตัวรับ H2 อาการข้างเคียงคือทำให้เกิดผื่นแพ้แสง; ห้ามใช้ในคนไข้โรคหัวใจล้มเหลว</t>
        </is>
      </c>
      <c r="E180" s="34"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80" s="34" t="inlineStr">
        <is>
          <t>ออกฤทธิ์บล็อก Proton pump; อาการข้างเคียงคืออาการปวดศีรษะ; ห้ามใช้ในผู้ป่วยโรคตับแข็ง</t>
        </is>
      </c>
      <c r="G180" s="34" t="inlineStr">
        <is>
          <t>เป็นสารเคลือบแผลกระเพาะอาหาร; อาการข้างเคียงคือทำให้อุจจาระสีดำเข้ม; ห้ามใช้ในคนไข้ที่เป็นโรคไตวาย</t>
        </is>
      </c>
      <c r="H180" s="34" t="inlineStr">
        <is>
          <t>เป็นยากระตุ้นการหลั่งเอนไซม์ amylase; อาการข้างเคียงคือน้ำตาลในเลือดต่ำ; ห้ามใช้ร่วมกับอินซูลิน</t>
        </is>
      </c>
      <c r="I180" s="35" t="n">
        <v>2</v>
      </c>
      <c r="J180" s="34"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80" s="45" t="n"/>
      <c r="L180" s="35" t="inlineStr">
        <is>
          <t>Peptic Ulcer</t>
        </is>
      </c>
      <c r="M180" s="35" t="inlineStr">
        <is>
          <t>Clinic</t>
        </is>
      </c>
      <c r="N180" s="34" t="inlineStr">
        <is>
          <t>Mock RxCU84 GI (Case 5 Q5.3)</t>
        </is>
      </c>
    </row>
    <row r="181" ht="64.95" customHeight="1" s="49">
      <c r="A181" s="35" t="n">
        <v>179</v>
      </c>
      <c r="B181" s="34"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81" s="45" t="n"/>
      <c r="D181" s="34" t="inlineStr">
        <is>
          <t>อาการปวดแสบบริเวณหน้าอกลามไปถึงไหล่ซ้าย</t>
        </is>
      </c>
      <c r="E181" s="34"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81" s="34" t="inlineStr">
        <is>
          <t>อาการแสบร้อนที่ผิวหนังบริเวณที่ปวดกล้ามเนื้อ</t>
        </is>
      </c>
      <c r="G181" s="34" t="inlineStr">
        <is>
          <t>อาการอ่อนเพลียเล็กน้อยหลังจากทำงานเกษตรกลางแดดจัด</t>
        </is>
      </c>
      <c r="H181" s="34" t="inlineStr">
        <is>
          <t>อาการท้องอืด ท้องเฟ้อ มีลมในกระเพาะอาหารหลังตื่นนอนตอนเช้า</t>
        </is>
      </c>
      <c r="I181" s="35" t="n">
        <v>2</v>
      </c>
      <c r="J181" s="34"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81" s="45" t="n"/>
      <c r="L181" s="35" t="inlineStr">
        <is>
          <t>Peptic Ulcer</t>
        </is>
      </c>
      <c r="M181" s="35" t="inlineStr">
        <is>
          <t>Clinic</t>
        </is>
      </c>
      <c r="N181" s="34" t="inlineStr">
        <is>
          <t>Mock RxCU84 GI (Case 5 Q5.4)</t>
        </is>
      </c>
    </row>
    <row r="182" ht="64.95" customHeight="1" s="49">
      <c r="A182" s="35" t="n">
        <v>180</v>
      </c>
      <c r="B182" s="34"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82" s="45" t="n"/>
      <c r="D182" s="34" t="inlineStr">
        <is>
          <t>5-HT3 receptor antagonist (เช่น Ondansetron)</t>
        </is>
      </c>
      <c r="E182" s="34" t="inlineStr">
        <is>
          <t>Antihistamine / Anticholinergic (เช่น Dimenhydrinate)</t>
        </is>
      </c>
      <c r="F182" s="34" t="inlineStr">
        <is>
          <t>Dopamine D2 antagonist (เช่น Domperidone)</t>
        </is>
      </c>
      <c r="G182" s="34" t="inlineStr">
        <is>
          <t>Benzodiazepines (เช่น Lorazepam)</t>
        </is>
      </c>
      <c r="H182" s="34" t="inlineStr">
        <is>
          <t>Neurokinin-1 antagonist (เช่น Aprepitant)</t>
        </is>
      </c>
      <c r="I182" s="35" t="n">
        <v>3</v>
      </c>
      <c r="J182" s="34"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82" s="45" t="n"/>
      <c r="L182" s="35" t="inlineStr">
        <is>
          <t>Nausea &amp; Vomiting</t>
        </is>
      </c>
      <c r="M182" s="35" t="inlineStr">
        <is>
          <t>Clinic</t>
        </is>
      </c>
      <c r="N182" s="34" t="inlineStr">
        <is>
          <t>Mock RxCU84 GI (Case 5 Q5.5)</t>
        </is>
      </c>
    </row>
    <row r="183" ht="64.95" customHeight="1" s="49">
      <c r="A183" s="35" t="n">
        <v>181</v>
      </c>
      <c r="B183" s="34"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83" s="45" t="n"/>
      <c r="D183" s="34" t="inlineStr">
        <is>
          <t>Domperidone ออกฤทธิ์ที่ 5-HT3 receptor จึงไม่มีผลข้างเคียงต่อระบบประสาท</t>
        </is>
      </c>
      <c r="E183" s="34" t="inlineStr">
        <is>
          <t>Domperidone ผ่าน Blood-Brain Barrier (BBB) ได้น้อยกว่า Metoclopramide จึงมีโอกาสเกิด Extrapyramidal Symptoms (EPS) และผลข้างเคียงทาง CNS น้อยกว่าอย่างมีนัยสำคัญ</t>
        </is>
      </c>
      <c r="F183" s="34" t="inlineStr">
        <is>
          <t>Domperidone ไม่มีผลต่อการเพิ่มขึ้นของระดับ Prolactin ในกระแสเลือดเลย</t>
        </is>
      </c>
      <c r="G183" s="34" t="inlineStr">
        <is>
          <t>Metoclopramide ไม่สามารถผ่าน BBB ได้ จึงปลอดภัยกว่าสำหรับการใช้ในระยะยาว</t>
        </is>
      </c>
      <c r="H183" s="34" t="inlineStr">
        <is>
          <t>ยาทั้งสองตัวมีระดับความปลอดภัยและผลข้างเคียงต่อระบบประสาทส่วนกลางเหมือนกันทุกประการ</t>
        </is>
      </c>
      <c r="I183" s="35" t="n">
        <v>2</v>
      </c>
      <c r="J183" s="34"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83" s="45" t="n"/>
      <c r="L183" s="35" t="inlineStr">
        <is>
          <t>Nausea &amp; Vomiting</t>
        </is>
      </c>
      <c r="M183" s="35" t="inlineStr">
        <is>
          <t>Clinic</t>
        </is>
      </c>
      <c r="N183" s="34" t="inlineStr">
        <is>
          <t>Mock RxCU84 GI (Case 5 Q5.6)</t>
        </is>
      </c>
    </row>
    <row r="184" ht="64.95" customHeight="1" s="49">
      <c r="A184" s="35" t="n">
        <v>182</v>
      </c>
      <c r="B184" s="34"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84" s="45" t="n"/>
      <c r="D184" s="34" t="inlineStr">
        <is>
          <t>ควรรับประทานพร้อมอาหารที่มีไขมันสูงเพื่อเพิ่มการดูดซึมยาเข้าสู่กระแสเลือด</t>
        </is>
      </c>
      <c r="E184" s="34"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84" s="34" t="inlineStr">
        <is>
          <t>สามารถใช้ร่วมกับเครื่องดื่มแอลกอฮอล์ได้อย่างปลอดภัยโดยไม่มีผลเสริมฤทธิ์กดประสาท</t>
        </is>
      </c>
      <c r="G184" s="34" t="inlineStr">
        <is>
          <t>ไม่มีผลต่อระบบประสาทส่วนกลาง จึงสามารถใช้ในผู้ป่วยโรคพาร์กินสัน (Parkinson's disease) ได้อย่างปลอดภัย</t>
        </is>
      </c>
      <c r="H184" s="34" t="inlineStr">
        <is>
          <t>ไม่จำเป็นต้องปรับขนาดยาในผู้ป่วยที่มีการทำงานของไตบกพร่อง</t>
        </is>
      </c>
      <c r="I184" s="35" t="n">
        <v>2</v>
      </c>
      <c r="J184" s="34"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84" s="45" t="n"/>
      <c r="L184" s="35" t="inlineStr">
        <is>
          <t>Nausea &amp; Vomiting</t>
        </is>
      </c>
      <c r="M184" s="35" t="inlineStr">
        <is>
          <t>Clinic</t>
        </is>
      </c>
      <c r="N184" s="34" t="inlineStr">
        <is>
          <t>Mock RxCU84 GI (Case 5 Q5.7)</t>
        </is>
      </c>
    </row>
    <row r="185" ht="64.95" customHeight="1" s="49">
      <c r="A185" s="35" t="n">
        <v>183</v>
      </c>
      <c r="B185" s="34"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85" s="45" t="n"/>
      <c r="D185" s="34" t="inlineStr">
        <is>
          <t>Low emetogenic potential (โอกาสเกิดอาการร้อยละ 10–30)</t>
        </is>
      </c>
      <c r="E185" s="34" t="inlineStr">
        <is>
          <t>Moderate emetogenic potential (โอกาสเกิดอาการร้อยละ 30–90)</t>
        </is>
      </c>
      <c r="F185" s="34" t="inlineStr">
        <is>
          <t>High emetogenic potential (โอกาสเกิดอาการมากกว่าร้อยละ 90)</t>
        </is>
      </c>
      <c r="G185" s="34" t="inlineStr">
        <is>
          <t>Minimal emetogenic potential (โอกาสเกิดอาการน้อยกว่าร้อยละ 10)</t>
        </is>
      </c>
      <c r="H185" s="34" t="inlineStr">
        <is>
          <t>Sub-therapeutic emetogenic potential (ไม่มีผลต่อการกระตุ้นอาการอาเจียน)</t>
        </is>
      </c>
      <c r="I185" s="35" t="n">
        <v>3</v>
      </c>
      <c r="J185" s="34" t="inlineStr">
        <is>
          <t>✅ คำตอบที่ถูกต้อง: ข้อ ค. High emetogenic potential (โอกาสเกิดอาการมากกว่าร้อยละ 90)
💡 Background:
แนวทางเวชปฏิบัติสากลด้านเนื้องอกวิทยา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85" s="45" t="n"/>
      <c r="L185" s="35" t="inlineStr">
        <is>
          <t>Nausea &amp; Vomiting</t>
        </is>
      </c>
      <c r="M185" s="35" t="inlineStr">
        <is>
          <t>Clinic</t>
        </is>
      </c>
      <c r="N185" s="34" t="inlineStr">
        <is>
          <t>Mock RxCU84 GI (Case 6 Q6.1)</t>
        </is>
      </c>
    </row>
    <row r="186" ht="64.95" customHeight="1" s="49">
      <c r="A186" s="35" t="n">
        <v>184</v>
      </c>
      <c r="B186" s="34"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86" s="45" t="n"/>
      <c r="D186" s="34" t="inlineStr">
        <is>
          <t>เหมาะสม เนื่องจาก Ondansetron เป็นยากลุ่ม 5-HT3 antagonist ที่มีประสิทธิภาพสูงสุดครอบคลุมทั้งระยะเฉียบพลันและระยะช้า</t>
        </is>
      </c>
      <c r="E186" s="34"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86" s="34" t="inlineStr">
        <is>
          <t>เหมาะสม แต่ควรเปลี่ยนช่องทางการบริหารยาเป็นชนิดเม็ดรับประทาน (Oral tablet) เพื่อผลการรักษาที่ดีกว่า</t>
        </is>
      </c>
      <c r="G186" s="34" t="inlineStr">
        <is>
          <t>ไม่เหมาะสม เนื่องจากควรใช้เฉพาะยาปฏิชีวนะและยาลดกรด Omeprazole ในการป้องกันอาการอาเจียนเท่านั้น</t>
        </is>
      </c>
      <c r="H186" s="34" t="inlineStr">
        <is>
          <t>เหมาะสม แต่ต้องบริหารยาร่วมกับสารน้ำทางหลอดเลือดดำปริมาณมากเพียงอย่างเดียวโดยไม่ต้องให้ยาอื่นเพิ่ม</t>
        </is>
      </c>
      <c r="I186" s="35" t="n">
        <v>2</v>
      </c>
      <c r="J186" s="34"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มาตรฐานระดับสากลแนะนำสูตรผสม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86" s="45" t="n"/>
      <c r="L186" s="35" t="inlineStr">
        <is>
          <t>Nausea &amp; Vomiting</t>
        </is>
      </c>
      <c r="M186" s="35" t="inlineStr">
        <is>
          <t>Clinic</t>
        </is>
      </c>
      <c r="N186" s="34" t="inlineStr">
        <is>
          <t>Mock RxCU84 GI (Case 6 Q6.2)</t>
        </is>
      </c>
    </row>
    <row r="187" ht="64.95" customHeight="1" s="49">
      <c r="A187" s="35" t="n">
        <v>185</v>
      </c>
      <c r="B187" s="34"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87" s="45" t="n"/>
      <c r="D187" s="34" t="inlineStr">
        <is>
          <t>อาการเริ่มแสดงหลังรับยา 1 ชั่วโมง; ยาที่มีบทบาทหลักคือยาชาเฉพาะที่ Lidocaine</t>
        </is>
      </c>
      <c r="E187" s="34"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87" s="34" t="inlineStr">
        <is>
          <t>อาการเริ่มแสดงในสัปดาห์ที่สามหลังให้ยา; ยาที่มีบทบาทหลักคือยากระตุ้นการบีบตัวของทางเดินอาหาร Domperidone</t>
        </is>
      </c>
      <c r="G187" s="34" t="inlineStr">
        <is>
          <t>อาการเริ่มแสดงในช่วงก่อนได้รับยาเคมีบำบัดรอบถัดไป; ยาที่มีบทบาทหลักคือยากลุ่ม Benzodiazepines เช่น Lorazepam</t>
        </is>
      </c>
      <c r="H187" s="34" t="inlineStr">
        <is>
          <t>อาการเริ่มแสดงทันทีหลังถอดสายน้ำเกลือเคมีบำบัด; ยาที่มีบทบาทหลักคือยาลดกรดชนิดน้ำ Antacid</t>
        </is>
      </c>
      <c r="I187" s="35" t="n">
        <v>2</v>
      </c>
      <c r="J187" s="34"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87" s="45" t="n"/>
      <c r="L187" s="35" t="inlineStr">
        <is>
          <t>Nausea &amp; Vomiting</t>
        </is>
      </c>
      <c r="M187" s="35" t="inlineStr">
        <is>
          <t>Clinic</t>
        </is>
      </c>
      <c r="N187" s="34" t="inlineStr">
        <is>
          <t>Mock RxCU84 GI (Case 6 Q6.3)</t>
        </is>
      </c>
    </row>
    <row r="188" ht="64.95" customHeight="1" s="49">
      <c r="A188" s="35" t="n">
        <v>186</v>
      </c>
      <c r="B188" s="34"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88" s="45" t="n"/>
      <c r="D188" s="34"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88" s="34" t="inlineStr">
        <is>
          <t>ผู้สูงอายุไม่มีความเสี่ยงพิเศษใดๆ เพิ่มเติมจากการใช้ยาในกลุ่ม D2 antagonist</t>
        </is>
      </c>
      <c r="F188" s="34" t="inlineStr">
        <is>
          <t>ควรเพิ่มขนาด Metoclopramide เป็น 2 เท่าในผู้สูงอายุเพื่อผลการรักษาที่ดีขึ้น</t>
        </is>
      </c>
      <c r="G188" s="34" t="inlineStr">
        <is>
          <t>Metoclopramide มีความปลอดภัยในผู้สูงอายุมากกว่าเมื่อเปรียบเทียบกับผู้ป่วยอายุน้อย</t>
        </is>
      </c>
      <c r="H188" s="34" t="inlineStr">
        <is>
          <t>ไม่จำเป็นต้องคำนึงถึงการทำงานของไตในการบริหารยา Metoclopramide ในผู้สูงอายุ</t>
        </is>
      </c>
      <c r="I188" s="35" t="n">
        <v>1</v>
      </c>
      <c r="J188" s="34"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88" s="45" t="n"/>
      <c r="L188" s="35" t="inlineStr">
        <is>
          <t>Nausea &amp; Vomiting</t>
        </is>
      </c>
      <c r="M188" s="35" t="inlineStr">
        <is>
          <t>Clinic</t>
        </is>
      </c>
      <c r="N188" s="34" t="inlineStr">
        <is>
          <t>Mock RxCU84 GI (Case 6 Q6.4)</t>
        </is>
      </c>
    </row>
    <row r="189" ht="64.95" customHeight="1" s="49">
      <c r="A189" s="35" t="n">
        <v>187</v>
      </c>
      <c r="B189" s="34"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89" s="45" t="n"/>
      <c r="D189" s="34" t="inlineStr">
        <is>
          <t>เป็น Acute emesis แนะนำให้เพิ่มขนาดของยา 5-HT3 antagonist</t>
        </is>
      </c>
      <c r="E189" s="34" t="inlineStr">
        <is>
          <t>เป็น Delayed emesis แนะนำให้เพิ่มขนาดของยา NK1 antagonist</t>
        </is>
      </c>
      <c r="F189" s="34" t="inlineStr">
        <is>
          <t>เป็น Anticipatory emesis ซึ่งเกิดจาก Classical conditioning แนะนำให้ใช้ยาในกลุ่ม Benzodiazepines (เช่น Lorazepam)</t>
        </is>
      </c>
      <c r="G189" s="34" t="inlineStr">
        <is>
          <t>เป็นผลจาก Motion sickness ระหว่างการเดินทางมาโรงพยาบาล แนะนำให้ยา Dimenhydrinate</t>
        </is>
      </c>
      <c r="H189" s="34" t="inlineStr">
        <is>
          <t>ไม่ต้องให้การรักษาใดๆ เนื่องจากเป็นอาการทางจิตใจที่ไม่เกี่ยวข้องกับเภสัชวิทยา</t>
        </is>
      </c>
      <c r="I189" s="35" t="n">
        <v>3</v>
      </c>
      <c r="J189" s="34"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89" s="45" t="n"/>
      <c r="L189" s="35" t="inlineStr">
        <is>
          <t>Nausea &amp; Vomiting</t>
        </is>
      </c>
      <c r="M189" s="35" t="inlineStr">
        <is>
          <t>Clinic</t>
        </is>
      </c>
      <c r="N189" s="34" t="inlineStr">
        <is>
          <t>Mock RxCU84 GI (Case 6 Q6.5)</t>
        </is>
      </c>
    </row>
    <row r="190" ht="64.95" customHeight="1" s="49">
      <c r="A190" s="35" t="n">
        <v>188</v>
      </c>
      <c r="B190" s="34"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90" s="45" t="n"/>
      <c r="D190" s="34" t="inlineStr">
        <is>
          <t>Grade I</t>
        </is>
      </c>
      <c r="E190" s="34" t="inlineStr">
        <is>
          <t>Grade II</t>
        </is>
      </c>
      <c r="F190" s="34" t="inlineStr">
        <is>
          <t>Grade III</t>
        </is>
      </c>
      <c r="G190" s="34" t="inlineStr">
        <is>
          <t>Grade IV</t>
        </is>
      </c>
      <c r="H190" s="34" t="inlineStr">
        <is>
          <t>External hemorrhoid (ไม่จัดอยู่ในระบบ Grade I-IV)</t>
        </is>
      </c>
      <c r="I190" s="35" t="n">
        <v>3</v>
      </c>
      <c r="J190" s="34"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90" s="45" t="n"/>
      <c r="L190" s="35" t="inlineStr">
        <is>
          <t>Hemorrhoids</t>
        </is>
      </c>
      <c r="M190" s="35" t="inlineStr">
        <is>
          <t>Clinic</t>
        </is>
      </c>
      <c r="N190" s="34" t="inlineStr">
        <is>
          <t>Mock RxCU84 GI (Case 7 Q7.1)</t>
        </is>
      </c>
    </row>
    <row r="191" ht="64.95" customHeight="1" s="49">
      <c r="A191" s="35" t="n">
        <v>189</v>
      </c>
      <c r="B191" s="34"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91" s="45" t="n"/>
      <c r="D191" s="34" t="inlineStr">
        <is>
          <t>ส่งต่อทำ Colonoscopy ทันทีทุกกรณีเนื่องจากพบอาการเลือดออกทางทวารหนัก</t>
        </is>
      </c>
      <c r="E191" s="34"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91" s="34" t="inlineStr">
        <is>
          <t>จ่ายยาปฏิชีวนะชนิดรับประทานเพื่อป้องกันการติดเชื้อในกระแสเลือด</t>
        </is>
      </c>
      <c r="G191" s="34" t="inlineStr">
        <is>
          <t>แนะนำให้ผู้ป่วยเข้ารับการผ่าตัดริดสีดวงทวารทันทีโดยไม่ต้องปรับพฤติกรรม</t>
        </is>
      </c>
      <c r="H191" s="34" t="inlineStr">
        <is>
          <t>ให้ผู้ป่วยสังเกตอาการเองที่บ้านนาน 3 เดือนโดยไม่ต้องให้คำแนะนำเตือนใดๆ</t>
        </is>
      </c>
      <c r="I191" s="35" t="n">
        <v>2</v>
      </c>
      <c r="J191" s="34"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91" s="45" t="n"/>
      <c r="L191" s="35" t="inlineStr">
        <is>
          <t>Hemorrhoids</t>
        </is>
      </c>
      <c r="M191" s="35" t="inlineStr">
        <is>
          <t>Clinic</t>
        </is>
      </c>
      <c r="N191" s="34" t="inlineStr">
        <is>
          <t>Mock RxCU84 GI (Case 7 Q7.2)</t>
        </is>
      </c>
    </row>
    <row r="192" ht="64.95" customHeight="1" s="49">
      <c r="A192" s="35" t="n">
        <v>190</v>
      </c>
      <c r="B192" s="34"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92" s="45" t="n"/>
      <c r="D192" s="34" t="inlineStr">
        <is>
          <t>การรัดยางหัวริดสีดวง (Rubber band ligation)</t>
        </is>
      </c>
      <c r="E192" s="34" t="inlineStr">
        <is>
          <t>การใช้ยาเหน็บทวารหนักสูตรผสม Hydrocortisone + Lidocaine suppository</t>
        </is>
      </c>
      <c r="F192" s="34" t="inlineStr">
        <is>
          <t>การปรับเปลี่ยนอาหารและพฤติกรรม (Dietary &amp; behavioral modification: เพิ่มใยอาหาร ดื่มน้ำเพียงพอ และปรับสุขอนามัยการขับถ่าย)</t>
        </is>
      </c>
      <c r="G192" s="34" t="inlineStr">
        <is>
          <t>การผ่าตัดริดสีดวงทวาร (Hemorrhoidectomy)</t>
        </is>
      </c>
      <c r="H192" s="34" t="inlineStr">
        <is>
          <t>การจ่ายยาปฏิชีวนะชนิดรับประทานเพื่อป้องกันการติดเชื้อ</t>
        </is>
      </c>
      <c r="I192" s="35" t="n">
        <v>3</v>
      </c>
      <c r="J192" s="34"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92" s="45" t="n"/>
      <c r="L192" s="35" t="inlineStr">
        <is>
          <t>Hemorrhoids</t>
        </is>
      </c>
      <c r="M192" s="35" t="inlineStr">
        <is>
          <t>Clinic</t>
        </is>
      </c>
      <c r="N192" s="34" t="inlineStr">
        <is>
          <t>Mock RxCU84 GI (Case 7 Q7.3)</t>
        </is>
      </c>
    </row>
    <row r="193" ht="64.95" customHeight="1" s="49">
      <c r="A193" s="35" t="n">
        <v>191</v>
      </c>
      <c r="B193" s="34"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93" s="45" t="n"/>
      <c r="D193" s="34" t="inlineStr">
        <is>
          <t>Senna + แนะนำให้ใช้เฉพาะเวลาปวดท้องถ่าย</t>
        </is>
      </c>
      <c r="E193" s="34" t="inlineStr">
        <is>
          <t>Psyllium (Bulk-forming laxative) + แนะนำให้ดื่มน้ำตามมากๆ ให้เพียงพอ และรับประทานต่อเนื่องอย่างน้อย 6 สัปดาห์</t>
        </is>
      </c>
      <c r="F193" s="34" t="inlineStr">
        <is>
          <t>Bisacodyl + แนะนำให้รับประทานก่อนนอนทุกคืนอย่างถาวร</t>
        </is>
      </c>
      <c r="G193" s="34" t="inlineStr">
        <is>
          <t>Glycerin suppository + แนะนำให้สวนทวารทุกเช้าเป็นประจำ</t>
        </is>
      </c>
      <c r="H193" s="34" t="inlineStr">
        <is>
          <t>Lactulose + แนะนำให้รับประทานเฉพาะเมื่อมีอาการปวดทวารหนักเท่านั้น</t>
        </is>
      </c>
      <c r="I193" s="35" t="n">
        <v>2</v>
      </c>
      <c r="J193" s="34"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93" s="45" t="n"/>
      <c r="L193" s="35" t="inlineStr">
        <is>
          <t>Hemorrhoids</t>
        </is>
      </c>
      <c r="M193" s="35" t="inlineStr">
        <is>
          <t>Clinic</t>
        </is>
      </c>
      <c r="N193" s="34" t="inlineStr">
        <is>
          <t>Mock RxCU84 GI (Case 7 Q7.4)</t>
        </is>
      </c>
    </row>
    <row r="194" ht="64.95" customHeight="1" s="49">
      <c r="A194" s="35" t="n">
        <v>192</v>
      </c>
      <c r="B194" s="34"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94" s="45" t="n"/>
      <c r="D194" s="34" t="inlineStr">
        <is>
          <t>1 เม็ด วันละครั้ง รับประทานต่อเนื่อง</t>
        </is>
      </c>
      <c r="E194" s="34" t="inlineStr">
        <is>
          <t>2 เม็ด วันละครั้ง ตลอดไป</t>
        </is>
      </c>
      <c r="F194" s="34" t="inlineStr">
        <is>
          <t>6 เม็ดต่อวัน (ครั้งละ 2 เม็ด วันละ 3 ครั้ง) นาน 4 วัน ตามด้วย 4 เม็ดต่อวัน (ครั้งละ 2 เม็ด วันละ 2 ครั้ง) อีก 3 วัน</t>
        </is>
      </c>
      <c r="G194" s="34" t="inlineStr">
        <is>
          <t>2 เม็ด วันละ 3 ครั้ง ต่อเนื่องกันนาน 14 วัน</t>
        </is>
      </c>
      <c r="H194" s="34" t="inlineStr">
        <is>
          <t>3 เม็ดต่อวัน นาน 7 วัน แล้วหยุดยาทันที</t>
        </is>
      </c>
      <c r="I194" s="35" t="n">
        <v>3</v>
      </c>
      <c r="J194" s="34"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94" s="45" t="n"/>
      <c r="L194" s="35" t="inlineStr">
        <is>
          <t>Hemorrhoids</t>
        </is>
      </c>
      <c r="M194" s="35" t="inlineStr">
        <is>
          <t>Clinic</t>
        </is>
      </c>
      <c r="N194" s="34" t="inlineStr">
        <is>
          <t>Mock RxCU84 GI (Case 7 Q7.5)</t>
        </is>
      </c>
    </row>
    <row r="195" ht="64.95" customHeight="1" s="49">
      <c r="A195" s="35" t="n">
        <v>193</v>
      </c>
      <c r="B195" s="34"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95" s="45" t="n"/>
      <c r="D195" s="34" t="inlineStr">
        <is>
          <t>สามารถรักษาริดสีดวงทวารให้หายขาดและป้องกันการกลับเป็นซ้ำได้อย่างถาวร</t>
        </is>
      </c>
      <c r="E195" s="34"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95" s="34" t="inlineStr">
        <is>
          <t>สามารถใช้ทดแทนการปรับเปลี่ยนอาหารและสุขอนามัยได้ เนื่องจากเป็น First-line therapy</t>
        </is>
      </c>
      <c r="G195" s="34" t="inlineStr">
        <is>
          <t>ยิ่งใช้ติดต่อกันเป็นเวลานานยิ่งมีประสิทธิภาพดี และไม่มีผลข้างเคียงใดๆ</t>
        </is>
      </c>
      <c r="H195" s="34" t="inlineStr">
        <is>
          <t>มีข้อบ่งใช้เฉพาะเมื่อพบหลักฐานการติดเชื้อแบคทีเรียที่บริเวณทวารหนักเท่านั้น</t>
        </is>
      </c>
      <c r="I195" s="35" t="n">
        <v>2</v>
      </c>
      <c r="J195" s="34"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95" s="45" t="n"/>
      <c r="L195" s="35" t="inlineStr">
        <is>
          <t>Hemorrhoids</t>
        </is>
      </c>
      <c r="M195" s="35" t="inlineStr">
        <is>
          <t>Clinic</t>
        </is>
      </c>
      <c r="N195" s="34" t="inlineStr">
        <is>
          <t>Mock RxCU84 GI (Case 7 Q7.6)</t>
        </is>
      </c>
    </row>
    <row r="196" ht="64.95" customHeight="1" s="49">
      <c r="A196" s="35" t="n">
        <v>194</v>
      </c>
      <c r="B196" s="34"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96" s="45" t="n"/>
      <c r="D196" s="34" t="inlineStr">
        <is>
          <t>Ibuprofen ปลอดภัยและเหมาะสมที่สุด / ควรหลีกเลี่ยง Paracetamol</t>
        </is>
      </c>
      <c r="E196" s="34" t="inlineStr">
        <is>
          <t>Paracetamol ปลอดภัยและเหมาะสมที่สุด / ควรหลีกเลี่ยง NSAIDs (เช่น Ibuprofen, Diclofenac) และ Aspirin</t>
        </is>
      </c>
      <c r="F196" s="34" t="inlineStr">
        <is>
          <t>Aspirin ปลอดภัยและเหมาะสมที่สุด / ควรหลีกเลี่ยง Psyllium husk</t>
        </is>
      </c>
      <c r="G196" s="34" t="inlineStr">
        <is>
          <t>Naproxen ปลอดภัยและเหมาะสมที่สุด / ควรหลีกเลี่ยงการแช่น้ำอุ่น (Sitz bath)</t>
        </is>
      </c>
      <c r="H196" s="34" t="inlineStr">
        <is>
          <t>Tramadol เป็นทางเลือกแรกที่เหมาะสม / ควรหลีกเลี่ยง Paracetamol</t>
        </is>
      </c>
      <c r="I196" s="35" t="n">
        <v>2</v>
      </c>
      <c r="J196" s="34"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96" s="45" t="n"/>
      <c r="L196" s="35" t="inlineStr">
        <is>
          <t>Hemorrhoids</t>
        </is>
      </c>
      <c r="M196" s="35" t="inlineStr">
        <is>
          <t>Clinic</t>
        </is>
      </c>
      <c r="N196" s="34" t="inlineStr">
        <is>
          <t>Mock RxCU84 GI (Case 7 Q7.7)</t>
        </is>
      </c>
    </row>
    <row r="197" ht="13.2" customHeight="1" s="49">
      <c r="A197" t="n">
        <v>195</v>
      </c>
      <c r="B197" t="inlineStr">
        <is>
          <t>ข้อใดคืออาการข้างเคียงของ aluminium hydroxide ที่พบบ่อยที่สุด  , itsainascionsite,dzistmngneis e - =</t>
        </is>
      </c>
      <c r="D197" t="inlineStr">
        <is>
          <t>Constipation</t>
        </is>
      </c>
      <c r="E197" t="inlineStr">
        <is>
          <t>Steatorrhea</t>
        </is>
      </c>
      <c r="F197" t="inlineStr">
        <is>
          <t>Folate deficiency anemia</t>
        </is>
      </c>
      <c r="G197" t="inlineStr">
        <is>
          <t>Metabolic acidosis</t>
        </is>
      </c>
      <c r="H197" t="inlineStr">
        <is>
          <t>Urinary tract infection</t>
        </is>
      </c>
      <c r="I197" t="inlineStr">
        <is>
          <t>1</t>
        </is>
      </c>
      <c r="J197"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97" t="inlineStr">
        <is>
          <t>Hypertension</t>
        </is>
      </c>
      <c r="M197" t="inlineStr">
        <is>
          <t>Clinic</t>
        </is>
      </c>
      <c r="N197" t="inlineStr">
        <is>
          <t>ข้อ 90 (PLE_CC1_2562_Key.md)</t>
        </is>
      </c>
    </row>
    <row r="198" ht="13.2" customHeight="1" s="49">
      <c r="A198" t="n">
        <v>196</v>
      </c>
      <c r="B198" t="inlineStr">
        <is>
          <t>คำแนะนำในการใช้ยาเหน็บทวารข้อใดไม่ถูกต้อง</t>
        </is>
      </c>
      <c r="D198" t="inlineStr">
        <is>
          <t>เก็บยาในช่องแช่เย็นก่อนแกะยาออกจากห่อ</t>
        </is>
      </c>
      <c r="E198" t="inlineStr">
        <is>
          <t>นอนตะแคงโดยให้ขาล่างเหยียดตรงและงอขาบนจนหัวเข่าชิดหน้าอกให้มากที่สุด</t>
        </is>
      </c>
      <c r="F198" t="inlineStr">
        <is>
          <t>สอดยาเหน็บเข้าไปในทวารหนัก โดยเอาด้านที่มีปลายแหลมเข้าไปก่อน</t>
        </is>
      </c>
      <c r="G198" t="inlineStr">
        <is>
          <t>นอนในท่าเดิมสักครู่หนึ่งประมาณ 5 นาที เพื่อให้แท่งยาละลายและออกฤทธิ์</t>
        </is>
      </c>
      <c r="H198" t="inlineStr">
        <is>
          <t>มีข้อผิดมากกว่า 1 ข้อ</t>
        </is>
      </c>
      <c r="I198" t="inlineStr">
        <is>
          <t>1</t>
        </is>
      </c>
      <c r="J198" t="inlineStr">
        <is>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[NEED_REVIEW]
📌 จุดจำก่อนสอบ:
ยาเหน็บ: เก็บในห่อในตู้เย็น → ก่อนใช้ค่อยแกะ → นอนตะแคง → ปลายแหลมเข้าก่อน → นอนต่อ 5 นาที</t>
        </is>
      </c>
      <c r="L198" t="inlineStr">
        <is>
          <t>Hypertension</t>
        </is>
      </c>
      <c r="M198" t="inlineStr">
        <is>
          <t>Clinic</t>
        </is>
      </c>
      <c r="N198" t="inlineStr">
        <is>
          <t>ข้อ 3 (PLE_CC1_Practice_Exam.md)</t>
        </is>
      </c>
    </row>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Q105"/>
  <sheetViews>
    <sheetView topLeftCell="C1" workbookViewId="0">
      <pane ySplit="2" topLeftCell="A3" activePane="bottomLeft" state="frozen"/>
      <selection pane="bottomLeft" activeCell="A3" sqref="A3:P105"/>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33" t="n">
        <v>1</v>
      </c>
      <c r="B3" s="34"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35" t="n"/>
      <c r="D3" s="34" t="inlineStr">
        <is>
          <t>Hypochromic microcytic anemia</t>
        </is>
      </c>
      <c r="E3" s="34" t="inlineStr">
        <is>
          <t>Hypochromic normocytic anemia</t>
        </is>
      </c>
      <c r="F3" s="34" t="inlineStr">
        <is>
          <t>Normochromic normocytic anemia</t>
        </is>
      </c>
      <c r="G3" s="34" t="inlineStr">
        <is>
          <t>Normochromic macrocytic anemia</t>
        </is>
      </c>
      <c r="H3" s="34" t="inlineStr">
        <is>
          <t>Hyperchromic macrocytic anemia</t>
        </is>
      </c>
      <c r="I3" s="33" t="inlineStr">
        <is>
          <t>3</t>
        </is>
      </c>
      <c r="J3" s="34" t="inlineStr">
        <is>
          <t>✅ คำตอบที่ถูกต้อง: ข้อ ค. Normochromic normocytic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35" t="n"/>
      <c r="L3" s="34" t="inlineStr">
        <is>
          <t>Anemia</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Specific antidote ในผู้ป่วยที่มีภาวะเหล็กเกินคือข้อใด</t>
        </is>
      </c>
      <c r="C4" s="35" t="n"/>
      <c r="D4" s="34" t="inlineStr">
        <is>
          <t>Vitamin C 500 mg OD</t>
        </is>
      </c>
      <c r="E4" s="34" t="inlineStr">
        <is>
          <t>Pyridoxine 50 mg OD</t>
        </is>
      </c>
      <c r="F4" s="34" t="inlineStr">
        <is>
          <t>Hydroxyurea 500 mg OD</t>
        </is>
      </c>
      <c r="G4" s="34" t="inlineStr">
        <is>
          <t>Blood transfusion (Packed Red Cells)</t>
        </is>
      </c>
      <c r="H4" s="34" t="inlineStr">
        <is>
          <t>Ferrous fumarate 200 mg TID</t>
        </is>
      </c>
      <c r="I4" s="33" t="inlineStr">
        <is>
          <t>4</t>
        </is>
      </c>
      <c r="J4" s="34"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t>
        </is>
      </c>
      <c r="K4" s="35" t="n"/>
      <c r="L4" s="34" t="inlineStr">
        <is>
          <t>Anemia</t>
        </is>
      </c>
      <c r="M4" s="35" t="inlineStr">
        <is>
          <t>Clinic</t>
        </is>
      </c>
      <c r="N4" s="34" t="inlineStr">
        <is>
          <t>ข้อ 2 Pharma Plus เล่มม่วง (เฉลยข้อ ง)</t>
        </is>
      </c>
      <c r="O4" s="35" t="inlineStr">
        <is>
          <t>Mock</t>
        </is>
      </c>
      <c r="P4" s="35" t="inlineStr">
        <is>
          <t>Pharma Plus เล่มม่วง</t>
        </is>
      </c>
    </row>
    <row r="5" ht="13.2" customHeight="1" s="49">
      <c r="A5" s="33" t="n">
        <v>3</v>
      </c>
      <c r="B5" s="34" t="inlineStr">
        <is>
          <t>สารพฤกษเคมีกลุ่มใดที่มีผลรบกวนการดูดซึมธาตุเหล็ก</t>
        </is>
      </c>
      <c r="C5" s="35" t="n"/>
      <c r="D5" s="34" t="inlineStr">
        <is>
          <t>Alkaloids</t>
        </is>
      </c>
      <c r="E5" s="34" t="inlineStr">
        <is>
          <t>Anthraquinones</t>
        </is>
      </c>
      <c r="F5" s="34" t="inlineStr">
        <is>
          <t>Quinolines</t>
        </is>
      </c>
      <c r="G5" s="34" t="inlineStr">
        <is>
          <t>Flavonoids</t>
        </is>
      </c>
      <c r="H5" s="34" t="inlineStr">
        <is>
          <t>Tannins</t>
        </is>
      </c>
      <c r="I5" s="33" t="inlineStr">
        <is>
          <t>5</t>
        </is>
      </c>
      <c r="J5" s="34" t="inlineStr">
        <is>
          <t>✅ คำตอบที่ถูกต้อง: ข้อ จ. Tannins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35" t="n"/>
      <c r="L5" s="34" t="inlineStr">
        <is>
          <t>Anemia</t>
        </is>
      </c>
      <c r="M5" s="35" t="inlineStr">
        <is>
          <t>Clinic</t>
        </is>
      </c>
      <c r="N5" s="34" t="inlineStr">
        <is>
          <t>ข้อ 3 Pharma Plus เล่มม่วง (เฉลยข้อ จ)</t>
        </is>
      </c>
      <c r="O5" s="35" t="inlineStr">
        <is>
          <t>Mock</t>
        </is>
      </c>
      <c r="P5" s="35" t="inlineStr">
        <is>
          <t>Pharma Plus เล่มม่วง</t>
        </is>
      </c>
    </row>
    <row r="6" ht="13.2" customHeight="1" s="49">
      <c r="A6" s="33" t="n">
        <v>4</v>
      </c>
      <c r="B6" s="34"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35" t="n"/>
      <c r="D6" s="34" t="inlineStr">
        <is>
          <t>จ่ายยา folic acid</t>
        </is>
      </c>
      <c r="E6" s="34" t="inlineStr">
        <is>
          <t>จ่ายยา vitamin B 12</t>
        </is>
      </c>
      <c r="F6" s="34" t="inlineStr">
        <is>
          <t>จ่ายยา ferrous gluconate</t>
        </is>
      </c>
      <c r="G6" s="34" t="inlineStr">
        <is>
          <t>แนะนำให้พาผู้ป่วยไปโรงพยาบาลทันที</t>
        </is>
      </c>
      <c r="H6" s="34" t="inlineStr">
        <is>
          <t>จ่ายยา ferrous sulfate และ folic acid</t>
        </is>
      </c>
      <c r="I6" s="33" t="inlineStr">
        <is>
          <t>4</t>
        </is>
      </c>
      <c r="J6" s="34" t="inlineStr">
        <is>
          <t>✅ คำตอบที่ถูกต้อง: ข้อ ง. แนะนำให้พาผู้ป่วยไปโรงพยาบาลทันที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35" t="n"/>
      <c r="L6" s="34" t="inlineStr">
        <is>
          <t>Anemia</t>
        </is>
      </c>
      <c r="M6" s="35" t="inlineStr">
        <is>
          <t>Clinic</t>
        </is>
      </c>
      <c r="N6" s="34" t="inlineStr">
        <is>
          <t>ข้อ 4 Pharma Plus เล่มม่วง (เฉลยข้อ ง)</t>
        </is>
      </c>
      <c r="O6" s="35" t="inlineStr">
        <is>
          <t>Mock</t>
        </is>
      </c>
      <c r="P6" s="35" t="inlineStr">
        <is>
          <t>Pharma Plus เล่มม่วง</t>
        </is>
      </c>
    </row>
    <row r="7" ht="13.2" customHeight="1" s="49">
      <c r="A7" s="33" t="n">
        <v>5</v>
      </c>
      <c r="B7" s="34" t="inlineStr">
        <is>
          <t>ในกรณีหากพ่อเด็กตัดสินใจนำผู้ป่วยไปตรวจที่รพ. พบว่าเป็น G6PD อาการซีดในผู้ป่วยจัดเป็นแบบใด</t>
        </is>
      </c>
      <c r="C7" s="35" t="n"/>
      <c r="D7" s="34" t="inlineStr">
        <is>
          <t>Aplastic anemia</t>
        </is>
      </c>
      <c r="E7" s="34" t="inlineStr">
        <is>
          <t>Hemolytic anemia</t>
        </is>
      </c>
      <c r="F7" s="34" t="inlineStr">
        <is>
          <t>Pernicious anemia</t>
        </is>
      </c>
      <c r="G7" s="34" t="inlineStr">
        <is>
          <t>Chronic renal failure</t>
        </is>
      </c>
      <c r="H7" s="34" t="inlineStr">
        <is>
          <t>Iron deficiency failure</t>
        </is>
      </c>
      <c r="I7" s="33" t="inlineStr">
        <is>
          <t>2</t>
        </is>
      </c>
      <c r="J7" s="34" t="inlineStr">
        <is>
          <t>✅ คำตอบที่ถูกต้อง: ข้อ ข. Hemolytic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35" t="n"/>
      <c r="L7" s="34" t="inlineStr">
        <is>
          <t>Anemia</t>
        </is>
      </c>
      <c r="M7" s="35" t="inlineStr">
        <is>
          <t>Clinic</t>
        </is>
      </c>
      <c r="N7" s="34" t="inlineStr">
        <is>
          <t>ข้อ 5 Pharma Plus เล่มม่วง (เฉลยข้อ ข)</t>
        </is>
      </c>
      <c r="O7" s="35" t="inlineStr">
        <is>
          <t>Mock</t>
        </is>
      </c>
      <c r="P7" s="35" t="inlineStr">
        <is>
          <t>Pharma Plus เล่มม่วง</t>
        </is>
      </c>
    </row>
    <row r="8" ht="13.2" customHeight="1" s="49">
      <c r="A8" s="33" t="n">
        <v>6</v>
      </c>
      <c r="B8" s="34" t="inlineStr">
        <is>
          <t>ข้อใดควรใช้ในการรักษาผู้ป่วยรายนี้ในโรงพยาบาล</t>
        </is>
      </c>
      <c r="C8" s="35" t="n"/>
      <c r="D8" s="34" t="inlineStr">
        <is>
          <t>Platelet</t>
        </is>
      </c>
      <c r="E8" s="34" t="inlineStr">
        <is>
          <t>Folic acid</t>
        </is>
      </c>
      <c r="F8" s="34" t="inlineStr">
        <is>
          <t>Vitamin B12</t>
        </is>
      </c>
      <c r="G8" s="34" t="inlineStr">
        <is>
          <t>Ferrous sulfate</t>
        </is>
      </c>
      <c r="H8" s="34" t="inlineStr">
        <is>
          <t>Packed red cell</t>
        </is>
      </c>
      <c r="I8" s="33" t="inlineStr">
        <is>
          <t>5</t>
        </is>
      </c>
      <c r="J8" s="34" t="inlineStr">
        <is>
          <t>✅ คำตอบที่ถูกต้อง: ข้อ จ. Packed red cell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35" t="n"/>
      <c r="L8" s="34" t="inlineStr">
        <is>
          <t>Anemia</t>
        </is>
      </c>
      <c r="M8" s="35" t="inlineStr">
        <is>
          <t>Clinic</t>
        </is>
      </c>
      <c r="N8" s="34" t="inlineStr">
        <is>
          <t>ข้อ 6 Pharma Plus เล่มม่วง (เฉลยข้อ จ)</t>
        </is>
      </c>
      <c r="O8" s="35" t="inlineStr">
        <is>
          <t>Mock</t>
        </is>
      </c>
      <c r="P8" s="35" t="inlineStr">
        <is>
          <t>Pharma Plus เล่มม่วง</t>
        </is>
      </c>
    </row>
    <row r="9" ht="13.2" customHeight="1" s="49">
      <c r="A9" s="33" t="n">
        <v>7</v>
      </c>
      <c r="B9" s="34" t="inlineStr">
        <is>
          <t>ปัจจัยใดที่น่าจะเป็นสาเหตุทำให้เกิดอาการซีดในคนไข้</t>
        </is>
      </c>
      <c r="C9" s="35" t="n"/>
      <c r="D9" s="34" t="inlineStr">
        <is>
          <t>Aspirin</t>
        </is>
      </c>
      <c r="E9" s="34" t="inlineStr">
        <is>
          <t>Vitamin C</t>
        </is>
      </c>
      <c r="F9" s="34" t="inlineStr">
        <is>
          <t>Amoxicillin</t>
        </is>
      </c>
      <c r="G9" s="34" t="inlineStr">
        <is>
          <t>Amitriptyline</t>
        </is>
      </c>
      <c r="H9" s="34" t="inlineStr">
        <is>
          <t>กินแต่เนื้อสัตว์ ไม่ชอบกินผัก</t>
        </is>
      </c>
      <c r="I9" s="33" t="inlineStr">
        <is>
          <t>1</t>
        </is>
      </c>
      <c r="J9" s="34" t="inlineStr">
        <is>
          <t>✅ คำตอบที่ถูกต้อง: ข้อ ก. Aspirin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35" t="n"/>
      <c r="L9" s="34" t="inlineStr">
        <is>
          <t>Anemia</t>
        </is>
      </c>
      <c r="M9" s="35" t="inlineStr">
        <is>
          <t>Clinic</t>
        </is>
      </c>
      <c r="N9" s="34" t="inlineStr">
        <is>
          <t>ข้อ 7 Pharma Plus เล่มม่วง (เฉลยข้อ ก)</t>
        </is>
      </c>
      <c r="O9" s="35" t="inlineStr">
        <is>
          <t>Mock</t>
        </is>
      </c>
      <c r="P9" s="35" t="inlineStr">
        <is>
          <t>Pharma Plus เล่มม่วง</t>
        </is>
      </c>
    </row>
    <row r="10" ht="13.2" customHeight="1" s="49">
      <c r="A10" s="33" t="n">
        <v>8</v>
      </c>
      <c r="B10" s="34" t="inlineStr">
        <is>
          <t>เมื่อเด็กชายคนนี้โตขึ้นและจะแต่งงานข้อใดถูก</t>
        </is>
      </c>
      <c r="C10" s="35" t="n"/>
      <c r="D10" s="34" t="inlineStr">
        <is>
          <t>แต่งงานกันได้แต่ไม่ควรมีลูก เพราะสามารถถ่ายทอดทางพันธุกรรมได้</t>
        </is>
      </c>
      <c r="E10" s="34" t="inlineStr">
        <is>
          <t>แต่งงานกันได้ และหากตั้งครรภ์เป็นลูกชายให้ทำแท้ง แต่ถ้าเป็นหญิงไม่เป็นไร</t>
        </is>
      </c>
      <c r="F10" s="34" t="inlineStr">
        <is>
          <t>แต่งงานกันได้ และหากตั้งครรภ์เป็นลูกผู้หญิงให้ทำแท้ง แต่ถ้าชายเป็นไม่เป็นไร</t>
        </is>
      </c>
      <c r="G10" s="34" t="inlineStr">
        <is>
          <t>ทุกคนเป็นโรคนี้เท่ากัน ไม่ว่าชายหรือหญิง</t>
        </is>
      </c>
      <c r="H10" s="34" t="inlineStr">
        <is>
          <t>แต่งไม่ได้ จะทำให้ไม่มีคุณภาพชีวิตมีความสุขไปตลอดชีวิต เป็นการทำบาป</t>
        </is>
      </c>
      <c r="I10" s="33" t="inlineStr">
        <is>
          <t>1</t>
        </is>
      </c>
      <c r="J10" s="34" t="inlineStr">
        <is>
          <t>✅ คำตอบที่ถูกต้อง: ข้อ ก. แต่งงานกันได้แต่ไม่ควรมีลูก เพราะสามารถถ่ายทอดทางพันธุกรรมได้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35" t="n"/>
      <c r="L10" s="34" t="inlineStr">
        <is>
          <t>Anemia</t>
        </is>
      </c>
      <c r="M10" s="35" t="inlineStr">
        <is>
          <t>Clinic</t>
        </is>
      </c>
      <c r="N10" s="34" t="inlineStr">
        <is>
          <t>ข้อ 8 Pharma Plus เล่มม่วง (เฉลยข้อ ก)</t>
        </is>
      </c>
      <c r="O10" s="35" t="inlineStr">
        <is>
          <t>Mock</t>
        </is>
      </c>
      <c r="P10" s="35" t="inlineStr">
        <is>
          <t>Pharma Plus เล่มม่วง</t>
        </is>
      </c>
    </row>
    <row r="11" ht="13.2" customHeight="1" s="49">
      <c r="A11" s="33" t="n">
        <v>9</v>
      </c>
      <c r="B11" s="34"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35" t="n"/>
      <c r="D11" s="34" t="inlineStr">
        <is>
          <t>เป็นผู้ชาย</t>
        </is>
      </c>
      <c r="E11" s="34" t="inlineStr">
        <is>
          <t>มีโปตาสเซียมสูง</t>
        </is>
      </c>
      <c r="F11" s="34" t="inlineStr">
        <is>
          <t>มีการติดเชื้อในทางเดินปัสสาวะ</t>
        </is>
      </c>
      <c r="G11" s="34" t="inlineStr">
        <is>
          <t>ได้รับยา co-trimoxazole</t>
        </is>
      </c>
      <c r="H11" s="34" t="inlineStr">
        <is>
          <t>ได้รับยา ranitidine</t>
        </is>
      </c>
      <c r="I11" s="33" t="inlineStr">
        <is>
          <t>5</t>
        </is>
      </c>
      <c r="J11" s="34"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35" t="n"/>
      <c r="L11" s="34" t="inlineStr">
        <is>
          <t>Anemia</t>
        </is>
      </c>
      <c r="M11" s="35" t="inlineStr">
        <is>
          <t>Clinic</t>
        </is>
      </c>
      <c r="N11" s="34" t="inlineStr">
        <is>
          <t>ข้อ 9 Pharma Plus เล่มม่วง (เฉลยข้อ จ)</t>
        </is>
      </c>
      <c r="O11" s="35" t="inlineStr">
        <is>
          <t>Mock</t>
        </is>
      </c>
      <c r="P11" s="35" t="inlineStr">
        <is>
          <t>Pharma Plus เล่มม่วง</t>
        </is>
      </c>
    </row>
    <row r="12" ht="13.2" customHeight="1" s="49">
      <c r="A12" s="33" t="n">
        <v>10</v>
      </c>
      <c r="B12" s="34"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35" t="n"/>
      <c r="D12" s="34" t="inlineStr">
        <is>
          <t>อาการเหนื่อยเพลีย</t>
        </is>
      </c>
      <c r="E12" s="34" t="inlineStr">
        <is>
          <t>ปัสสาวะมีสีคล้ำเหมือนสีน้ำปลา</t>
        </is>
      </c>
      <c r="F12" s="34" t="inlineStr">
        <is>
          <t>มีประวัติเป็นโรคกระเพาะอาหาร</t>
        </is>
      </c>
      <c r="G12" s="34" t="inlineStr">
        <is>
          <t>Hb 8 g/dL (normal; 12-16), Hct 22% (normal; 38-48)</t>
        </is>
      </c>
      <c r="H12" s="34" t="inlineStr">
        <is>
          <t>Total bilirubin 4 mg/L (normal; &lt;1)</t>
        </is>
      </c>
      <c r="I12" s="33" t="inlineStr">
        <is>
          <t>3</t>
        </is>
      </c>
      <c r="J12" s="34"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35" t="n"/>
      <c r="L12" s="34" t="inlineStr">
        <is>
          <t>Anemia</t>
        </is>
      </c>
      <c r="M12" s="35" t="inlineStr">
        <is>
          <t>Clinic</t>
        </is>
      </c>
      <c r="N12" s="34" t="inlineStr">
        <is>
          <t>ข้อ 10 Pharma Plus เล่มม่วง (เฉลยข้อ ค)</t>
        </is>
      </c>
      <c r="O12" s="35" t="inlineStr">
        <is>
          <t>Mock</t>
        </is>
      </c>
      <c r="P12" s="35" t="inlineStr">
        <is>
          <t>Pharma Plus เล่มม่วง</t>
        </is>
      </c>
    </row>
    <row r="13" ht="13.2" customHeight="1" s="49">
      <c r="A13" s="33" t="n">
        <v>11</v>
      </c>
      <c r="B13" s="34" t="inlineStr">
        <is>
          <t>ข้อใดไม่ถูกต้องในการเกิด G-6-PD Deficiency anemia</t>
        </is>
      </c>
      <c r="C13" s="35" t="n"/>
      <c r="D13" s="34" t="inlineStr">
        <is>
          <t>การติดเชื้อทำให้ร่างกายสร้างอนุมูลอิสระมากขึ้น</t>
        </is>
      </c>
      <c r="E13" s="34" t="inlineStr">
        <is>
          <t>มี oxidative stress สูงเนื่องจากมี H2O2 ภายในเซลล์</t>
        </is>
      </c>
      <c r="F13" s="34" t="inlineStr">
        <is>
          <t>H2O2 ทำให้เกิด Sulhydryl-hemoglobin ทำให้เม็ดเลือดแดงแตก</t>
        </is>
      </c>
      <c r="G13" s="34" t="inlineStr">
        <is>
          <t>ฮีโมโกลบินตกตะกอนในเม็ดเลือดแดง ทำให้ถูก macrophage ที่ม้ามจับกิน</t>
        </is>
      </c>
      <c r="H13" s="34" t="inlineStr">
        <is>
          <t>การขาดเอนไซม์ G-6-PD ทำให้ reduced glutathione เพิ่มขึ้น เกิดการแตกของเม็ดเลือดแดง</t>
        </is>
      </c>
      <c r="I13" s="33" t="inlineStr">
        <is>
          <t>3</t>
        </is>
      </c>
      <c r="J13" s="34" t="inlineStr">
        <is>
          <t>✅ คำตอบที่ถูกต้อง: ข้อ ค. H2O2 ทำให้เกิด Sulhydryl-hemoglobin ทำให้เม็ดเลือดแดงแตก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35" t="n"/>
      <c r="L13" s="34" t="inlineStr">
        <is>
          <t>Anemia</t>
        </is>
      </c>
      <c r="M13" s="35" t="inlineStr">
        <is>
          <t>Clinic</t>
        </is>
      </c>
      <c r="N13" s="34" t="inlineStr">
        <is>
          <t>ข้อ 11 Pharma Plus เล่มม่วง (เฉลยข้อ ค)</t>
        </is>
      </c>
      <c r="O13" s="35" t="inlineStr">
        <is>
          <t>Mock</t>
        </is>
      </c>
      <c r="P13" s="35" t="inlineStr">
        <is>
          <t>Pharma Plus เล่มม่วง</t>
        </is>
      </c>
    </row>
    <row r="14" ht="13.2" customHeight="1" s="49">
      <c r="A14" s="33" t="n">
        <v>12</v>
      </c>
      <c r="B14" s="34" t="inlineStr">
        <is>
          <t>ยาในข้อใดทำให้เกิดภาวะเม็ดเลือดแดงแตกเฉียบพลันในผู้ป่วย G-6-PD deficiency anemia</t>
        </is>
      </c>
      <c r="C14" s="35" t="n"/>
      <c r="D14" s="34" t="inlineStr">
        <is>
          <t>Heparin</t>
        </is>
      </c>
      <c r="E14" s="34" t="inlineStr">
        <is>
          <t>Primaquine</t>
        </is>
      </c>
      <c r="F14" s="34" t="inlineStr">
        <is>
          <t>Cloxacillin</t>
        </is>
      </c>
      <c r="G14" s="34" t="inlineStr">
        <is>
          <t>Warfarin</t>
        </is>
      </c>
      <c r="H14" s="34" t="inlineStr">
        <is>
          <t>Penicillin</t>
        </is>
      </c>
      <c r="I14" s="33" t="inlineStr">
        <is>
          <t>2</t>
        </is>
      </c>
      <c r="J14" s="34" t="inlineStr">
        <is>
          <t>✅ คำตอบที่ถูกต้อง: ข้อ ข. Primaquine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35" t="n"/>
      <c r="L14" s="34" t="inlineStr">
        <is>
          <t>Anemia</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การรักษาภาวะ acute anemia ในข้อใดเหมาะสมกับผู้ป่วยรายนี้</t>
        </is>
      </c>
      <c r="C15" s="35" t="n"/>
      <c r="D15" s="34" t="inlineStr">
        <is>
          <t>ให้เลือด</t>
        </is>
      </c>
      <c r="E15" s="34" t="inlineStr">
        <is>
          <t>Ferrous sulfate</t>
        </is>
      </c>
      <c r="F15" s="34" t="inlineStr">
        <is>
          <t>Ferrous sulfate ร่วมกับ Folic acid</t>
        </is>
      </c>
      <c r="G15" s="34" t="inlineStr">
        <is>
          <t>Vitamin B12</t>
        </is>
      </c>
      <c r="H15" s="34" t="inlineStr">
        <is>
          <t>Erythropoietin</t>
        </is>
      </c>
      <c r="I15" s="33" t="inlineStr">
        <is>
          <t>1</t>
        </is>
      </c>
      <c r="J15" s="34" t="inlineStr">
        <is>
          <t>✅ คำตอบที่ถูกต้อง: ข้อ ก. ให้เลือด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35" t="n"/>
      <c r="L15" s="34" t="inlineStr">
        <is>
          <t>Anemia</t>
        </is>
      </c>
      <c r="M15" s="35" t="inlineStr">
        <is>
          <t>Clinic</t>
        </is>
      </c>
      <c r="N15" s="34" t="inlineStr">
        <is>
          <t>ข้อ 13 Pharma Plus เล่มม่วง (เฉลยข้อ ก)</t>
        </is>
      </c>
      <c r="O15" s="35" t="inlineStr">
        <is>
          <t>Mock</t>
        </is>
      </c>
      <c r="P15" s="35" t="inlineStr">
        <is>
          <t>Pharma Plus เล่มม่วง</t>
        </is>
      </c>
    </row>
    <row r="16" ht="13.2" customHeight="1" s="49">
      <c r="A16" s="33" t="n">
        <v>14</v>
      </c>
      <c r="B16" s="34" t="inlineStr">
        <is>
          <t>ข้อใดผิดเกี่ยวกับการให้คำแนะนำที่ควรให้แก่ผู้ป่วยรายนี้</t>
        </is>
      </c>
      <c r="C16" s="35" t="n"/>
      <c r="D16" s="34" t="inlineStr">
        <is>
          <t>หลีกเลี่ยงการใช้ยาที่ทำให้เกิดเม็ดเลือดแดงแตก</t>
        </is>
      </c>
      <c r="E16" s="34" t="inlineStr">
        <is>
          <t>การติดเชื้อทำให้เม็ดเลือดแดงแตกได้</t>
        </is>
      </c>
      <c r="F16" s="34" t="inlineStr">
        <is>
          <t>ให้สังเกตอาการเม็ดเลือดแดงแตก ถ้าเกิดอีกให้รีบมาพบแพทย์</t>
        </is>
      </c>
      <c r="G16" s="34" t="inlineStr">
        <is>
          <t>หยุดใช้ยา ranitidine เพราะเป็นสาเหตุเม็ดเลือดแดงแตก</t>
        </is>
      </c>
      <c r="H16" s="34" t="inlineStr">
        <is>
          <t>รับประทานอาหารที่มีธาตุเหล็กเพื่อเสริมสร้างเม็ดเลือด</t>
        </is>
      </c>
      <c r="I16" s="33" t="inlineStr">
        <is>
          <t>4</t>
        </is>
      </c>
      <c r="J16" s="34" t="inlineStr">
        <is>
          <t>✅ คำตอบที่ถูกต้อง: ข้อ ง. หยุดใช้ยา ranitidine เพราะเป็นสาเหตุเม็ดเลือดแดงแตก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35" t="n"/>
      <c r="L16" s="34" t="inlineStr">
        <is>
          <t>Anemia</t>
        </is>
      </c>
      <c r="M16" s="35" t="inlineStr">
        <is>
          <t>Clinic</t>
        </is>
      </c>
      <c r="N16" s="34" t="inlineStr">
        <is>
          <t>ข้อ 14 Pharma Plus เล่มม่วง (เฉลยข้อ ง)</t>
        </is>
      </c>
      <c r="O16" s="35" t="inlineStr">
        <is>
          <t>Mock</t>
        </is>
      </c>
      <c r="P16" s="35" t="inlineStr">
        <is>
          <t>Pharma Plus เล่มม่วง</t>
        </is>
      </c>
    </row>
    <row r="17" ht="13.2" customHeight="1" s="49">
      <c r="A17" s="33" t="n">
        <v>15</v>
      </c>
      <c r="B17" s="34" t="inlineStr">
        <is>
          <t>ความเป็นพิษต่อระบบเลือดแบบใดที่ไม่มีสาเหตุจาก drug induce</t>
        </is>
      </c>
      <c r="C17" s="35" t="n"/>
      <c r="D17" s="34" t="inlineStr">
        <is>
          <t>Autoimmune-induced hemolysis</t>
        </is>
      </c>
      <c r="E17" s="34" t="inlineStr">
        <is>
          <t>Bone marrow suppression</t>
        </is>
      </c>
      <c r="F17" s="34" t="inlineStr">
        <is>
          <t>Methemoglobinemia</t>
        </is>
      </c>
      <c r="G17" s="34" t="inlineStr">
        <is>
          <t>Sickle cell anemia</t>
        </is>
      </c>
      <c r="H17" s="34" t="inlineStr">
        <is>
          <t>Hemolytic anemia</t>
        </is>
      </c>
      <c r="I17" s="33" t="inlineStr">
        <is>
          <t>4</t>
        </is>
      </c>
      <c r="J17" s="34" t="inlineStr">
        <is>
          <t>✅ คำตอบที่ถูกต้อง: ข้อ ง. Sickle cell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35" t="n"/>
      <c r="L17" s="34" t="inlineStr">
        <is>
          <t>Anemia</t>
        </is>
      </c>
      <c r="M17" s="35" t="inlineStr">
        <is>
          <t>Clinic</t>
        </is>
      </c>
      <c r="N17" s="34" t="inlineStr">
        <is>
          <t>ข้อ 15 Pharma Plus เล่มม่วง (เฉลยข้อ ง)</t>
        </is>
      </c>
      <c r="O17" s="35" t="inlineStr">
        <is>
          <t>Mock</t>
        </is>
      </c>
      <c r="P17" s="35" t="inlineStr">
        <is>
          <t>Pharma Plus เล่มม่วง</t>
        </is>
      </c>
    </row>
    <row r="18" ht="13.2" customHeight="1" s="49">
      <c r="A18" s="33" t="n">
        <v>16</v>
      </c>
      <c r="B18" s="34" t="inlineStr">
        <is>
          <t>ยาต่อไปนี้ตัวใดทำให้อุจจาระเป็นสีดำ</t>
        </is>
      </c>
      <c r="C18" s="35" t="n"/>
      <c r="D18" s="34" t="inlineStr">
        <is>
          <t>Folic acid</t>
        </is>
      </c>
      <c r="E18" s="34" t="inlineStr">
        <is>
          <t>Vitamin B12</t>
        </is>
      </c>
      <c r="F18" s="34" t="inlineStr">
        <is>
          <t>Dapsone</t>
        </is>
      </c>
      <c r="G18" s="34" t="inlineStr">
        <is>
          <t>Erythropoietin</t>
        </is>
      </c>
      <c r="H18" s="34" t="inlineStr">
        <is>
          <t>Ferrous sulfate</t>
        </is>
      </c>
      <c r="I18" s="33" t="inlineStr">
        <is>
          <t>5</t>
        </is>
      </c>
      <c r="J18" s="34" t="inlineStr">
        <is>
          <t>✅ คำตอบที่ถูกต้อง: ข้อ จ.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35" t="n"/>
      <c r="L18" s="34" t="inlineStr">
        <is>
          <t>Anemia</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จากข้อมูลข้างต้น ท่านต้องแนะนำการรับประทานยา ferrous sulfate ให้แก่ผู้ป่วยอย่างไร</t>
        </is>
      </c>
      <c r="C19" s="35" t="n"/>
      <c r="D19" s="34" t="inlineStr">
        <is>
          <t>ควรรับประทานร่วมกับนม เพื่อเพิ่มการดูดซึมของ ferrous</t>
        </is>
      </c>
      <c r="E19" s="34" t="inlineStr">
        <is>
          <t>ควรรับประทานขณะท้องว่างจะดีที่สุด เพื่อลดอาการคลื่นไส้ อาเจียนจากยา ferrous</t>
        </is>
      </c>
      <c r="F19" s="34" t="inlineStr">
        <is>
          <t>Ferrous มีผลรบกวนการดูดซึมของ ofloxacin จึงต้องกินยา ferrous sulfate ก่อนหรือหลังกินยา ofloxacin 2 ชั่วโมง</t>
        </is>
      </c>
      <c r="G19" s="34" t="inlineStr">
        <is>
          <t>อาการข้างเคียงที่สำคัญ คือ ท้องเสีย คลื่นไส้ อาเจียน ferrous stone</t>
        </is>
      </c>
      <c r="H19" s="34" t="inlineStr">
        <is>
          <t>สามารถทานยา ferrous sulfate ร่วมกับ tetracycline เพื่อเพิ่มการดูดซึม ferrous</t>
        </is>
      </c>
      <c r="I19" s="33" t="inlineStr">
        <is>
          <t>3</t>
        </is>
      </c>
      <c r="J19" s="34"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35" t="n"/>
      <c r="L19" s="34" t="inlineStr">
        <is>
          <t>Anemia</t>
        </is>
      </c>
      <c r="M19" s="35" t="inlineStr">
        <is>
          <t>Clinic</t>
        </is>
      </c>
      <c r="N19" s="34" t="inlineStr">
        <is>
          <t>ข้อ 17 Pharma Plus เล่มม่วง (เฉลยข้อ ค)</t>
        </is>
      </c>
      <c r="O19" s="35" t="inlineStr">
        <is>
          <t>Mock</t>
        </is>
      </c>
      <c r="P19" s="35" t="inlineStr">
        <is>
          <t>Pharma Plus เล่มม่วง</t>
        </is>
      </c>
    </row>
    <row r="20" ht="13.2" customHeight="1" s="49">
      <c r="A20" s="33" t="n">
        <v>18</v>
      </c>
      <c r="B20" s="34" t="inlineStr">
        <is>
          <t>จากข้อมูลข้างต้น ท่านควรแนะนำให้ผู้ป่วยเลี่ยงการใช้ยาในข้อใด เพื่อป้องกันการเกิด hemolytic anemia</t>
        </is>
      </c>
      <c r="C20" s="35" t="n"/>
      <c r="D20" s="34" t="inlineStr">
        <is>
          <t>Primaquine, Erythromycin</t>
        </is>
      </c>
      <c r="E20" s="34" t="inlineStr">
        <is>
          <t>Dapsone, Vitamin A</t>
        </is>
      </c>
      <c r="F20" s="34" t="inlineStr">
        <is>
          <t>Sulfasalazine, Erythromycin</t>
        </is>
      </c>
      <c r="G20" s="34" t="inlineStr">
        <is>
          <t>Dapsone, Penicillamine</t>
        </is>
      </c>
      <c r="H20" s="34" t="inlineStr">
        <is>
          <t>Sulfasalazine, Tetracycline</t>
        </is>
      </c>
      <c r="I20" s="33" t="inlineStr">
        <is>
          <t>4</t>
        </is>
      </c>
      <c r="J20" s="34" t="inlineStr">
        <is>
          <t>✅ คำตอบที่ถูกต้อง: ข้อ ง. Dapsone,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35" t="n"/>
      <c r="L20" s="34" t="inlineStr">
        <is>
          <t>Anemia</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35" t="n"/>
      <c r="D21" s="34" t="inlineStr">
        <is>
          <t>Iron deficiency</t>
        </is>
      </c>
      <c r="E21" s="34" t="inlineStr">
        <is>
          <t>Uremia</t>
        </is>
      </c>
      <c r="F21" s="34" t="inlineStr">
        <is>
          <t>Liver steatosis</t>
        </is>
      </c>
      <c r="G21" s="34" t="inlineStr">
        <is>
          <t>Peripheral neuropathy</t>
        </is>
      </c>
      <c r="H21" s="34" t="inlineStr">
        <is>
          <t>Enlarged spleen</t>
        </is>
      </c>
      <c r="I21" s="33" t="inlineStr">
        <is>
          <t>5</t>
        </is>
      </c>
      <c r="J21" s="34" t="inlineStr">
        <is>
          <t>✅ คำตอบที่ถูกต้อง: ข้อ จ. Enlarged spleen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35" t="n"/>
      <c r="L21" s="34" t="inlineStr">
        <is>
          <t>Anemia</t>
        </is>
      </c>
      <c r="M21" s="35" t="inlineStr">
        <is>
          <t>Clinic</t>
        </is>
      </c>
      <c r="N21" s="34" t="inlineStr">
        <is>
          <t>ข้อ 19 Pharma Plus เล่มม่วง (เฉลยข้อ จ)</t>
        </is>
      </c>
      <c r="O21" s="35" t="inlineStr">
        <is>
          <t>Mock</t>
        </is>
      </c>
      <c r="P21" s="35" t="inlineStr">
        <is>
          <t>Pharma Plus เล่มม่วง</t>
        </is>
      </c>
    </row>
    <row r="22" ht="13.2" customHeight="1" s="49">
      <c r="A22" s="33" t="n">
        <v>20</v>
      </c>
      <c r="B22" s="34"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35" t="n"/>
      <c r="D22" s="34" t="inlineStr">
        <is>
          <t>ธาลัสซีเมียเป็นโรคพันธุกรรม ที่เกิดจากเม็ดเลือดแดงถูกทำลายได้ง่ายเนื่องจากการขาดเอนไซม์บางชนิด</t>
        </is>
      </c>
      <c r="E22" s="34" t="inlineStr">
        <is>
          <t>ธาลัสซีเมียเป็นโรคพันธุกรรม ที่มีระดับเหล็กในเลือดสูงเนื่องจากการแตกของเม็ดเลือดแดง</t>
        </is>
      </c>
      <c r="F22" s="34" t="inlineStr">
        <is>
          <t>ธาลัสซีเมียเป็นโรคพันธุกรรมที่เม็ดเลือดแดงมีโครงสร้างผิดปกติคล้ายรูปเสี้ยวพระจันทร์ ทำให้แตกง่าย</t>
        </is>
      </c>
      <c r="G22" s="34" t="inlineStr">
        <is>
          <t>ธาลัสซีเมียเป็นโรคที่เกิดจากความผิดปกติของระบบภูมิคุ้มกันที่เม็ดเลือดแดงถูกทำลายได้ง่าย</t>
        </is>
      </c>
      <c r="H22" s="34" t="inlineStr">
        <is>
          <t>ธาลัสซีเมียเป็นโรคโลหิตจาง ที่เกิดจากการขาดวิตามินที่ช่วยในการคงสภาพของเม็ดเลือดแดง</t>
        </is>
      </c>
      <c r="I22" s="33" t="inlineStr">
        <is>
          <t>2</t>
        </is>
      </c>
      <c r="J22" s="34"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35" t="n"/>
      <c r="L22" s="34" t="inlineStr">
        <is>
          <t>Anemia</t>
        </is>
      </c>
      <c r="M22" s="35" t="inlineStr">
        <is>
          <t>Clinic</t>
        </is>
      </c>
      <c r="N22" s="34" t="inlineStr">
        <is>
          <t>ข้อ 20 Pharma Plus เล่มม่วง (เฉลยข้อ ข)</t>
        </is>
      </c>
      <c r="O22" s="35" t="inlineStr">
        <is>
          <t>Mock</t>
        </is>
      </c>
      <c r="P22" s="35" t="inlineStr">
        <is>
          <t>Pharma Plus เล่มม่วง</t>
        </is>
      </c>
    </row>
    <row r="23" ht="13.2" customHeight="1" s="49">
      <c r="A23" s="33" t="n">
        <v>21</v>
      </c>
      <c r="B23" s="34"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35" t="n"/>
      <c r="D23" s="34" t="inlineStr">
        <is>
          <t>[NEED_REVIEW]</t>
        </is>
      </c>
      <c r="E23" s="34" t="inlineStr">
        <is>
          <t>สามารถรับประทานได้ เนื่องจากมีวิตามินและสารอาหารที่สำคัญที่ช่วยบำรุงโลหิตลดอาการโลหิตจาง</t>
        </is>
      </c>
      <c r="F23" s="34" t="inlineStr">
        <is>
          <t>สามารถรับประทานได้เฉพาะเมื่อผู้ป่วยกำลังอยู่ในระหว่างการรักษาโรคธาลัสซีเมียจากแพทย์</t>
        </is>
      </c>
      <c r="G23" s="34" t="inlineStr">
        <is>
          <t>ไม่ควรรับประทาน เนื่องจากมีส่วนผสมของธาตุเหล็ก</t>
        </is>
      </c>
      <c r="H23" s="34" t="inlineStr">
        <is>
          <t>ไม่ควรรับประทาน เนื่องจากมีส่วนประกอบที่เกิด drug interaction กับยาที่ใช้รักษาประจำ</t>
        </is>
      </c>
      <c r="I23" s="33" t="inlineStr">
        <is>
          <t>4</t>
        </is>
      </c>
      <c r="J23" s="34" t="inlineStr">
        <is>
          <t>✅ คำตอบที่ถูกต้อง: ข้อ ง. ไม่ควรรับประทาน เนื่องจากมีส่วนผสมของธาตุเหล็ก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35" t="n"/>
      <c r="L23" s="34" t="inlineStr">
        <is>
          <t>Anemia</t>
        </is>
      </c>
      <c r="M23" s="35" t="inlineStr">
        <is>
          <t>Clinic</t>
        </is>
      </c>
      <c r="N23" s="34" t="inlineStr">
        <is>
          <t>ข้อ 21 Pharma Plus เล่มม่วง (เฉลยข้อ ง)</t>
        </is>
      </c>
      <c r="O23" s="35" t="inlineStr">
        <is>
          <t>Mock</t>
        </is>
      </c>
      <c r="P23" s="35" t="inlineStr">
        <is>
          <t>Pharma Plus เล่มม่วง</t>
        </is>
      </c>
    </row>
    <row r="24" ht="13.2" customHeight="1" s="49">
      <c r="A24" s="33" t="n">
        <v>22</v>
      </c>
      <c r="B24" s="34" t="inlineStr">
        <is>
          <t>เภสัชกรแนะนำให้ผู้ป่วยระมัดระวังการใช้ยาตัวใดเป็นพิเศษ</t>
        </is>
      </c>
      <c r="C24" s="35" t="n"/>
      <c r="D24" s="34" t="inlineStr">
        <is>
          <t>FBC</t>
        </is>
      </c>
      <c r="E24" s="34" t="inlineStr">
        <is>
          <t>Aminoglycosides</t>
        </is>
      </c>
      <c r="F24" s="34" t="inlineStr">
        <is>
          <t>Paracetamol</t>
        </is>
      </c>
      <c r="G24" s="34" t="inlineStr">
        <is>
          <t>Vitamin C</t>
        </is>
      </c>
      <c r="H24" s="34" t="inlineStr">
        <is>
          <t>Calcium supplements</t>
        </is>
      </c>
      <c r="I24" s="33" t="inlineStr">
        <is>
          <t>1</t>
        </is>
      </c>
      <c r="J24" s="34" t="inlineStr">
        <is>
          <t>✅ คำตอบที่ถูกต้อง: ข้อ ก. FBC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35" t="n"/>
      <c r="L24" s="34" t="inlineStr">
        <is>
          <t>Anemia</t>
        </is>
      </c>
      <c r="M24" s="35" t="inlineStr">
        <is>
          <t>Clinic</t>
        </is>
      </c>
      <c r="N24" s="34" t="inlineStr">
        <is>
          <t>ข้อ 22 Pharma Plus เล่มม่วง (เฉลยข้อ ก)</t>
        </is>
      </c>
      <c r="O24" s="35" t="inlineStr">
        <is>
          <t>Mock</t>
        </is>
      </c>
      <c r="P24" s="35" t="inlineStr">
        <is>
          <t>Pharma Plus เล่มม่วง</t>
        </is>
      </c>
    </row>
    <row r="25" ht="13.2" customHeight="1" s="49">
      <c r="A25" s="33" t="n">
        <v>23</v>
      </c>
      <c r="B25" s="34" t="inlineStr">
        <is>
          <t>ข้อแนะนำสำหรับวิธีการรักษาโรคธาลัสซีเมีย นอกเหนือจากการใช้ยารับประทาน</t>
        </is>
      </c>
      <c r="C25" s="35" t="n"/>
      <c r="D25" s="34" t="inlineStr">
        <is>
          <t>ผู้ป่วยไม่ควรได้รับเลือดอย่างเด็ดขาด เนื่องจากมีโอกาสเกิด agglutination ของเม็ดเลือดแดงสูงกว่าปกติ</t>
        </is>
      </c>
      <c r="E25" s="34" t="inlineStr">
        <is>
          <t>ผู้ป่วยไม่ควรได้รับเลือดอย่างเด็ดขาด เนื่องจากมีความเสี่ยงต่อการติดเชื้อ</t>
        </is>
      </c>
      <c r="F25" s="34" t="inlineStr">
        <is>
          <t>ผู้ป่วยควรได้รับเลือด เพื่อช่วยเพิ่มปริมาณเม็ดเลือดแดง</t>
        </is>
      </c>
      <c r="G25" s="34" t="inlineStr">
        <is>
          <t>ผู้ป่วยควรออกกำลังกายสม่ำเสมอ เพื่อช่วยเพิ่มการสร้างเม็ดเลือดแดง</t>
        </is>
      </c>
      <c r="H25" s="34" t="inlineStr">
        <is>
          <t>ผู้ป่วยควรได้รับ erythropoietin เพื่อเร่งการสร้างเม็ดเลือดแดง</t>
        </is>
      </c>
      <c r="I25" s="33" t="inlineStr">
        <is>
          <t>3</t>
        </is>
      </c>
      <c r="J25" s="34" t="inlineStr">
        <is>
          <t>✅ คำตอบที่ถูกต้อง: ข้อ ค. ผู้ป่วยควรได้รับเลือด เพื่อช่วยเพิ่มปริมาณเม็ดเลือดแดง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35" t="n"/>
      <c r="L25" s="34" t="inlineStr">
        <is>
          <t>Anemia</t>
        </is>
      </c>
      <c r="M25" s="35" t="inlineStr">
        <is>
          <t>Clinic</t>
        </is>
      </c>
      <c r="N25" s="34" t="inlineStr">
        <is>
          <t>ข้อ 23 Pharma Plus เล่มม่วง (เฉลยข้อ ค)</t>
        </is>
      </c>
      <c r="O25" s="35" t="inlineStr">
        <is>
          <t>Mock</t>
        </is>
      </c>
      <c r="P25" s="35" t="inlineStr">
        <is>
          <t>Pharma Plus เล่มม่วง</t>
        </is>
      </c>
    </row>
    <row r="26" ht="13.2" customHeight="1" s="49">
      <c r="A26" s="33" t="n">
        <v>24</v>
      </c>
      <c r="B26" s="34" t="inlineStr">
        <is>
          <t>สถานการณ์ที่ 6 ผู้ป่วย CKD with IDA with DM with HTN อายุ 60 ปี หนัก 60 กิโลกรัม Scr = 2.5 mg/dl
ภาวะ Anemia ในผู้ป่วยรายนี้ ควรแก้ไขอย่างไร</t>
        </is>
      </c>
      <c r="C26" s="35" t="n"/>
      <c r="D26" s="34" t="inlineStr">
        <is>
          <t>EPO</t>
        </is>
      </c>
      <c r="E26" s="34" t="inlineStr">
        <is>
          <t>Fresh Frozen Plasma</t>
        </is>
      </c>
      <c r="F26" s="34" t="inlineStr">
        <is>
          <t>Platelet concentrates</t>
        </is>
      </c>
      <c r="G26" s="34" t="inlineStr">
        <is>
          <t>Whole blood</t>
        </is>
      </c>
      <c r="H26" s="34" t="inlineStr">
        <is>
          <t>Leukocyte poor blood</t>
        </is>
      </c>
      <c r="I26" s="33" t="inlineStr">
        <is>
          <t>1</t>
        </is>
      </c>
      <c r="J26" s="34"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35" t="n"/>
      <c r="L26" s="34" t="inlineStr">
        <is>
          <t>Anemia</t>
        </is>
      </c>
      <c r="M26" s="35" t="inlineStr">
        <is>
          <t>Clinic</t>
        </is>
      </c>
      <c r="N26" s="34" t="inlineStr">
        <is>
          <t>ข้อ 24 Pharma Plus เล่มม่วง (เฉลยข้อ ก)</t>
        </is>
      </c>
      <c r="O26" s="35" t="inlineStr">
        <is>
          <t>Mock</t>
        </is>
      </c>
      <c r="P26" s="35" t="inlineStr">
        <is>
          <t>Pharma Plus เล่มม่วง</t>
        </is>
      </c>
    </row>
    <row r="27" ht="13.2" customHeight="1" s="49">
      <c r="A27" s="33" t="n">
        <v>25</v>
      </c>
      <c r="B27" s="34"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35" t="n"/>
      <c r="D27" s="34" t="inlineStr">
        <is>
          <t>Folate deficiency anemia</t>
        </is>
      </c>
      <c r="E27" s="34" t="inlineStr">
        <is>
          <t>Thalassemia</t>
        </is>
      </c>
      <c r="F27" s="34" t="inlineStr">
        <is>
          <t>Vitamin B6 deficiency anemia</t>
        </is>
      </c>
      <c r="G27" s="34" t="inlineStr">
        <is>
          <t>Vitamin B12 deficiency anemia</t>
        </is>
      </c>
      <c r="H27" s="34" t="inlineStr">
        <is>
          <t>Iron deficiency anemia</t>
        </is>
      </c>
      <c r="I27" s="33" t="inlineStr">
        <is>
          <t>5</t>
        </is>
      </c>
      <c r="J27" s="34" t="inlineStr">
        <is>
          <t>✅ คำตอบที่ถูกต้อง: ข้อ จ. Iron deficiency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35" t="n"/>
      <c r="L27" s="34" t="inlineStr">
        <is>
          <t>Anemia</t>
        </is>
      </c>
      <c r="M27" s="35" t="inlineStr">
        <is>
          <t>Clinic</t>
        </is>
      </c>
      <c r="N27" s="34" t="inlineStr">
        <is>
          <t>ข้อ 25 Pharma Plus เล่มม่วง (เฉลยข้อ จ)</t>
        </is>
      </c>
      <c r="O27" s="35" t="inlineStr">
        <is>
          <t>Mock</t>
        </is>
      </c>
      <c r="P27" s="35" t="inlineStr">
        <is>
          <t>Pharma Plus เล่มม่วง</t>
        </is>
      </c>
    </row>
    <row r="28" ht="13.2" customHeight="1" s="49">
      <c r="A28" s="33" t="n">
        <v>26</v>
      </c>
      <c r="B28" s="34" t="inlineStr">
        <is>
          <t>ผู้ป่วยรายนี้ ควรได้รับยาใด</t>
        </is>
      </c>
      <c r="C28" s="35" t="n"/>
      <c r="D28" s="34" t="inlineStr">
        <is>
          <t>Ferrous sulfate</t>
        </is>
      </c>
      <c r="E28" s="34" t="inlineStr">
        <is>
          <t>Folic acid</t>
        </is>
      </c>
      <c r="F28" s="34" t="inlineStr">
        <is>
          <t>Cobalamine</t>
        </is>
      </c>
      <c r="G28" s="34" t="inlineStr">
        <is>
          <t>Pyridoxine</t>
        </is>
      </c>
      <c r="H28" s="34" t="inlineStr">
        <is>
          <t>Deferoxamine</t>
        </is>
      </c>
      <c r="I28" s="33" t="inlineStr">
        <is>
          <t>1</t>
        </is>
      </c>
      <c r="J28" s="34" t="inlineStr">
        <is>
          <t>✅ คำตอบที่ถูกต้อง: ข้อ ก.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35" t="n"/>
      <c r="L28" s="34" t="inlineStr">
        <is>
          <t>Anemia</t>
        </is>
      </c>
      <c r="M28" s="35" t="inlineStr">
        <is>
          <t>Clinic</t>
        </is>
      </c>
      <c r="N28" s="34" t="inlineStr">
        <is>
          <t>ข้อ 26 Pharma Plus เล่มม่วง (เฉลยข้อ ก)</t>
        </is>
      </c>
      <c r="O28" s="35" t="inlineStr">
        <is>
          <t>Mock</t>
        </is>
      </c>
      <c r="P28" s="35" t="inlineStr">
        <is>
          <t>Pharma Plus เล่มม่วง</t>
        </is>
      </c>
    </row>
    <row r="29" ht="13.2" customHeight="1" s="49">
      <c r="A29" s="33" t="n">
        <v>27</v>
      </c>
      <c r="B29" s="34" t="inlineStr">
        <is>
          <t>โรคใดต่อไปนี้ ห้ามใช้ยาเสริมธาตุเหล็กโดยเด็ดขาด</t>
        </is>
      </c>
      <c r="C29" s="35" t="n"/>
      <c r="D29" s="34" t="inlineStr">
        <is>
          <t>Folate deficiency anemia</t>
        </is>
      </c>
      <c r="E29" s="34" t="inlineStr">
        <is>
          <t>Thalassemia</t>
        </is>
      </c>
      <c r="F29" s="34" t="inlineStr">
        <is>
          <t>Osteoporosis</t>
        </is>
      </c>
      <c r="G29" s="34" t="inlineStr">
        <is>
          <t>Peptic ulcer</t>
        </is>
      </c>
      <c r="H29" s="34" t="inlineStr">
        <is>
          <t>Iron deficiency anemia</t>
        </is>
      </c>
      <c r="I29" s="33" t="inlineStr">
        <is>
          <t>2</t>
        </is>
      </c>
      <c r="J29" s="34" t="inlineStr">
        <is>
          <t>✅ คำตอบที่ถูกต้อง: ข้อ ข.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35" t="n"/>
      <c r="L29" s="34" t="inlineStr">
        <is>
          <t>Anemia</t>
        </is>
      </c>
      <c r="M29" s="35" t="inlineStr">
        <is>
          <t>Clinic</t>
        </is>
      </c>
      <c r="N29" s="34" t="inlineStr">
        <is>
          <t>ข้อ 27 Pharma Plus เล่มม่วง (เฉลยข้อ ข)</t>
        </is>
      </c>
      <c r="O29" s="35" t="inlineStr">
        <is>
          <t>Mock</t>
        </is>
      </c>
      <c r="P29" s="35" t="inlineStr">
        <is>
          <t>Pharma Plus เล่มม่วง</t>
        </is>
      </c>
    </row>
    <row r="30" ht="13.2" customHeight="1" s="49">
      <c r="A30" s="33" t="n">
        <v>28</v>
      </c>
      <c r="B30" s="34" t="inlineStr">
        <is>
          <t>ข้อใดไม่ใช่ผลข้างเคียงหลักจากการใช้ยาเสริมธาตุเหล็ก</t>
        </is>
      </c>
      <c r="C30" s="35" t="n"/>
      <c r="D30" s="34" t="inlineStr">
        <is>
          <t>อุจจาระดำ</t>
        </is>
      </c>
      <c r="E30" s="34" t="inlineStr">
        <is>
          <t>ท้องเสีย</t>
        </is>
      </c>
      <c r="F30" s="34" t="inlineStr">
        <is>
          <t>ท้องผูก</t>
        </is>
      </c>
      <c r="G30" s="34" t="inlineStr">
        <is>
          <t>คลื่นไส้ อาเจียน</t>
        </is>
      </c>
      <c r="H30" s="34" t="inlineStr">
        <is>
          <t>ตับอักเสบ</t>
        </is>
      </c>
      <c r="I30" s="33" t="inlineStr">
        <is>
          <t>5</t>
        </is>
      </c>
      <c r="J30" s="34" t="inlineStr">
        <is>
          <t>✅ คำตอบที่ถูกต้อง: ข้อ จ. ตับอักเสบ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35" t="n"/>
      <c r="L30" s="34" t="inlineStr">
        <is>
          <t>Anemia</t>
        </is>
      </c>
      <c r="M30" s="35" t="inlineStr">
        <is>
          <t>Clinic</t>
        </is>
      </c>
      <c r="N30" s="34" t="inlineStr">
        <is>
          <t>ข้อ 28 Pharma Plus เล่มม่วง (เฉลยข้อ จ)</t>
        </is>
      </c>
      <c r="O30" s="35" t="inlineStr">
        <is>
          <t>Mock</t>
        </is>
      </c>
      <c r="P30" s="35" t="inlineStr">
        <is>
          <t>Pharma Plus เล่มม่วง</t>
        </is>
      </c>
    </row>
    <row r="31" ht="13.2" customHeight="1" s="49">
      <c r="A31" s="33" t="n">
        <v>29</v>
      </c>
      <c r="B31" s="34" t="inlineStr">
        <is>
          <t>ข้อใดต่อไปนี้ เพิ่มการดูดซึมธาตุเหล็ก</t>
        </is>
      </c>
      <c r="C31" s="35" t="n"/>
      <c r="D31" s="34" t="inlineStr">
        <is>
          <t>Tetracycline</t>
        </is>
      </c>
      <c r="E31" s="34" t="inlineStr">
        <is>
          <t>Folic acid</t>
        </is>
      </c>
      <c r="F31" s="34" t="inlineStr">
        <is>
          <t>Vitamin B12</t>
        </is>
      </c>
      <c r="G31" s="34" t="inlineStr">
        <is>
          <t>Vitamin C</t>
        </is>
      </c>
      <c r="H31" s="34" t="inlineStr">
        <is>
          <t>Omeprazole</t>
        </is>
      </c>
      <c r="I31" s="33" t="inlineStr">
        <is>
          <t>4</t>
        </is>
      </c>
      <c r="J31" s="34" t="inlineStr">
        <is>
          <t>✅ คำตอบที่ถูกต้อง: ข้อ ง. Vitamin 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35" t="n"/>
      <c r="L31" s="34" t="inlineStr">
        <is>
          <t>Anemia</t>
        </is>
      </c>
      <c r="M31" s="35" t="inlineStr">
        <is>
          <t>Clinic</t>
        </is>
      </c>
      <c r="N31" s="34" t="inlineStr">
        <is>
          <t>ข้อ 29 Pharma Plus เล่มม่วง (เฉลยข้อ ง)</t>
        </is>
      </c>
      <c r="O31" s="35" t="inlineStr">
        <is>
          <t>Mock</t>
        </is>
      </c>
      <c r="P31" s="35" t="inlineStr">
        <is>
          <t>Pharma Plus เล่มม่วง</t>
        </is>
      </c>
    </row>
    <row r="32" ht="13.2" customHeight="1" s="49">
      <c r="A32" s="33" t="n">
        <v>30</v>
      </c>
      <c r="B32" s="34" t="inlineStr">
        <is>
          <t>ยาเพิ่มธาตุเหล็กในข้อต่อไปนี้ มีปริมาณเหล็กมากที่สุด</t>
        </is>
      </c>
      <c r="C32" s="35" t="n"/>
      <c r="D32" s="34" t="inlineStr">
        <is>
          <t>Ferrous fumarate</t>
        </is>
      </c>
      <c r="E32" s="34" t="inlineStr">
        <is>
          <t>Ferrous gluconate</t>
        </is>
      </c>
      <c r="F32" s="34" t="inlineStr">
        <is>
          <t>Ferrous citrate</t>
        </is>
      </c>
      <c r="G32" s="34" t="inlineStr">
        <is>
          <t>Ferrous sulfate. 7H2O</t>
        </is>
      </c>
      <c r="H32" s="34" t="inlineStr">
        <is>
          <t>Anhydrous ferrous sulfate</t>
        </is>
      </c>
      <c r="I32" s="33" t="inlineStr">
        <is>
          <t>1</t>
        </is>
      </c>
      <c r="J32" s="34"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35" t="n"/>
      <c r="L32" s="34" t="inlineStr">
        <is>
          <t>Anemia</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35" t="n"/>
      <c r="D33" s="34" t="inlineStr">
        <is>
          <t>ติดสีจางกว่าปกติ</t>
        </is>
      </c>
      <c r="E33" s="34" t="inlineStr">
        <is>
          <t>ติดสีเข้มกว่าปกติ</t>
        </is>
      </c>
      <c r="F33" s="34" t="inlineStr">
        <is>
          <t>มีลักษณะโตกว่าปกติ</t>
        </is>
      </c>
      <c r="G33" s="34" t="inlineStr">
        <is>
          <t>รูปร่างบิดเบี้ยวไม่แน่นอน</t>
        </is>
      </c>
      <c r="H33" s="34" t="inlineStr">
        <is>
          <t>พบเศษของเม็ดเลือดแดงที่แตก</t>
        </is>
      </c>
      <c r="I33" s="33" t="inlineStr">
        <is>
          <t>5</t>
        </is>
      </c>
      <c r="J33" s="34" t="inlineStr">
        <is>
          <t>✅ คำตอบที่ถูกต้อง: ข้อ จ. พบเศษของเม็ดเลือดแดงที่แตก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35" t="n"/>
      <c r="L33" s="34" t="inlineStr">
        <is>
          <t>Anemia</t>
        </is>
      </c>
      <c r="M33" s="35" t="inlineStr">
        <is>
          <t>Clinic</t>
        </is>
      </c>
      <c r="N33" s="34" t="inlineStr">
        <is>
          <t>ข้อ 31 Pharma Plus เล่มม่วง (เฉลยข้อ จ)</t>
        </is>
      </c>
      <c r="O33" s="35" t="inlineStr">
        <is>
          <t>Mock</t>
        </is>
      </c>
      <c r="P33" s="35" t="inlineStr">
        <is>
          <t>Pharma Plus เล่มม่วง</t>
        </is>
      </c>
    </row>
    <row r="34" ht="13.2" customHeight="1" s="49">
      <c r="A34" s="33" t="n">
        <v>32</v>
      </c>
      <c r="B34" s="34" t="inlineStr">
        <is>
          <t>G6PD มีบทบาทต่อเม็ดเลือดแดงอย่างไร</t>
        </is>
      </c>
      <c r="C34" s="35" t="n"/>
      <c r="D34" s="34" t="inlineStr">
        <is>
          <t>เปลี่ยนกลูโคสเป็นพลังงาน</t>
        </is>
      </c>
      <c r="E34" s="34" t="inlineStr">
        <is>
          <t>ป้องกันการเปลี่ยน Hgb เป็น methemoglobin</t>
        </is>
      </c>
      <c r="F34" s="34" t="inlineStr">
        <is>
          <t>คงสภาพของโครงสร้าง globin</t>
        </is>
      </c>
      <c r="G34" s="34" t="inlineStr">
        <is>
          <t>ทำให้ globin จับกับ tetraglobin</t>
        </is>
      </c>
      <c r="H34" s="34" t="inlineStr">
        <is>
          <t>ทำให้ ferrous จับกับ Hgb ได้</t>
        </is>
      </c>
      <c r="I34" s="33" t="inlineStr">
        <is>
          <t>1</t>
        </is>
      </c>
      <c r="J34" s="34" t="inlineStr">
        <is>
          <t>✅ คำตอบที่ถูกต้อง: ข้อ ก. เปลี่ยนกลูโคสเป็นพลังงาน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35" t="n"/>
      <c r="L34" s="34" t="inlineStr">
        <is>
          <t>Anemia</t>
        </is>
      </c>
      <c r="M34" s="35" t="inlineStr">
        <is>
          <t>Clinic</t>
        </is>
      </c>
      <c r="N34" s="34" t="inlineStr">
        <is>
          <t>ข้อ 32 Pharma Plus เล่มม่วง (เฉลยข้อ ก)</t>
        </is>
      </c>
      <c r="O34" s="35" t="inlineStr">
        <is>
          <t>Mock</t>
        </is>
      </c>
      <c r="P34" s="35" t="inlineStr">
        <is>
          <t>Pharma Plus เล่มม่วง</t>
        </is>
      </c>
    </row>
    <row r="35" ht="13.2" customHeight="1" s="49">
      <c r="A35" s="33" t="n">
        <v>33</v>
      </c>
      <c r="B35" s="34"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35" t="n"/>
      <c r="D35" s="34" t="inlineStr">
        <is>
          <t>ตั้งครรภ์</t>
        </is>
      </c>
      <c r="E35" s="34" t="inlineStr">
        <is>
          <t>ขาดสารอาหาร</t>
        </is>
      </c>
      <c r="F35" s="34" t="inlineStr">
        <is>
          <t>โรคริชสีดวง</t>
        </is>
      </c>
      <c r="G35" s="34" t="inlineStr">
        <is>
          <t>โรคกระเพาะอาหาร</t>
        </is>
      </c>
      <c r="H35" s="34" t="inlineStr">
        <is>
          <t>กรรมพันธุ์</t>
        </is>
      </c>
      <c r="I35" s="33" t="inlineStr">
        <is>
          <t>5</t>
        </is>
      </c>
      <c r="J35" s="34" t="inlineStr">
        <is>
          <t>✅ คำตอบที่ถูกต้อง: ข้อ จ. กรรมพันธุ์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35" t="n"/>
      <c r="L35" s="34" t="inlineStr">
        <is>
          <t>Anemia</t>
        </is>
      </c>
      <c r="M35" s="35" t="inlineStr">
        <is>
          <t>Clinic</t>
        </is>
      </c>
      <c r="N35" s="34" t="inlineStr">
        <is>
          <t>ข้อ 33 Pharma Plus เล่มม่วง (เฉลยข้อ จ)</t>
        </is>
      </c>
      <c r="O35" s="35" t="inlineStr">
        <is>
          <t>Mock</t>
        </is>
      </c>
      <c r="P35" s="35" t="inlineStr">
        <is>
          <t>Pharma Plus เล่มม่วง</t>
        </is>
      </c>
    </row>
    <row r="36" ht="13.2" customHeight="1" s="49">
      <c r="A36" s="33" t="n">
        <v>34</v>
      </c>
      <c r="B36" s="34" t="inlineStr">
        <is>
          <t>ลักษณะของเม็ดเลือดเป็นอย่างไร</t>
        </is>
      </c>
      <c r="C36" s="35" t="n"/>
      <c r="D36" s="34" t="inlineStr">
        <is>
          <t>เม็ดเลือดแดงติดสีเข้มและมีขนาดเล็ก</t>
        </is>
      </c>
      <c r="E36" s="34" t="inlineStr">
        <is>
          <t>เม็ดเลือดแดงติดสีจางและมีขนาดเล็ก</t>
        </is>
      </c>
      <c r="F36" s="34" t="inlineStr">
        <is>
          <t>เม็ดเลือดแดงติดสีจางและมีขนาดใหญ่</t>
        </is>
      </c>
      <c r="G36" s="34" t="inlineStr">
        <is>
          <t>เม็ดเลือดแดงติดสีเข้มและมีขนาดใหญ่</t>
        </is>
      </c>
      <c r="H36" s="34" t="inlineStr">
        <is>
          <t>เม็ดเลือดแดงติดสีเข้มและมีขนาดปกติ</t>
        </is>
      </c>
      <c r="I36" s="33" t="inlineStr">
        <is>
          <t>2</t>
        </is>
      </c>
      <c r="J36" s="34" t="inlineStr">
        <is>
          <t>✅ คำตอบที่ถูกต้อง: ข้อ ข. เม็ดเลือดแดงติดสีจางและมีขนาดเล็ก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35" t="n"/>
      <c r="L36" s="34" t="inlineStr">
        <is>
          <t>Anemia</t>
        </is>
      </c>
      <c r="M36" s="35" t="inlineStr">
        <is>
          <t>Clinic</t>
        </is>
      </c>
      <c r="N36" s="34" t="inlineStr">
        <is>
          <t>ข้อ 34 Pharma Plus เล่มม่วง (เฉลยข้อ ข)</t>
        </is>
      </c>
      <c r="O36" s="35" t="inlineStr">
        <is>
          <t>Mock</t>
        </is>
      </c>
      <c r="P36" s="35" t="inlineStr">
        <is>
          <t>Pharma Plus เล่มม่วง</t>
        </is>
      </c>
    </row>
    <row r="37" ht="13.2" customHeight="1" s="49">
      <c r="A37" s="33" t="n">
        <v>35</v>
      </c>
      <c r="B37" s="34" t="inlineStr">
        <is>
          <t>ยาในข้อใดไม่เหมาะสมในผู้ป่วยรายนี้</t>
        </is>
      </c>
      <c r="C37" s="35" t="n"/>
      <c r="D37" s="34" t="inlineStr">
        <is>
          <t>Cyanocobalamin</t>
        </is>
      </c>
      <c r="E37" s="34" t="inlineStr">
        <is>
          <t>Ferrous fumarate</t>
        </is>
      </c>
      <c r="F37" s="34" t="inlineStr">
        <is>
          <t>Ferrous gluconate</t>
        </is>
      </c>
      <c r="G37" s="34" t="inlineStr">
        <is>
          <t>Folic acid</t>
        </is>
      </c>
      <c r="H37" s="34" t="inlineStr">
        <is>
          <t>Blood transfusion (Packed Red Cells)</t>
        </is>
      </c>
      <c r="I37" s="33" t="inlineStr">
        <is>
          <t>1</t>
        </is>
      </c>
      <c r="J37" s="34" t="inlineStr">
        <is>
          <t>✅ คำตอบที่ถูกต้อง: ข้อ ก. Cyanocobalamin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35" t="n"/>
      <c r="L37" s="34" t="inlineStr">
        <is>
          <t>Anemia</t>
        </is>
      </c>
      <c r="M37" s="35" t="inlineStr">
        <is>
          <t>Clinic</t>
        </is>
      </c>
      <c r="N37" s="34" t="inlineStr">
        <is>
          <t>ข้อ 35 Pharma Plus เล่มม่วง (เฉลยข้อ ก ง)</t>
        </is>
      </c>
      <c r="O37" s="35" t="inlineStr">
        <is>
          <t>Mock</t>
        </is>
      </c>
      <c r="P37" s="35" t="inlineStr">
        <is>
          <t>Pharma Plus เล่มม่วง</t>
        </is>
      </c>
    </row>
    <row r="38" ht="13.2" customHeight="1" s="49">
      <c r="A38" s="33" t="n">
        <v>36</v>
      </c>
      <c r="B38" s="34" t="inlineStr">
        <is>
          <t>ยาตัวใดไม่มีผลต่อการดูดซึมธาตุเหล็ก</t>
        </is>
      </c>
      <c r="C38" s="35" t="n"/>
      <c r="D38" s="34" t="inlineStr">
        <is>
          <t>Antacid</t>
        </is>
      </c>
      <c r="E38" s="34" t="inlineStr">
        <is>
          <t>Ascorbic acid</t>
        </is>
      </c>
      <c r="F38" s="34" t="inlineStr">
        <is>
          <t>Cimetidine</t>
        </is>
      </c>
      <c r="G38" s="34" t="inlineStr">
        <is>
          <t>Penicillamine</t>
        </is>
      </c>
      <c r="H38" s="34" t="inlineStr">
        <is>
          <t>Norfloxacin</t>
        </is>
      </c>
      <c r="I38" s="33" t="inlineStr">
        <is>
          <t>4</t>
        </is>
      </c>
      <c r="J38" s="34" t="inlineStr">
        <is>
          <t>✅ คำตอบที่ถูกต้อง: ข้อ ง.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35" t="n"/>
      <c r="L38" s="34" t="inlineStr">
        <is>
          <t>Anemia</t>
        </is>
      </c>
      <c r="M38" s="35" t="inlineStr">
        <is>
          <t>Clinic</t>
        </is>
      </c>
      <c r="N38" s="34" t="inlineStr">
        <is>
          <t>ข้อ 36 Pharma Plus เล่มม่วง (เฉลยข้อ ง)</t>
        </is>
      </c>
      <c r="O38" s="35" t="inlineStr">
        <is>
          <t>Mock</t>
        </is>
      </c>
      <c r="P38" s="35" t="inlineStr">
        <is>
          <t>Pharma Plus เล่มม่วง</t>
        </is>
      </c>
    </row>
    <row r="39" ht="13.2" customHeight="1" s="49">
      <c r="A39" s="33" t="n">
        <v>37</v>
      </c>
      <c r="B39" s="34" t="inlineStr">
        <is>
          <t>ยา ferrous sulfate ไม่ควรจ่ายให้ผู้ป่วยในข้อใด</t>
        </is>
      </c>
      <c r="C39" s="35" t="n"/>
      <c r="D39" s="34" t="inlineStr">
        <is>
          <t>Thalassemia</t>
        </is>
      </c>
      <c r="E39" s="34" t="inlineStr">
        <is>
          <t>Thyrotoxicosis</t>
        </is>
      </c>
      <c r="F39" s="34" t="inlineStr">
        <is>
          <t>Leucopenia</t>
        </is>
      </c>
      <c r="G39" s="34" t="inlineStr">
        <is>
          <t>Thrombocytopenia</t>
        </is>
      </c>
      <c r="H39" s="34" t="inlineStr">
        <is>
          <t>Hemophilia</t>
        </is>
      </c>
      <c r="I39" s="33" t="inlineStr">
        <is>
          <t>1</t>
        </is>
      </c>
      <c r="J39" s="34" t="inlineStr">
        <is>
          <t>✅ คำตอบที่ถูกต้อง: ข้อ ก.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35" t="n"/>
      <c r="L39" s="34" t="inlineStr">
        <is>
          <t>Anemia</t>
        </is>
      </c>
      <c r="M39" s="35" t="inlineStr">
        <is>
          <t>Clinic</t>
        </is>
      </c>
      <c r="N39" s="34" t="inlineStr">
        <is>
          <t>ข้อ 37 Pharma Plus เล่มม่วง (เฉลยข้อ ก)</t>
        </is>
      </c>
      <c r="O39" s="35" t="inlineStr">
        <is>
          <t>Mock</t>
        </is>
      </c>
      <c r="P39" s="35" t="inlineStr">
        <is>
          <t>Pharma Plus เล่มม่วง</t>
        </is>
      </c>
    </row>
    <row r="40" ht="13.2" customHeight="1" s="49">
      <c r="A40" s="33" t="n">
        <v>38</v>
      </c>
      <c r="B40" s="34" t="inlineStr">
        <is>
          <t>Ferrous supplement ตัวใด ที่มีปริมาณ elemental iron มากที่สุด</t>
        </is>
      </c>
      <c r="C40" s="35" t="n"/>
      <c r="D40" s="34" t="inlineStr">
        <is>
          <t>Ferrous fumarate</t>
        </is>
      </c>
      <c r="E40" s="34" t="inlineStr">
        <is>
          <t>Ferrous sulfate (exsiccated)</t>
        </is>
      </c>
      <c r="F40" s="34" t="inlineStr">
        <is>
          <t>Ferrous gluconate</t>
        </is>
      </c>
      <c r="G40" s="34" t="inlineStr">
        <is>
          <t>Ferrous sulfate</t>
        </is>
      </c>
      <c r="H40" s="34" t="inlineStr">
        <is>
          <t>Ferrous citrate</t>
        </is>
      </c>
      <c r="I40" s="33" t="inlineStr">
        <is>
          <t>1</t>
        </is>
      </c>
      <c r="J40" s="34"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35" t="n"/>
      <c r="L40" s="34" t="inlineStr">
        <is>
          <t>Anemia</t>
        </is>
      </c>
      <c r="M40" s="35" t="inlineStr">
        <is>
          <t>Clinic</t>
        </is>
      </c>
      <c r="N40" s="34" t="inlineStr">
        <is>
          <t>ข้อ 38 Pharma Plus เล่มม่วง (เฉลยข้อ ก)</t>
        </is>
      </c>
      <c r="O40" s="35" t="inlineStr">
        <is>
          <t>Mock</t>
        </is>
      </c>
      <c r="P40" s="35" t="inlineStr">
        <is>
          <t>Pharma Plus เล่มม่วง</t>
        </is>
      </c>
    </row>
    <row r="41" ht="13.2" customHeight="1" s="49">
      <c r="A41" s="33" t="n">
        <v>39</v>
      </c>
      <c r="B41" s="34" t="inlineStr">
        <is>
          <t>of oxidation is increased by the addition of alkali or by exposure to light. (ใช้ตอบข้อ 57-58)
ภาชนะใดเหมาะสมแก่การบรรจุ ferrous sulfate</t>
        </is>
      </c>
      <c r="C41" s="35" t="n"/>
      <c r="D41" s="34" t="inlineStr">
        <is>
          <t>Tight container</t>
        </is>
      </c>
      <c r="E41" s="34" t="inlineStr">
        <is>
          <t>Children resist container</t>
        </is>
      </c>
      <c r="F41" s="34" t="inlineStr">
        <is>
          <t>Glass container</t>
        </is>
      </c>
      <c r="G41" s="34" t="inlineStr">
        <is>
          <t>Amber glass container</t>
        </is>
      </c>
      <c r="H41" s="34" t="inlineStr">
        <is>
          <t>Opaque plastic container</t>
        </is>
      </c>
      <c r="I41" s="33" t="inlineStr">
        <is>
          <t>1</t>
        </is>
      </c>
      <c r="J41" s="34" t="inlineStr">
        <is>
          <t>✅ คำตอบที่ถูกต้อง: ข้อ ก. Tight container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35" t="n"/>
      <c r="L41" s="34" t="inlineStr">
        <is>
          <t>Anemia</t>
        </is>
      </c>
      <c r="M41" s="35" t="inlineStr">
        <is>
          <t>Clinic</t>
        </is>
      </c>
      <c r="N41" s="34" t="inlineStr">
        <is>
          <t>Mock PLE-CC 1 ข้อ 58</t>
        </is>
      </c>
      <c r="O41" s="35" t="inlineStr">
        <is>
          <t>Mock</t>
        </is>
      </c>
      <c r="P41" s="35" t="inlineStr">
        <is>
          <t>Mock RxCU83</t>
        </is>
      </c>
      <c r="Q41" s="2" t="n"/>
    </row>
    <row r="42" ht="13.2" customHeight="1" s="49">
      <c r="A42" s="33" t="n">
        <v>40</v>
      </c>
      <c r="B42" s="34"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35" t="n"/>
      <c r="D42" s="34" t="inlineStr">
        <is>
          <t>Anemia</t>
        </is>
      </c>
      <c r="E42" s="34" t="inlineStr">
        <is>
          <t>Folic acid 5 mg OD</t>
        </is>
      </c>
      <c r="F42" s="34" t="inlineStr">
        <is>
          <t>Vitamin B12 1000 mcg IM</t>
        </is>
      </c>
      <c r="G42" s="34" t="inlineStr">
        <is>
          <t>Deferoxamine 500 mg SC</t>
        </is>
      </c>
      <c r="H42" s="34" t="inlineStr">
        <is>
          <t>Erythropoietin 4000 units SC</t>
        </is>
      </c>
      <c r="I42" s="33" t="inlineStr">
        <is>
          <t>1</t>
        </is>
      </c>
      <c r="J42"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35" t="n"/>
      <c r="L42" s="34" t="inlineStr">
        <is>
          <t>Anemia</t>
        </is>
      </c>
      <c r="M42" s="35" t="inlineStr">
        <is>
          <t>Clinic</t>
        </is>
      </c>
      <c r="N42" s="34" t="inlineStr">
        <is>
          <t>Mock PLE-CC 1 ข้อ 59</t>
        </is>
      </c>
      <c r="O42" s="35" t="inlineStr">
        <is>
          <t>Mock</t>
        </is>
      </c>
      <c r="P42" s="35" t="inlineStr">
        <is>
          <t>Mock RxCU83</t>
        </is>
      </c>
    </row>
    <row r="43" ht="13.2" customHeight="1" s="49">
      <c r="A43" s="33" t="n">
        <v>41</v>
      </c>
      <c r="B43" s="34"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35" t="n"/>
      <c r="D43" s="34" t="inlineStr">
        <is>
          <t>Serum levels of folate and vitamin B12</t>
        </is>
      </c>
      <c r="E43" s="34" t="inlineStr">
        <is>
          <t>WBC</t>
        </is>
      </c>
      <c r="F43" s="34" t="inlineStr">
        <is>
          <t>Serum Albumin</t>
        </is>
      </c>
      <c r="G43" s="34" t="inlineStr">
        <is>
          <t>Serum Ferritin และ Transferrin Saturation</t>
        </is>
      </c>
      <c r="H43" s="34" t="inlineStr">
        <is>
          <t>Serum Ferritin และ Vitamin C</t>
        </is>
      </c>
      <c r="I43" s="33" t="inlineStr">
        <is>
          <t>2</t>
        </is>
      </c>
      <c r="J43" s="34"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35" t="n"/>
      <c r="L43" s="34" t="inlineStr">
        <is>
          <t>Anemia</t>
        </is>
      </c>
      <c r="M43" s="35" t="inlineStr">
        <is>
          <t>Clinic</t>
        </is>
      </c>
      <c r="N43" s="34" t="inlineStr">
        <is>
          <t>Mock PLE-CC 1 ข้อ 60</t>
        </is>
      </c>
      <c r="O43" s="35" t="inlineStr">
        <is>
          <t>Mock</t>
        </is>
      </c>
      <c r="P43" s="35" t="inlineStr">
        <is>
          <t>Mock RxCU83</t>
        </is>
      </c>
      <c r="Q43" s="2" t="n"/>
    </row>
    <row r="44" ht="13.2" customHeight="1" s="49">
      <c r="A44" s="33" t="n">
        <v>42</v>
      </c>
      <c r="B44" s="34"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35" t="n"/>
      <c r="D44" s="34" t="inlineStr">
        <is>
          <t>Hb เป็นตัวแปรเชิงกลุ่ม (categorical variable) เสมอ จึงควรใช้ Chi-square test ในการเปรียบเทียบระหว่างเพศ</t>
        </is>
      </c>
      <c r="E44" s="34" t="inlineStr">
        <is>
          <t>Hb เป็นตัวแปรเชิงจำนวน (continuous variable) และควรใช้ Paired-T test ในการเปรียบเทียบระหว่างเพศ</t>
        </is>
      </c>
      <c r="F44" s="34" t="inlineStr">
        <is>
          <t>หากจำแนก Hb เป็นกลุ่ม สามารถใช้ Chi-square test ในการศึกษาความสัมพันธ์ระหว่างเพศ</t>
        </is>
      </c>
      <c r="G44" s="34" t="inlineStr">
        <is>
          <t>Hb เป็นข้อมูลเชิงจำนวน แต่ควรใช้ Mann-Whitney U Test ในการวิเคราะห์เนื่องจากข้อมูลทางชีววิทยามักไม่ปกติ</t>
        </is>
      </c>
      <c r="H44" s="34" t="inlineStr">
        <is>
          <t>Hb เป็นตัวแปร ordinal เนื่องจากมีค่าจากต ่าไปสูง</t>
        </is>
      </c>
      <c r="I44" s="33" t="inlineStr">
        <is>
          <t>3</t>
        </is>
      </c>
      <c r="J44" s="34" t="inlineStr">
        <is>
          <t>✅ คำตอบที่ถูกต้อง: ข้อ ค. หากจำแนก Hb เป็นกลุ่ม สามารถใช้ Chi-square test ในการศึกษาความสัมพันธ์ระหว่างเพศ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35" t="n"/>
      <c r="L44" s="34" t="inlineStr">
        <is>
          <t>Anemia</t>
        </is>
      </c>
      <c r="M44" s="35" t="inlineStr">
        <is>
          <t>Clinic</t>
        </is>
      </c>
      <c r="N44" s="34" t="inlineStr">
        <is>
          <t>Mock PLE-CC 1 ข้อ 65</t>
        </is>
      </c>
      <c r="O44" s="35" t="inlineStr">
        <is>
          <t>Mock</t>
        </is>
      </c>
      <c r="P44" s="35" t="inlineStr">
        <is>
          <t>Mock RxCU83</t>
        </is>
      </c>
      <c r="Q44" s="2" t="n"/>
    </row>
    <row r="45" ht="13.2" customHeight="1" s="49">
      <c r="A45" s="33" t="n">
        <v>43</v>
      </c>
      <c r="B45" s="34" t="inlineStr">
        <is>
          <t>ผู้ป่วยรายนี้เป็นโลหิตจางประเภทใด</t>
        </is>
      </c>
      <c r="C45" s="35" t="n"/>
      <c r="D45" s="34" t="inlineStr">
        <is>
          <t>megaloblastic anemia</t>
        </is>
      </c>
      <c r="E45" s="34" t="inlineStr">
        <is>
          <t>hemolytic anemia</t>
        </is>
      </c>
      <c r="F45" s="34" t="inlineStr">
        <is>
          <t>microcytic anemia</t>
        </is>
      </c>
      <c r="G45" s="34" t="inlineStr">
        <is>
          <t>macrocytic anemia</t>
        </is>
      </c>
      <c r="H45" s="34" t="inlineStr">
        <is>
          <t>aplastic anemia</t>
        </is>
      </c>
      <c r="I45" s="33" t="inlineStr">
        <is>
          <t>1</t>
        </is>
      </c>
      <c r="J45" s="34" t="inlineStr">
        <is>
          <t>✅ คำตอบที่ถูกต้อง: ข้อ ก. megaloblastic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35" t="n"/>
      <c r="L45" s="34" t="inlineStr">
        <is>
          <t>Anemia</t>
        </is>
      </c>
      <c r="M45" s="35" t="inlineStr">
        <is>
          <t>Clinic</t>
        </is>
      </c>
      <c r="N45" s="34" t="inlineStr">
        <is>
          <t>PLE_CC1_2567_Key ข้อ 33</t>
        </is>
      </c>
      <c r="O45" s="35" t="inlineStr">
        <is>
          <t>ข้อสอบจริง</t>
        </is>
      </c>
      <c r="P45" s="35" t="inlineStr">
        <is>
          <t>ปี 2567</t>
        </is>
      </c>
      <c r="Q45" s="2" t="n"/>
    </row>
    <row r="46" ht="13.2" customHeight="1" s="49">
      <c r="A46" s="33" t="n">
        <v>44</v>
      </c>
      <c r="B46" s="34" t="inlineStr">
        <is>
          <t>แพทย์ต้องการให้ได้ elemental iron 180-200 mg จ่าย ferrous sulfate เท่าไร (MW: FeSO4 7H2O = 278, Fe = 56)</t>
        </is>
      </c>
      <c r="C46" s="35" t="n"/>
      <c r="D46" s="34" t="inlineStr">
        <is>
          <t>100x3</t>
        </is>
      </c>
      <c r="E46" s="34" t="inlineStr">
        <is>
          <t>300x3</t>
        </is>
      </c>
      <c r="F46" s="34" t="inlineStr">
        <is>
          <t>100x4</t>
        </is>
      </c>
      <c r="G46" s="34" t="inlineStr">
        <is>
          <t>200x2</t>
        </is>
      </c>
      <c r="H46" s="34" t="inlineStr">
        <is>
          <t>200x3 PLE-PC1 Preparation 2567</t>
        </is>
      </c>
      <c r="I46" s="33" t="inlineStr">
        <is>
          <t>1</t>
        </is>
      </c>
      <c r="J46" s="34" t="inlineStr">
        <is>
          <t>✅ คำตอบที่ถูกต้อง: ข้อ ก. 100x3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35" t="n"/>
      <c r="L46" s="34" t="inlineStr">
        <is>
          <t>Anemia</t>
        </is>
      </c>
      <c r="M46" s="35" t="inlineStr">
        <is>
          <t>Clinic</t>
        </is>
      </c>
      <c r="N46" s="34" t="inlineStr">
        <is>
          <t>PLE_CC1_2567_Key ข้อ 34</t>
        </is>
      </c>
      <c r="O46" s="35" t="inlineStr">
        <is>
          <t>ข้อสอบจริง</t>
        </is>
      </c>
      <c r="P46" s="35" t="inlineStr">
        <is>
          <t>ปี 2567</t>
        </is>
      </c>
      <c r="Q46" s="2" t="n"/>
    </row>
    <row r="47" ht="13.2" customHeight="1" s="49">
      <c r="A47" s="33" t="n">
        <v>45</v>
      </c>
      <c r="B47" s="34" t="inlineStr">
        <is>
          <t>Ferrous Sulfate 7H2O หาน้ำในตำรับต้องใช้วิธีทดสอบใด</t>
        </is>
      </c>
      <c r="C47" s="35" t="n"/>
      <c r="D47" s="34" t="inlineStr">
        <is>
          <t>KARL FISHER</t>
        </is>
      </c>
      <c r="E47" s="34" t="inlineStr">
        <is>
          <t>Loss on drying</t>
        </is>
      </c>
      <c r="F47" s="34" t="inlineStr">
        <is>
          <t>[NEED_REVIEW]</t>
        </is>
      </c>
      <c r="G47" s="34" t="inlineStr">
        <is>
          <t>[NEED_REVIEW]</t>
        </is>
      </c>
      <c r="H47" s="34" t="inlineStr">
        <is>
          <t>[NEED_REVIEW]</t>
        </is>
      </c>
      <c r="I47" s="33" t="inlineStr">
        <is>
          <t>1</t>
        </is>
      </c>
      <c r="J47" s="34" t="inlineStr">
        <is>
          <t>✅ คำตอบที่ถูกต้อง: ข้อ ก. KARL FISHER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([NEED_REVIEW]
• ข้อ ง. ([NEED_REVIEW]
• ข้อ จ. ([NEED_REVIEW]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35" t="n"/>
      <c r="L47" s="34" t="inlineStr">
        <is>
          <t>Anemia</t>
        </is>
      </c>
      <c r="M47" s="35" t="inlineStr">
        <is>
          <t>Clinic</t>
        </is>
      </c>
      <c r="N47" s="34" t="inlineStr">
        <is>
          <t>PLE_CC1_2567_Key ข้อ 35</t>
        </is>
      </c>
      <c r="O47" s="35" t="inlineStr">
        <is>
          <t>ข้อสอบจริง</t>
        </is>
      </c>
      <c r="P47" s="35" t="inlineStr">
        <is>
          <t>ปี 2567</t>
        </is>
      </c>
      <c r="Q47" s="2" t="n"/>
    </row>
    <row r="48" ht="13.2" customHeight="1" s="49">
      <c r="A48" s="33" t="n">
        <v>46</v>
      </c>
      <c r="B48" s="34" t="inlineStr">
        <is>
          <t>ผู้ป่วยรายนี้ควรจัดการอย่างไร เดิมใช้ยา HCTZ ตัวเดียว</t>
        </is>
      </c>
      <c r="C48" s="35" t="n"/>
      <c r="D48" s="34" t="inlineStr">
        <is>
          <t>หยุด HCTZ เพิ่ม enalapril</t>
        </is>
      </c>
      <c r="E48" s="34" t="inlineStr">
        <is>
          <t>เพิ่มขนาด HCTZ เป็น 1x2</t>
        </is>
      </c>
      <c r="F48" s="34" t="inlineStr">
        <is>
          <t>หยุด HCTZ เพิ่ม CCB</t>
        </is>
      </c>
      <c r="G48" s="34" t="inlineStr">
        <is>
          <t>เปลี่ยน HCTZ เป็น carvedilol</t>
        </is>
      </c>
      <c r="H48" s="34" t="inlineStr">
        <is>
          <t>ใช้ HCTZ เท่าเดิม แต่เพิ่ม amlodipine</t>
        </is>
      </c>
      <c r="I48" s="33" t="inlineStr">
        <is>
          <t>1</t>
        </is>
      </c>
      <c r="J48" s="34" t="inlineStr">
        <is>
          <t>✅ คำตอบที่ถูกต้อง: ข้อ ก. หยุด HCTZ เพิ่ม enalapril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35" t="n"/>
      <c r="L48" s="34" t="inlineStr">
        <is>
          <t>Anemia</t>
        </is>
      </c>
      <c r="M48" s="35" t="inlineStr">
        <is>
          <t>Clinic</t>
        </is>
      </c>
      <c r="N48" s="34" t="inlineStr">
        <is>
          <t>PLE_CC1_2567_Key ข้อ 82</t>
        </is>
      </c>
      <c r="O48" s="35" t="inlineStr">
        <is>
          <t>ข้อสอบจริง</t>
        </is>
      </c>
      <c r="P48" s="35" t="inlineStr">
        <is>
          <t>ปี 2567</t>
        </is>
      </c>
      <c r="Q48" s="2" t="n"/>
    </row>
    <row r="49" ht="13.2" customHeight="1" s="49">
      <c r="A49" s="33" t="n">
        <v>47</v>
      </c>
      <c r="B49" s="34" t="inlineStr">
        <is>
          <t>Ferrous Sulfate 7H2O หาน้ำในตำรับต้องใช้วิธีทดสอบใด</t>
        </is>
      </c>
      <c r="C49" s="35" t="n"/>
      <c r="D49" s="34" t="inlineStr">
        <is>
          <t>โรคนี้ให้รักษาด้วยการใช้น้ำตาเทียม</t>
        </is>
      </c>
      <c r="E49" s="34" t="inlineStr">
        <is>
          <t>ยาป้ายตาสามารถป้ายได้ขณะสวมคอนแทคเลนส์</t>
        </is>
      </c>
      <c r="F49" s="34" t="inlineStr">
        <is>
          <t>สามารถล้างคอนแทคเลนส์ด้วยน้ำเปล่าทุกวัน</t>
        </is>
      </c>
      <c r="G49" s="34" t="inlineStr">
        <is>
          <t>โรคนี้สามารถหายได้เองโดยไม่ต้องพบแพทย์</t>
        </is>
      </c>
      <c r="H49" s="34"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33" t="inlineStr">
        <is>
          <t>1</t>
        </is>
      </c>
      <c r="J49" s="34" t="inlineStr">
        <is>
          <t>✅ คำตอบที่ถูกต้อง: ข้อ ก. โรคนี้ให้รักษาด้วยการใช้น้ำตาเทียม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35" t="n"/>
      <c r="L49" s="34" t="inlineStr">
        <is>
          <t>Anemia</t>
        </is>
      </c>
      <c r="M49" s="35" t="inlineStr">
        <is>
          <t>Clinic</t>
        </is>
      </c>
      <c r="N49" s="34" t="inlineStr">
        <is>
          <t>PLE_CC1_2567_Set1_Key ข้อ 35</t>
        </is>
      </c>
      <c r="O49" s="35" t="inlineStr">
        <is>
          <t>ข้อสอบจริง</t>
        </is>
      </c>
      <c r="P49" s="35" t="inlineStr">
        <is>
          <t>ปี 2567</t>
        </is>
      </c>
      <c r="Q49" s="2" t="n"/>
    </row>
    <row r="50" ht="13.2" customHeight="1" s="49">
      <c r="A50" s="33" t="n">
        <v>48</v>
      </c>
      <c r="B50" s="34" t="inlineStr">
        <is>
          <t>เพศหญิงโลหิตจางค่าHb ตัวเลือก</t>
        </is>
      </c>
      <c r="C50" s="35" t="n"/>
      <c r="D50" s="34" t="inlineStr">
        <is>
          <t>Anemia</t>
        </is>
      </c>
      <c r="E50" s="34" t="inlineStr">
        <is>
          <t>Ferrous sulfate 300 mg TID</t>
        </is>
      </c>
      <c r="F50" s="34" t="inlineStr">
        <is>
          <t>Vitamin C 500 mg OD</t>
        </is>
      </c>
      <c r="G50" s="34" t="inlineStr">
        <is>
          <t>Pyridoxine 50 mg OD</t>
        </is>
      </c>
      <c r="H50" s="34" t="inlineStr">
        <is>
          <t>Hydroxyurea 500 mg OD</t>
        </is>
      </c>
      <c r="I50" s="33" t="inlineStr">
        <is>
          <t>1</t>
        </is>
      </c>
      <c r="J50"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35" t="n"/>
      <c r="L50" s="34" t="inlineStr">
        <is>
          <t>Anemia</t>
        </is>
      </c>
      <c r="M50" s="35" t="inlineStr">
        <is>
          <t>Clinic</t>
        </is>
      </c>
      <c r="N50" s="34" t="inlineStr">
        <is>
          <t>PLE-CC1 ปี 2566 Day 1 ข้อ 22</t>
        </is>
      </c>
      <c r="O50" s="35" t="inlineStr">
        <is>
          <t>ข้อสอบจริง</t>
        </is>
      </c>
      <c r="P50" s="35" t="inlineStr">
        <is>
          <t>ปี 2566</t>
        </is>
      </c>
    </row>
    <row r="51" ht="13.2" customHeight="1" s="49">
      <c r="A51" s="33" t="n">
        <v>49</v>
      </c>
      <c r="B51" s="34" t="inlineStr">
        <is>
          <t>ให้สมการเคมีมาแล้วถามว่าเป็นการtitrate แบบใด ตัวเลือก(น่าจะเป็นCerium กับFerrous)</t>
        </is>
      </c>
      <c r="C51" s="35" t="n"/>
      <c r="D51" s="34" t="inlineStr">
        <is>
          <t>Anemia</t>
        </is>
      </c>
      <c r="E51" s="34" t="inlineStr">
        <is>
          <t>Hydroxyurea 500 mg OD</t>
        </is>
      </c>
      <c r="F51" s="34" t="inlineStr">
        <is>
          <t>Blood transfusion (Packed Red Cells)</t>
        </is>
      </c>
      <c r="G51" s="34" t="inlineStr">
        <is>
          <t>Ferrous fumarate 200 mg TID</t>
        </is>
      </c>
      <c r="H51" s="34" t="inlineStr">
        <is>
          <t>Folic acid 5 mg OD</t>
        </is>
      </c>
      <c r="I51" s="33" t="inlineStr">
        <is>
          <t>1</t>
        </is>
      </c>
      <c r="J51"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35" t="n"/>
      <c r="L51" s="34" t="inlineStr">
        <is>
          <t>Anemia</t>
        </is>
      </c>
      <c r="M51" s="35" t="inlineStr">
        <is>
          <t>Clinic</t>
        </is>
      </c>
      <c r="N51" s="34" t="inlineStr">
        <is>
          <t>PLE-CC1 ปี 2566 Day 1 ข้อ 24</t>
        </is>
      </c>
      <c r="O51" s="35" t="inlineStr">
        <is>
          <t>ข้อสอบจริง</t>
        </is>
      </c>
      <c r="P51" s="35" t="inlineStr">
        <is>
          <t>ปี 2566</t>
        </is>
      </c>
    </row>
    <row r="52" ht="13.2" customHeight="1" s="49">
      <c r="A52" s="33" t="n">
        <v>50</v>
      </c>
      <c r="B52" s="34" t="inlineStr">
        <is>
          <t>โรคอ้วน, การดื่มแอลกอฮอล์, HCTZ</t>
        </is>
      </c>
      <c r="C52" s="35" t="n"/>
      <c r="D52" s="34" t="inlineStr">
        <is>
          <t>Anemia</t>
        </is>
      </c>
      <c r="E52" s="34" t="inlineStr">
        <is>
          <t>Folic acid 5 mg OD</t>
        </is>
      </c>
      <c r="F52" s="34" t="inlineStr">
        <is>
          <t>Vitamin B12 1000 mcg IM</t>
        </is>
      </c>
      <c r="G52" s="34" t="inlineStr">
        <is>
          <t>Deferoxamine 500 mg SC</t>
        </is>
      </c>
      <c r="H52" s="34" t="inlineStr">
        <is>
          <t>Erythropoietin 4000 units SC</t>
        </is>
      </c>
      <c r="I52" s="33" t="inlineStr">
        <is>
          <t>1</t>
        </is>
      </c>
      <c r="J52"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35" t="n"/>
      <c r="L52" s="34" t="inlineStr">
        <is>
          <t>Anemia</t>
        </is>
      </c>
      <c r="M52" s="35" t="inlineStr">
        <is>
          <t>Clinic</t>
        </is>
      </c>
      <c r="N52" s="34" t="inlineStr">
        <is>
          <t>PLE-CC1 ปี 2566 Day 1 ข้อ 4</t>
        </is>
      </c>
      <c r="O52" s="35" t="inlineStr">
        <is>
          <t>ข้อสอบจริง</t>
        </is>
      </c>
      <c r="P52" s="35" t="inlineStr">
        <is>
          <t>ปี 2566</t>
        </is>
      </c>
    </row>
    <row r="53" ht="13.2" customHeight="1" s="49">
      <c r="A53" s="33" t="n">
        <v>51</v>
      </c>
      <c r="B53" s="34" t="inlineStr">
        <is>
          <t>ขอใดคือกลไกของยา HCTZ</t>
        </is>
      </c>
      <c r="C53" s="35" t="n"/>
      <c r="D53" s="34" t="inlineStr">
        <is>
          <t>ยับยั้ง Na/K/2Cl ที่ loop of Henle</t>
        </is>
      </c>
      <c r="E53" s="34" t="inlineStr">
        <is>
          <t>ยับยั้งการดูดกลับ Na ที่ collecting duct</t>
        </is>
      </c>
      <c r="F53" s="34" t="inlineStr">
        <is>
          <t>ลดการดูดกลับ Na ที่ distal loop</t>
        </is>
      </c>
      <c r="G53" s="34" t="inlineStr">
        <is>
          <t>ยับยั้ง Na/Cl cotransporter</t>
        </is>
      </c>
      <c r="H53" s="34" t="inlineStr">
        <is>
          <t>[NEED_REVIEW]</t>
        </is>
      </c>
      <c r="I53" s="33" t="inlineStr">
        <is>
          <t>1</t>
        </is>
      </c>
      <c r="J53" s="34" t="inlineStr">
        <is>
          <t>✅ คำตอบที่ถูกต้อง: ข้อ ก. ยับยั้ง Na/K/2Cl ที่ loop of Henle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(ยับยั้งการดูดกลับ Na ที่ collecting duct): การยับยั้งการดูดกลับโซเดียมที่ Collecting duct เป็นกลไกการออกฤทธิ์ของยากลุ่ม Potassium-sparing diuretics เช่น Amiloride หรือ Spironolactone
• ข้อ ค. (ลดการดูดกลับ Na ที่ distal loop): การลดการดูดกลับโซเดียมที่บริเวณ Thick ascending limb ของ Loop of Henle เป็นกลไกเฉพาะของยากลุ่ม Loop diuretics เช่น Furosemide
• ข้อ ง. (ยับยั้ง Na/Cl cotransporter): การยับยั้ง Na+/Cl- cotransporter ที่บริเวณ Distal convoluted tubule (DCT) เป็นกลไกการออกฤทธิ์ที่แท้จริงของยา Hydrochlorothiazide
• ข้อ จ. (ยับยั้ง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 การยับยั้ง Na+/K+ exchanger เป็นหน้าที่ทางอ้อมที่เกี่ยวข้องกับฮอร์โมน Aldosterone และยาต้านอัลโดสเตอโรน ไม่ใช่กลไกโดยตรงของยา HCTZ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35" t="n"/>
      <c r="L53" s="34" t="inlineStr">
        <is>
          <t>Anemia</t>
        </is>
      </c>
      <c r="M53" s="35" t="inlineStr">
        <is>
          <t>Clinic</t>
        </is>
      </c>
      <c r="N53" s="34" t="inlineStr">
        <is>
          <t>PLE_CC1_2565_Day1_Key ข้อ 5</t>
        </is>
      </c>
      <c r="O53" s="35" t="inlineStr">
        <is>
          <t>ข้อสอบจริง</t>
        </is>
      </c>
      <c r="P53" s="35" t="inlineStr">
        <is>
          <t>ปี 2565</t>
        </is>
      </c>
      <c r="Q53" s="2" t="n"/>
    </row>
    <row r="54" ht="13.2" customHeight="1" s="49">
      <c r="A54" s="33" t="n">
        <v>52</v>
      </c>
      <c r="B54" s="34" t="inlineStr">
        <is>
          <t>สารใดช-วยดูดซึมเหล็กดีที่สุด macrocytic anemia microcytic hypochromic anemia + occult blood positive → Iron deﬁciency anemia iron overload ใWใน CKD-related anemia (Z[วย \งไAเLน CKD) macrocytic anemia</t>
        </is>
      </c>
      <c r="C54" s="35" t="n"/>
      <c r="D54" s="34" t="inlineStr">
        <is>
          <t>B6</t>
        </is>
      </c>
      <c r="E54" s="34" t="inlineStr">
        <is>
          <t>vitamin c</t>
        </is>
      </c>
      <c r="F54" s="34" t="inlineStr">
        <is>
          <t>vitamin d</t>
        </is>
      </c>
      <c r="G54" s="34" t="inlineStr">
        <is>
          <t>Ca</t>
        </is>
      </c>
      <c r="H54" s="34" t="inlineStr">
        <is>
          <t>zinc</t>
        </is>
      </c>
      <c r="I54" s="33" t="inlineStr">
        <is>
          <t>1</t>
        </is>
      </c>
      <c r="J54" s="34"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Vitamin C (Ascorbic acid) เป็นสารที่ช่วยเพิ่มการดูดซึมธาตุเหล็กได้ดีที่สุด เนื่องจากช่วยเปลี่ยน Ferric (Fe3+) ไปเป็น Ferrous (Fe2+) ซึ่งละลายและดูดซึมได้ดีกว่า
• ข้อ ค. (vitamin d): Vitamin D ทำหน้าที่ควบคุมสมดุลแคลเซียมและฟอสเฟตในร่างกาย ไม่มีบทบาทโดยตรงในการส่งเสริมการดูดซึมธาตุเหล็กในระบบทางเดินอาหาร
• ข้อ ง. (Ca): Calcium เป็นแร่ธาตุที่ขัดขวางและแข่งขันการดูดซึมกับธาตุเหล็ก การรับประทานร่วมกันจะทำให้การดูดซึมธาตุเหล็กลดลงอย่างชัดเจน
• ข้อ จ. (zinc): Zinc เป็นแร่ธาตุประจุบวกสองที่แข่งขันจับกับตัวขนส่ง DMT-1 (Divalent Metal Transporter 1) ที่ลำไส้ ทำให้ลดการดูดซึมของธาตุเหล็ก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35" t="n"/>
      <c r="L54" s="34" t="inlineStr">
        <is>
          <t>Anemia</t>
        </is>
      </c>
      <c r="M54" s="35" t="inlineStr">
        <is>
          <t>Clinic</t>
        </is>
      </c>
      <c r="N54" s="34" t="inlineStr">
        <is>
          <t>PLE_CC1_2565_Day2_Key ข้อ 13</t>
        </is>
      </c>
      <c r="O54" s="35" t="inlineStr">
        <is>
          <t>ข้อสอบจริง</t>
        </is>
      </c>
      <c r="P54" s="35" t="inlineStr">
        <is>
          <t>ปี 2565</t>
        </is>
      </c>
      <c r="Q54" s="2" t="n"/>
    </row>
    <row r="55" ht="13.2" customHeight="1" s="49">
      <c r="A55" s="33" t="n">
        <v>53</v>
      </c>
      <c r="B55" s="34"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35" t="n"/>
      <c r="D55" s="34" t="inlineStr">
        <is>
          <t>7 วัน</t>
        </is>
      </c>
      <c r="E55" s="34" t="inlineStr">
        <is>
          <t>14 วัน</t>
        </is>
      </c>
      <c r="F55" s="34" t="inlineStr">
        <is>
          <t>1 เดือน</t>
        </is>
      </c>
      <c r="G55" s="34" t="inlineStr">
        <is>
          <t>3 เดือน</t>
        </is>
      </c>
      <c r="H55" s="34" t="inlineStr">
        <is>
          <t>1 ปç</t>
        </is>
      </c>
      <c r="I55" s="33" t="inlineStr">
        <is>
          <t>1</t>
        </is>
      </c>
      <c r="J55" s="34" t="inlineStr">
        <is>
          <t>✅ คำตอบที่ถูกต้อง: ข้อ ก. 7 วัน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(14 วัน): ระยะเวลา 14 วัน เป็นช่วงที่ระดับ Reticulocyte count เริ่มตอบสนองสูงสุดและระดับ Hemoglobin เริ่มขยับขึ้น แต่ยังไม่สามารถฟื้นฟูระดับฮีโมโกลบินได้สมบูรณ์
• ข้อ ค. (1 เดือน): ระยะเวลา 1 เดือน เป็นช่วงที่ระดับ Hemoglobin มักจะกลับมาใกล้เคียงระดับปกติ แต่ระดับเหล็กสะสม (Ferritin) ในไขกระดูกยังไม่ได้รับการฟื้นฟูอย่างเต็มที่
• ข้อ ง. (3 เดือน): ระยะเวลาประมาณ 3 เดือน จำเป็นต้องให้การรักษาต่อเนื่องหลังระดับฮีโมโกลบินปกติ เพื่อเติมเต็มปริมาณธาตุเหล็กสะสมในร่างกาย (Replenish iron stores) ป้องกันการกลับเป็นซ้ำ
• ข้อ จ. (1 ปç): ระยะเวลา 1 ปี นานเกินความจำเป็นสำหรับการรักษาภาวะขาดธาตุเหล็กทั่วไป และอาจเพิ่มความเสี่ยงต่อการเกิดผลข้างเคียงหรือการสะสมธาตุเหล็กเกินขนาดหากไม่มีข้อบ่งชี้จำเพาะ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35" t="n"/>
      <c r="L55" s="34" t="inlineStr">
        <is>
          <t>Anemia</t>
        </is>
      </c>
      <c r="M55" s="35" t="inlineStr">
        <is>
          <t>Clinic</t>
        </is>
      </c>
      <c r="N55" s="34" t="inlineStr">
        <is>
          <t>PLE_CC1_2565_Day2_Key ข้อ 14</t>
        </is>
      </c>
      <c r="O55" s="35" t="inlineStr">
        <is>
          <t>ข้อสอบจริง</t>
        </is>
      </c>
      <c r="P55" s="35" t="inlineStr">
        <is>
          <t>ปี 2565</t>
        </is>
      </c>
      <c r="Q55" s="2" t="n"/>
    </row>
    <row r="56" ht="13.2" customHeight="1" s="49">
      <c r="A56" s="33" t="n">
        <v>54</v>
      </c>
      <c r="B56" s="34"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t>
        </is>
      </c>
      <c r="C56" s="35" t="n"/>
      <c r="D56" s="34" t="inlineStr">
        <is>
          <t>vitB12 IV</t>
        </is>
      </c>
      <c r="E56" s="34" t="inlineStr">
        <is>
          <t>VitB12 PO</t>
        </is>
      </c>
      <c r="F56" s="34" t="inlineStr">
        <is>
          <t>[NEED_REVIEW]</t>
        </is>
      </c>
      <c r="G56" s="34" t="inlineStr">
        <is>
          <t>[NEED_REVIEW]</t>
        </is>
      </c>
      <c r="H56" s="34" t="inlineStr">
        <is>
          <t>[NEED_REVIEW]</t>
        </is>
      </c>
      <c r="I56" s="33" t="inlineStr">
        <is>
          <t>1</t>
        </is>
      </c>
      <c r="J56" s="34" t="inlineStr">
        <is>
          <t>✅ คำตอบที่ถูกต้อง: ข้อ ก. vitB12 IV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PO): Vitamin B12 รูปแบบรับประทานสามารถใช้ได้ในผู้ป่วยที่มีการดูดซึมปกติ แต่หากผู้ป่วยมีพยาธิสภาพขาด Intrinsic factor หรือมีอาการทางระบบประสาทรุนแรง การให้รูปแบบฉีดจะให้ผลการรักษาที่แน่นอนกว่า
• ข้อ ค. ([NEED_REVIEW]
• ข้อ ง. ([NEED_REVIEW]
• ข้อ จ. ([NEED_REVIEW]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35" t="n"/>
      <c r="L56" s="34" t="inlineStr">
        <is>
          <t>Anemia</t>
        </is>
      </c>
      <c r="M56" s="35" t="inlineStr">
        <is>
          <t>Clinic</t>
        </is>
      </c>
      <c r="N56" s="34" t="inlineStr">
        <is>
          <t>PLE_CC1_2565_Day2_Key ข้อ 15</t>
        </is>
      </c>
      <c r="O56" s="35" t="inlineStr">
        <is>
          <t>ข้อสอบจริง</t>
        </is>
      </c>
      <c r="P56" s="35" t="inlineStr">
        <is>
          <t>ปี 2565</t>
        </is>
      </c>
      <c r="Q56" s="2" t="n"/>
    </row>
    <row r="57" ht="13.2" customHeight="1" s="49">
      <c r="A57" s="33" t="n">
        <v>55</v>
      </c>
      <c r="B57" s="34" t="inlineStr">
        <is>
          <t>Anemia (Ferrous def, B12 def)</t>
        </is>
      </c>
      <c r="C57" s="35" t="n"/>
      <c r="D57" s="34" t="inlineStr">
        <is>
          <t>Anemia</t>
        </is>
      </c>
      <c r="E57" s="34" t="inlineStr">
        <is>
          <t>Vitamin C 500 mg OD</t>
        </is>
      </c>
      <c r="F57" s="34" t="inlineStr">
        <is>
          <t>Pyridoxine 50 mg OD</t>
        </is>
      </c>
      <c r="G57" s="34" t="inlineStr">
        <is>
          <t>Hydroxyurea 500 mg OD</t>
        </is>
      </c>
      <c r="H57" s="34" t="inlineStr">
        <is>
          <t>Blood transfusion (Packed Red Cells)</t>
        </is>
      </c>
      <c r="I57" s="33" t="inlineStr">
        <is>
          <t>1</t>
        </is>
      </c>
      <c r="J57"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500 mg วันละครั้ง มีหน้าที่หลักในการเพิ่มการดูดซึมธาตุเหล็ก แต่ไม่มีประสิทธิภาพในการรักษาภาวะขาดวิตามินบี 12
• ข้อ ค. (Pyridoxine 50 mg OD): Pyridoxine (Vitamin B6) 50 mg วันละครั้ง ใช้รักษาโรคปลายประสาทอักเสบจากยา Isoniazid หรือ Sideroblastic anemia ไม่ได้แก้ไขภาวะขาดธาตุเหล็กหรือบี 12
• ข้อ ง. (Hydroxyurea 500 mg OD): Hydroxyurea เป็นยาเคมีบำบัดที่ใช้กระตุ้นการสร้าง HbF ในผู้ป่วยโรคเลือดทางพันธุกรรม แต่มีผลข้างเคียงกดไขกระดูกและทำให้เม็ดเลือดแดงโตขึ้น (Macrocytosis)
• ข้อ จ. (Blood transfusion (Packed Red Cells)): Packed Red Cells ใช้ทดแทนเม็ดเลือดแดงอย่างเร่งด่วนในภาวะวิกฤตที่มีอาการทางระบบหัวใจและหลอดเลือด ไม่ใช่การแก้ปัญหาที่ต้นเหตุของการขาดสารอาหารสร้างเม็ดเลือด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35" t="n"/>
      <c r="L57" s="34" t="inlineStr">
        <is>
          <t>Anemia</t>
        </is>
      </c>
      <c r="M57" s="35" t="inlineStr">
        <is>
          <t>Clinic</t>
        </is>
      </c>
      <c r="N57" s="34" t="inlineStr">
        <is>
          <t>PLE_CC1_2565_Day2_Key ข้อ 3</t>
        </is>
      </c>
      <c r="O57" s="35" t="inlineStr">
        <is>
          <t>ข้อสอบจริง</t>
        </is>
      </c>
      <c r="P57" s="35" t="inlineStr">
        <is>
          <t>ปี 2565</t>
        </is>
      </c>
    </row>
    <row r="58" ht="13.2" customHeight="1" s="49">
      <c r="A58" s="33" t="n">
        <v>56</v>
      </c>
      <c r="B58" s="34" t="inlineStr">
        <is>
          <t>เป้าหมาย Hb ในการรักษาโลหิตจางของผู้หญิง</t>
        </is>
      </c>
      <c r="C58" s="35" t="n"/>
      <c r="D58" s="34" t="inlineStr">
        <is>
          <t>Anemia</t>
        </is>
      </c>
      <c r="E58" s="34" t="inlineStr">
        <is>
          <t>12-16 mg/dL</t>
        </is>
      </c>
      <c r="F58" s="34" t="inlineStr">
        <is>
          <t>13-17 mg/dL</t>
        </is>
      </c>
      <c r="G58" s="34" t="inlineStr">
        <is>
          <t>Folic acid 5 mg OD</t>
        </is>
      </c>
      <c r="H58" s="34" t="inlineStr">
        <is>
          <t>Vitamin B12 1000 mcg IM</t>
        </is>
      </c>
      <c r="I58" s="33" t="inlineStr">
        <is>
          <t>1</t>
        </is>
      </c>
      <c r="J58"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ระดับ Hemoglobin ปกติในเพศหญิงตามเกณฑ์ขององค์การอนามัยโลก (WHO) และแนวทางเวชปฏิบัติคือ 12-16 g/dL (หรือ g/%) ไม่ใช่หน่วย mg/dL
• ข้อ ค. (13-17 mg/dL): ระดับ Hemoglobin 13-17 g/dL เป็นค่าอ้างอิงมาตรฐานสำหรับเพศชาย ซึ่งสูงกว่าเกณฑ์มาตรฐานของเพศหญิงเนื่องจากอิทธิพลของฮอร์โมน Androgen
• ข้อ ง. (Folic acid 5 mg OD): Folic acid 5 mg OD เป็นขนาดยารักษาภาวะขาดโฟเลต ไม่ใช่ค่าเป้าหมายทางห้องปฏิบัติการของระดับฮีโมโกลบินในการรักษาโรค
• ข้อ จ. (Vitamin B12 1000 mcg IM): Vitamin B12 1000 mcg IM เป็นขนาดยาฉีดรักษาภาวะขาดวิตามินบี 12 ไม่ใช่ตัวเลขแสดงเป้าหมายการรักษาทางโลหิตวิทยา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35" t="n"/>
      <c r="L58" s="34" t="inlineStr">
        <is>
          <t>Anemia</t>
        </is>
      </c>
      <c r="M58" s="35" t="inlineStr">
        <is>
          <t>Clinic</t>
        </is>
      </c>
      <c r="N58" s="34" t="inlineStr">
        <is>
          <t>PLE_CC1_2564_All_Key ข้อ 45</t>
        </is>
      </c>
      <c r="O58" s="35" t="inlineStr">
        <is>
          <t>ข้อสอบจริง</t>
        </is>
      </c>
      <c r="P58" s="35" t="inlineStr">
        <is>
          <t>ปี 2564</t>
        </is>
      </c>
    </row>
    <row r="59" ht="13.2" customHeight="1" s="49">
      <c r="A59" s="33" t="n">
        <v>57</v>
      </c>
      <c r="B59" s="34"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35" t="n"/>
      <c r="D59" s="34" t="inlineStr">
        <is>
          <t>Antacid</t>
        </is>
      </c>
      <c r="E59" s="34" t="inlineStr">
        <is>
          <t>prokinetic drug</t>
        </is>
      </c>
      <c r="F59" s="34" t="inlineStr">
        <is>
          <t>H2-receptor antagonists</t>
        </is>
      </c>
      <c r="G59" s="34" t="inlineStr">
        <is>
          <t>Proton pump inhibitors</t>
        </is>
      </c>
      <c r="H59" s="34" t="inlineStr">
        <is>
          <t>H2-receptor antagonists ร่วมกับ Prokinetic drugs</t>
        </is>
      </c>
      <c r="I59" s="33" t="inlineStr">
        <is>
          <t>1</t>
        </is>
      </c>
      <c r="J59" s="34" t="inlineStr">
        <is>
          <t>✅ คำตอบที่ถูกต้อง: ข้อ ก. Antacid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(prokinetic drug): ยากลุ่ม Prokinetic drugs เช่น Domperidone ช่วยเพิ่มการบีบตัวของทางเดินอาหาร แต่ไม่มีประสิทธิภาพเพียงพอในการรักษาการอักเสบของหลอดอาหารจากกรดไหลย้อน
• ข้อ ค. (H2-receptor antagonists): ยากลุ่ม H2-receptor antagonists มีประสิทธิภาพในการยับยั้งกรดน้อยกว่าและเกิดภาวะดื้อยา (Tachyphylaxis) ได้เร็วเมื่อใช้ต่อเนื่องเกิน 2-4 สัปดาห์
• ข้อ ง. (Proton pump inhibitors): ยากลุ่ม Proton Pump Inhibitors (PPIs) เป็นยาทางเลือกแรกที่มีประสิทธิภาพสูงสุดในการรักษาโรคกรดไหลย้อน (GERD) ที่มีอาการบ่อยและรุนแรง
• ข้อ จ. (H2-receptor antagonists ร่วมกับ Prokinetic drugs): การใช้ H2RA ร่วมกับ Prokinetic drugs ไม่ใช่วิธีมาตรฐานอันดับแรก เนื่องจาก PPIs แบบเดี่ยวมีประสิทธิภาพในการรักษาและสมานแผลเยื่อบุหลอดอาหารเหนือกว่าอย่างมีนัยสำคัญ
📖 Guideline อ้างอิง:
[NEED_REVIEW]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35" t="n"/>
      <c r="L59" s="34" t="inlineStr">
        <is>
          <t>Anemia</t>
        </is>
      </c>
      <c r="M59" s="35" t="inlineStr">
        <is>
          <t>Clinic</t>
        </is>
      </c>
      <c r="N59" s="34" t="inlineStr">
        <is>
          <t>PLE_CC1_2564_All_Key ข้อ 104</t>
        </is>
      </c>
      <c r="O59" s="35" t="inlineStr">
        <is>
          <t>ข้อสอบจริง</t>
        </is>
      </c>
      <c r="P59" s="35" t="inlineStr">
        <is>
          <t>ปี 2564</t>
        </is>
      </c>
      <c r="Q59" s="2" t="n"/>
    </row>
    <row r="60" ht="13.2" customHeight="1" s="49">
      <c r="A60" s="33" t="n">
        <v>58</v>
      </c>
      <c r="B60" s="34" t="inlineStr">
        <is>
          <t>คู่ยาใดที่เกิด DI ที่มีความสำคัญทางคลินิกมากสุด X -sim X x high high - Ator ~ X i -environ myopathy 12 X rhabdo 289 M . G72 X</t>
        </is>
      </c>
      <c r="C60" s="35" t="n"/>
      <c r="D60" s="34" t="inlineStr">
        <is>
          <t>Simvastatin + gemfibrozil</t>
        </is>
      </c>
      <c r="E60" s="34" t="inlineStr">
        <is>
          <t>Omeprazole + clopidrogrel</t>
        </is>
      </c>
      <c r="F60" s="34" t="inlineStr">
        <is>
          <t>Clopidrogrel + aspirin</t>
        </is>
      </c>
      <c r="G60" s="34" t="inlineStr">
        <is>
          <t>Simvastatin + amlodipine</t>
        </is>
      </c>
      <c r="H60" s="34" t="inlineStr">
        <is>
          <t>Aspirin + clopidrogrel</t>
        </is>
      </c>
      <c r="I60" s="33" t="inlineStr">
        <is>
          <t>1</t>
        </is>
      </c>
      <c r="J60" s="34" t="inlineStr">
        <is>
          <t>✅ คำตอบที่ถูกต้อง: ข้อ ก. Simvastatin + gemfibrozil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35" t="n"/>
      <c r="L60" s="34" t="inlineStr">
        <is>
          <t>Anemia</t>
        </is>
      </c>
      <c r="M60" s="35" t="inlineStr">
        <is>
          <t>Clinic</t>
        </is>
      </c>
      <c r="N60" s="34" t="inlineStr">
        <is>
          <t>ข้อ 68 (PLE_CC1_2562_Key.md)</t>
        </is>
      </c>
      <c r="O60" s="35" t="inlineStr">
        <is>
          <t>ข้อสอบจริง</t>
        </is>
      </c>
      <c r="P60" s="35" t="inlineStr">
        <is>
          <t>ปี 2562</t>
        </is>
      </c>
    </row>
    <row r="61" ht="13.2" customHeight="1" s="49">
      <c r="A61" s="33" t="n">
        <v>59</v>
      </c>
      <c r="B61" s="34" t="inlineStr">
        <is>
          <t>ผูป%วยรายนี้น!าจะเกิดภาวะโลหิตจางจากสาเหตุใด</t>
        </is>
      </c>
      <c r="C61" s="35" t="n"/>
      <c r="D61" s="34" t="inlineStr">
        <is>
          <t>โรคเรื้อรัง</t>
        </is>
      </c>
      <c r="E61" s="34" t="inlineStr">
        <is>
          <t>ขาดโฟเลต</t>
        </is>
      </c>
      <c r="F61" s="34" t="inlineStr">
        <is>
          <t>ขาดธาตุเหล็ก</t>
        </is>
      </c>
      <c r="G61" s="34" t="inlineStr">
        <is>
          <t>ขาดวิตามินบี 12</t>
        </is>
      </c>
      <c r="H61" s="34" t="inlineStr">
        <is>
          <t>เม็ดเลือดแดงแตก</t>
        </is>
      </c>
      <c r="I61" s="33" t="inlineStr">
        <is>
          <t>1</t>
        </is>
      </c>
      <c r="J61" s="34" t="inlineStr">
        <is>
          <t>✅ คำตอบที่ถูกต้อง: ข้อ ก. โรคเรื้อรัง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35" t="n"/>
      <c r="L61" s="34" t="inlineStr">
        <is>
          <t>Anemia</t>
        </is>
      </c>
      <c r="M61" s="35" t="inlineStr">
        <is>
          <t>Clinic</t>
        </is>
      </c>
      <c r="N61" s="34" t="inlineStr">
        <is>
          <t>ข้อ 12 (PLE_CC1_2561_Key.md)</t>
        </is>
      </c>
      <c r="O61" s="35" t="inlineStr">
        <is>
          <t>ข้อสอบจริง</t>
        </is>
      </c>
      <c r="P61" s="35" t="inlineStr">
        <is>
          <t>ปี 2561</t>
        </is>
      </c>
    </row>
    <row r="62" ht="13.2" customHeight="1" s="49">
      <c r="A62" s="33" t="n">
        <v>60</v>
      </c>
      <c r="B62" s="34" t="inlineStr">
        <is>
          <t>ขอใดคือคำแนะนำในการรับประทานยา ferrous sulfate</t>
        </is>
      </c>
      <c r="C62" s="35" t="n"/>
      <c r="D62" s="34" t="inlineStr">
        <is>
          <t>ยาทำใหปtสสาวะสีเหลืองเขม</t>
        </is>
      </c>
      <c r="E62" s="34" t="inlineStr">
        <is>
          <t>หามรับประทานร!วมกับน้ำผลไม</t>
        </is>
      </c>
      <c r="F62" s="34" t="inlineStr">
        <is>
          <t>หากถ!ายดำไม!ตองตกใจ เปEนเพราะตัวยา</t>
        </is>
      </c>
      <c r="G62" s="34" t="inlineStr">
        <is>
          <t>รับประทานพรอมกับนมช!วยเพิ่มการดูดซึม</t>
        </is>
      </c>
      <c r="H62" s="34" t="inlineStr">
        <is>
          <t>รับประทานพรอมกับอาหารจะเพิ่มการดูดซึม t</t>
        </is>
      </c>
      <c r="I62" s="33" t="inlineStr">
        <is>
          <t>1</t>
        </is>
      </c>
      <c r="J62" s="34" t="inlineStr">
        <is>
          <t>✅ คำตอบที่ถูกต้อง: ข้อ ก. ยาทำใหปtสสาวะสีเหลืองเขม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35" t="n"/>
      <c r="L62" s="34" t="inlineStr">
        <is>
          <t>Anemia</t>
        </is>
      </c>
      <c r="M62" s="35" t="inlineStr">
        <is>
          <t>Clinic</t>
        </is>
      </c>
      <c r="N62" s="34" t="inlineStr">
        <is>
          <t>ข้อ 15 (PLE_CC1_2561_Key.md)</t>
        </is>
      </c>
      <c r="O62" s="35" t="inlineStr">
        <is>
          <t>ข้อสอบจริง</t>
        </is>
      </c>
      <c r="P62" s="35" t="inlineStr">
        <is>
          <t>ปี 2561</t>
        </is>
      </c>
    </row>
    <row r="63" ht="13.2" customHeight="1" s="49">
      <c r="A63" s="33" t="n">
        <v>61</v>
      </c>
      <c r="B63" s="34" t="inlineStr">
        <is>
          <t>ขอใดคือผลขางเคียงจากยา ferrous sulfate</t>
        </is>
      </c>
      <c r="C63" s="35" t="n"/>
      <c r="D63" s="34" t="inlineStr">
        <is>
          <t>Diarrhea</t>
        </is>
      </c>
      <c r="E63" s="34" t="inlineStr">
        <is>
          <t>Headache</t>
        </is>
      </c>
      <c r="F63" s="34" t="inlineStr">
        <is>
          <t>Tachycardia</t>
        </is>
      </c>
      <c r="G63" s="34" t="inlineStr">
        <is>
          <t>Constipation</t>
        </is>
      </c>
      <c r="H63" s="34" t="inlineStr">
        <is>
          <t>Hypokalemia</t>
        </is>
      </c>
      <c r="I63" s="33" t="inlineStr">
        <is>
          <t>1</t>
        </is>
      </c>
      <c r="J63" s="34" t="inlineStr">
        <is>
          <t>✅ คำตอบที่ถูกต้อง: ข้อ ก. Diarrhea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35" t="n"/>
      <c r="L63" s="34" t="inlineStr">
        <is>
          <t>Anemia</t>
        </is>
      </c>
      <c r="M63" s="35" t="inlineStr">
        <is>
          <t>Clinic</t>
        </is>
      </c>
      <c r="N63" s="34" t="inlineStr">
        <is>
          <t>ข้อ 14 (PLE_CC1_2561_Key.md)</t>
        </is>
      </c>
      <c r="O63" s="35" t="inlineStr">
        <is>
          <t>ข้อสอบจริง</t>
        </is>
      </c>
      <c r="P63" s="35" t="inlineStr">
        <is>
          <t>ปี 2561</t>
        </is>
      </c>
    </row>
    <row r="64" ht="13.2" customHeight="1" s="49">
      <c r="A64" s="33" t="n">
        <v>62</v>
      </c>
      <c r="B64" s="34" t="inlineStr">
        <is>
          <t>ส!วนประกอบของสูตรเคลือบฟuลTมของยา ferrous sulfate ขอใด ถูกตอง</t>
        </is>
      </c>
      <c r="C64" s="35" t="n"/>
      <c r="D64" s="34" t="inlineStr">
        <is>
          <t>Talcum ทำหนาที่เปEนสารก!อฟuลTม</t>
        </is>
      </c>
      <c r="E64" s="34" t="inlineStr">
        <is>
          <t>Ethyl alcohol ทำหนาที่เปEน antioxidant</t>
        </is>
      </c>
      <c r="F64" s="34" t="inlineStr">
        <is>
          <t>Propylene glycol ทำหนาที่เปEน plasticizer</t>
        </is>
      </c>
      <c r="G64" s="34" t="inlineStr">
        <is>
          <t>Titanium dioxide ทำหนาที่เปEน สารก!อฟuลTม</t>
        </is>
      </c>
      <c r="H64" s="34" t="inlineStr">
        <is>
          <t>Hydroxymethylpropyl cellulose ทำหนาที่เปEนสารทึบ แสง</t>
        </is>
      </c>
      <c r="I64" s="33" t="inlineStr">
        <is>
          <t>1</t>
        </is>
      </c>
      <c r="J64" s="34" t="inlineStr">
        <is>
          <t>✅ คำตอบที่ถูกต้อง: ข้อ ก. Talcum ทำหนาที่เปEนสารก!อฟuลTม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35" t="n"/>
      <c r="L64" s="34" t="inlineStr">
        <is>
          <t>Anemia</t>
        </is>
      </c>
      <c r="M64" s="35" t="inlineStr">
        <is>
          <t>Clinic</t>
        </is>
      </c>
      <c r="N64" s="34" t="inlineStr">
        <is>
          <t>ข้อ 16 (PLE_CC1_2561_Key.md)</t>
        </is>
      </c>
      <c r="O64" s="35" t="inlineStr">
        <is>
          <t>ข้อสอบจริง</t>
        </is>
      </c>
      <c r="P64" s="35" t="inlineStr">
        <is>
          <t>ปี 2561</t>
        </is>
      </c>
    </row>
    <row r="65" ht="13.2" customHeight="1" s="49">
      <c r="A65" s="33" t="n">
        <v>63</v>
      </c>
      <c r="B65" s="34" t="inlineStr">
        <is>
          <t>การสังเคราะห์ HCTZ จงระบุว่า A คือข้อใด</t>
        </is>
      </c>
      <c r="C65" s="35" t="n"/>
      <c r="D65" s="34" t="inlineStr">
        <is>
          <t>H-CO-H</t>
        </is>
      </c>
      <c r="E65" s="34" t="inlineStr">
        <is>
          <t>H-CO-OH</t>
        </is>
      </c>
      <c r="F65" s="34" t="inlineStr">
        <is>
          <t>Cl-C-Cl</t>
        </is>
      </c>
      <c r="G65" s="34" t="inlineStr">
        <is>
          <t>C-CO-H 18 MCQ11 2/2560 By CU Rx73 MCQ11 2/2560 By CU Rx73</t>
        </is>
      </c>
      <c r="H65" s="34" t="inlineStr">
        <is>
          <t>Deferoxamine 500 mg SC</t>
        </is>
      </c>
      <c r="I65" s="33" t="inlineStr">
        <is>
          <t>1</t>
        </is>
      </c>
      <c r="J65" s="34" t="inlineStr">
        <is>
          <t>✅ คำตอบที่ถูกต้อง: ข้อ ก. H-CO-H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35" t="n"/>
      <c r="L65" s="34" t="inlineStr">
        <is>
          <t>Anemia</t>
        </is>
      </c>
      <c r="M65" s="35" t="inlineStr">
        <is>
          <t>Clinic</t>
        </is>
      </c>
      <c r="N65" s="34" t="inlineStr">
        <is>
          <t>ข้อ 7 (PLE_CC1_2560 22 April Set 2.md)</t>
        </is>
      </c>
      <c r="O65" s="35" t="inlineStr">
        <is>
          <t>ข้อสอบจริง</t>
        </is>
      </c>
      <c r="P65" s="35" t="inlineStr">
        <is>
          <t>ปี 2560</t>
        </is>
      </c>
    </row>
    <row r="66" ht="13.2" customHeight="1" s="49">
      <c r="A66" s="33" t="n">
        <v>64</v>
      </c>
      <c r="B66" s="34" t="inlineStr">
        <is>
          <t>ข้อใดถูกเกี่ยวกับโครงสร้างยา spironolactone กับ canrenone ---------------------------→</t>
        </is>
      </c>
      <c r="C66" s="35" t="n"/>
      <c r="D66" s="34" t="inlineStr">
        <is>
          <t>ตัวยาออกฤทธิ์โดยจับกับ receptor ภายนอกของ Henle loop</t>
        </is>
      </c>
      <c r="E66" s="34" t="inlineStr">
        <is>
          <t>ถ้า lactone ring เปิดออก จะได้สารที่ มีฤทธิ์</t>
        </is>
      </c>
      <c r="F66" s="34" t="inlineStr">
        <is>
          <t>Canrenone เป็น inactive metabolite</t>
        </is>
      </c>
      <c r="G66" s="34" t="inlineStr">
        <is>
          <t>Spironolactone มีความเป็น lipophilic ต่ำกว่า canrenone</t>
        </is>
      </c>
      <c r="H66" s="34" t="inlineStr">
        <is>
          <t>Spironolactone มีฤทธิ์น้อยกว่า canrenone ห้ามนำไปทำซ้ำทุกกรณี เว้นแต่จะได้รับอนุญาต</t>
        </is>
      </c>
      <c r="I66" s="33" t="inlineStr">
        <is>
          <t>1</t>
        </is>
      </c>
      <c r="J66" s="34" t="inlineStr">
        <is>
          <t>✅ คำตอบที่ถูกต้อง: ข้อ ก. ตัวยาออกฤทธิ์โดยจับกับ receptor ภายนอกของ Henle loop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เมื่อวง Lactone ring ของยาเปิดออกจะทำให้สูญเสียโครงสร้างที่จำเป็นในการออกฤทธิ์และกลายเป็นสารที่ไม่มีฤทธิ์ทางเภสัชวิทยา (Inactive compound)
• ข้อ ค. (Canrenone เป็น inactive metabolite): Canrenone เป็นสารเมแทบอไลต์หลักของ Spironolactone ที่ยังมีฤทธิ์ทางเภสัชวิทยา (Active metabolite) ในการต้านฮอร์โมน Aldosterone
• ข้อ ง. (Spironolactone มีความเป็น lipophilic ต่ำกว่า canrenone): Spironolactone มีโครงสร้างที่มีขั้วน้อยกว่าและมีความเป็น Lipophilic สูงกว่า Canrenone ทำให้ถูกดูดซึมผ่านเยื่อบุทางเดินอาหารได้รวดเร็วกว่า
• ข้อ จ. (Spironolactone มีฤทธิ์น้อยกว่า canrenone ห้ามนำไปทำซ้ำทุกกรณี เว้นแต่จะได้รับอนุญาต): Spironolactone มีประสิทธิภาพในการจับกับ Mineralocorticoid receptor ได้แรงกว่าและมีฤทธิ์ต้าน Aldosterone สูงกว่า Canrenone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35" t="n"/>
      <c r="L66" s="34" t="inlineStr">
        <is>
          <t>Anemia</t>
        </is>
      </c>
      <c r="M66" s="35" t="inlineStr">
        <is>
          <t>Clinic</t>
        </is>
      </c>
      <c r="N66" s="34" t="inlineStr">
        <is>
          <t>ข้อ 91 (PLE_CC1_2558_Key.md)</t>
        </is>
      </c>
      <c r="O66" s="35" t="inlineStr">
        <is>
          <t>ข้อสอบจริง</t>
        </is>
      </c>
      <c r="P66" s="35" t="inlineStr">
        <is>
          <t>ปี 2558</t>
        </is>
      </c>
    </row>
    <row r="67" ht="13.2" customHeight="1" s="49">
      <c r="A67" s="33" t="n">
        <v>65</v>
      </c>
      <c r="B67" s="34" t="inlineStr">
        <is>
          <t>Ferrous sulfate กระปุกละ 100 เม็ด เป็นยาประเภทใด</t>
        </is>
      </c>
      <c r="C67" s="35" t="n"/>
      <c r="D67" s="34" t="inlineStr">
        <is>
          <t>ยาเสพติดให้โทษ ประเภทที่ 3</t>
        </is>
      </c>
      <c r="E67" s="34" t="inlineStr">
        <is>
          <t>ยาอันตราย</t>
        </is>
      </c>
      <c r="F67" s="34" t="inlineStr">
        <is>
          <t>ยาควบคุมพิเศษ</t>
        </is>
      </c>
      <c r="G67" s="34" t="inlineStr">
        <is>
          <t>วัตถุออกฤทธิ์ต่อจิตและประสาท ประเภท 3</t>
        </is>
      </c>
      <c r="H67" s="34" t="inlineStr">
        <is>
          <t>[NEED_REVIEW]</t>
        </is>
      </c>
      <c r="I67" s="33" t="inlineStr">
        <is>
          <t>1</t>
        </is>
      </c>
      <c r="J67" s="34" t="inlineStr">
        <is>
          <t>✅ คำตอบที่ถูกต้อง: ข้อ ก. ยาเสพติดให้โทษ ประเภทที่ 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35" t="n"/>
      <c r="L67" s="34" t="inlineStr">
        <is>
          <t>Anemia</t>
        </is>
      </c>
      <c r="M67" s="35" t="inlineStr">
        <is>
          <t>Clinic</t>
        </is>
      </c>
      <c r="N67" s="34" t="inlineStr">
        <is>
          <t>ข้อ 4 (LAW-CU-71.md)</t>
        </is>
      </c>
      <c r="O67" s="35" t="inlineStr">
        <is>
          <t>Mock</t>
        </is>
      </c>
      <c r="P67" s="35" t="inlineStr">
        <is>
          <t>Mock กฎหมาย CU71</t>
        </is>
      </c>
    </row>
    <row r="68" ht="13.2" customHeight="1" s="49">
      <c r="A68" s="33" t="n">
        <v>66</v>
      </c>
      <c r="B68" s="34"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35" t="n"/>
      <c r="D68" s="34" t="inlineStr">
        <is>
          <t>Hydroxyurea 500 mg OD</t>
        </is>
      </c>
      <c r="E68" s="34" t="inlineStr">
        <is>
          <t>Blood transfusion (Packed Red Cells)</t>
        </is>
      </c>
      <c r="F68" s="34" t="inlineStr">
        <is>
          <t>Ferrous fumarate 200 mg TID</t>
        </is>
      </c>
      <c r="G68" s="34" t="inlineStr">
        <is>
          <t>Folic acid 5 mg OD</t>
        </is>
      </c>
      <c r="H68" s="34" t="inlineStr">
        <is>
          <t>Vitamin B12 1000 mcg IM</t>
        </is>
      </c>
      <c r="I68" s="33" t="inlineStr">
        <is>
          <t>1</t>
        </is>
      </c>
      <c r="J68" s="34"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35" t="n"/>
      <c r="L68" s="34" t="inlineStr">
        <is>
          <t>Anemia</t>
        </is>
      </c>
      <c r="M68" s="35" t="inlineStr">
        <is>
          <t>Clinic</t>
        </is>
      </c>
      <c r="N68" s="34" t="inlineStr">
        <is>
          <t>ข้อ 67 (PLE_CC1_2557.md)</t>
        </is>
      </c>
      <c r="O68" s="35" t="inlineStr">
        <is>
          <t>ข้อสอบจริง</t>
        </is>
      </c>
      <c r="P68" s="35" t="inlineStr">
        <is>
          <t>ปี 2557</t>
        </is>
      </c>
    </row>
    <row r="69" ht="13.2" customHeight="1" s="49">
      <c r="A69" s="33" t="n">
        <v>67</v>
      </c>
      <c r="B69" s="34" t="inlineStr">
        <is>
          <t>Ferrous sulfate</t>
        </is>
      </c>
      <c r="C69" s="35" t="n"/>
      <c r="D69" s="34" t="inlineStr">
        <is>
          <t>Folic acid 5 mg OD</t>
        </is>
      </c>
      <c r="E69" s="34" t="inlineStr">
        <is>
          <t>Vitamin B12 1000 mcg IM</t>
        </is>
      </c>
      <c r="F69" s="34" t="inlineStr">
        <is>
          <t>Deferoxamine 500 mg SC</t>
        </is>
      </c>
      <c r="G69" s="34" t="inlineStr">
        <is>
          <t>Erythropoietin 4000 units SC</t>
        </is>
      </c>
      <c r="H69" s="34" t="inlineStr">
        <is>
          <t>Ferrous sulfate 300 mg TID</t>
        </is>
      </c>
      <c r="I69" s="33" t="inlineStr">
        <is>
          <t>1</t>
        </is>
      </c>
      <c r="J6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35" t="n"/>
      <c r="L69" s="34" t="inlineStr">
        <is>
          <t>Anemia</t>
        </is>
      </c>
      <c r="M69" s="35" t="inlineStr">
        <is>
          <t>Clinic</t>
        </is>
      </c>
      <c r="N69" s="34" t="inlineStr">
        <is>
          <t>ข้อ 2 (PLE_CC1_2556.md)</t>
        </is>
      </c>
      <c r="O69" s="35" t="inlineStr">
        <is>
          <t>ข้อสอบจริง</t>
        </is>
      </c>
      <c r="P69" s="35" t="inlineStr">
        <is>
          <t>ปี 2556</t>
        </is>
      </c>
    </row>
    <row r="70" ht="13.2" customHeight="1" s="49">
      <c r="A70" s="33" t="n">
        <v>68</v>
      </c>
      <c r="B70" s="34" t="inlineStr">
        <is>
          <t>ข้อใดเป็นกลไกของHCTZ</t>
        </is>
      </c>
      <c r="C70" s="35" t="n"/>
      <c r="D70" s="34" t="inlineStr">
        <is>
          <t>Erythropoietin 4000 units SC</t>
        </is>
      </c>
      <c r="E70" s="34" t="inlineStr">
        <is>
          <t>Ferrous sulfate 300 mg TID</t>
        </is>
      </c>
      <c r="F70" s="34" t="inlineStr">
        <is>
          <t>Vitamin C 500 mg OD</t>
        </is>
      </c>
      <c r="G70" s="34" t="inlineStr">
        <is>
          <t>Pyridoxine 50 mg OD</t>
        </is>
      </c>
      <c r="H70" s="34" t="inlineStr">
        <is>
          <t>Hydroxyurea 500 mg OD</t>
        </is>
      </c>
      <c r="I70" s="33" t="inlineStr">
        <is>
          <t>1</t>
        </is>
      </c>
      <c r="J7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35" t="n"/>
      <c r="L70" s="34" t="inlineStr">
        <is>
          <t>Anemia</t>
        </is>
      </c>
      <c r="M70" s="35" t="inlineStr">
        <is>
          <t>Clinic</t>
        </is>
      </c>
      <c r="N70" s="34" t="inlineStr">
        <is>
          <t>ข้อ 9 (PLE_CC1_2556.md)</t>
        </is>
      </c>
      <c r="O70" s="35" t="inlineStr">
        <is>
          <t>ข้อสอบจริง</t>
        </is>
      </c>
      <c r="P70" s="35" t="inlineStr">
        <is>
          <t>ปี 2556</t>
        </is>
      </c>
    </row>
    <row r="71" ht="13.2" customHeight="1" s="49">
      <c r="A71" s="33" t="n">
        <v>69</v>
      </c>
      <c r="B71" s="34" t="inlineStr">
        <is>
          <t>จากโครงสร้างของยา HCTZ สามารถวิเคราะห์หาหมู่โครงสร้างได้โดยวิธีการใด</t>
        </is>
      </c>
      <c r="C71" s="35" t="n"/>
      <c r="D71" s="34" t="inlineStr">
        <is>
          <t>Finger print จาก FTIR</t>
        </is>
      </c>
      <c r="E71" s="34" t="inlineStr">
        <is>
          <t>Chromatogram จาก TLC</t>
        </is>
      </c>
      <c r="F71" s="34" t="inlineStr">
        <is>
          <t>UV</t>
        </is>
      </c>
      <c r="G71" s="34" t="inlineStr">
        <is>
          <t>..............</t>
        </is>
      </c>
      <c r="H71" s="34" t="inlineStr">
        <is>
          <t>.................</t>
        </is>
      </c>
      <c r="I71" s="33" t="inlineStr">
        <is>
          <t>1</t>
        </is>
      </c>
      <c r="J71" s="34" t="inlineStr">
        <is>
          <t>✅ คำตอบที่ถูกต้อง: ข้อ ก. Finger print จาก FTIR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35" t="n"/>
      <c r="L71" s="34" t="inlineStr">
        <is>
          <t>Anemia</t>
        </is>
      </c>
      <c r="M71" s="35" t="inlineStr">
        <is>
          <t>Clinic</t>
        </is>
      </c>
      <c r="N71" s="34" t="inlineStr">
        <is>
          <t>ข้อ 32 (PLE_CC1_2555 Day 1.md)</t>
        </is>
      </c>
      <c r="O71" s="35" t="inlineStr">
        <is>
          <t>ข้อสอบจริง</t>
        </is>
      </c>
      <c r="P71" s="35" t="inlineStr">
        <is>
          <t>ปี 2555</t>
        </is>
      </c>
    </row>
    <row r="72" ht="13.2" customHeight="1" s="49">
      <c r="A72" s="33" t="n">
        <v>70</v>
      </c>
      <c r="B72" s="34" t="inlineStr">
        <is>
          <t>ได้รับยา HCTZ เพิ่มขึ้น</t>
        </is>
      </c>
      <c r="C72" s="35" t="n"/>
      <c r="D72" s="34" t="inlineStr">
        <is>
          <t>Ferrous fumarate 200 mg TID</t>
        </is>
      </c>
      <c r="E72" s="34" t="inlineStr">
        <is>
          <t>Folic acid 5 mg OD</t>
        </is>
      </c>
      <c r="F72" s="34" t="inlineStr">
        <is>
          <t>Vitamin B12 1000 mcg IM</t>
        </is>
      </c>
      <c r="G72" s="34" t="inlineStr">
        <is>
          <t>Deferoxamine 500 mg SC</t>
        </is>
      </c>
      <c r="H72" s="34" t="inlineStr">
        <is>
          <t>Erythropoietin 4000 units SC</t>
        </is>
      </c>
      <c r="I72" s="33" t="inlineStr">
        <is>
          <t>1</t>
        </is>
      </c>
      <c r="J72" s="34"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35" t="n"/>
      <c r="L72" s="34" t="inlineStr">
        <is>
          <t>Anemia</t>
        </is>
      </c>
      <c r="M72" s="35" t="inlineStr">
        <is>
          <t>Clinic</t>
        </is>
      </c>
      <c r="N72" s="34" t="inlineStr">
        <is>
          <t>ข้อ 3 (PLE_CC1_2555 Day 2.md)</t>
        </is>
      </c>
      <c r="O72" s="35" t="inlineStr">
        <is>
          <t>ข้อสอบจริง</t>
        </is>
      </c>
      <c r="P72" s="35" t="inlineStr">
        <is>
          <t>ปี 2555</t>
        </is>
      </c>
    </row>
    <row r="73" ht="13.2" customHeight="1" s="49">
      <c r="A73" s="33" t="n">
        <v>71</v>
      </c>
      <c r="B73" s="34" t="inlineStr">
        <is>
          <t>Fe รูปเกลือใดที่ให้ elemental iron มากที่สุด</t>
        </is>
      </c>
      <c r="C73" s="35" t="n"/>
      <c r="D73" s="34" t="inlineStr">
        <is>
          <t>fumarate</t>
        </is>
      </c>
      <c r="E73" s="34" t="inlineStr">
        <is>
          <t>sulfate</t>
        </is>
      </c>
      <c r="F73" s="34" t="inlineStr">
        <is>
          <t>sulfate (exsiccated)</t>
        </is>
      </c>
      <c r="G73" s="34" t="inlineStr">
        <is>
          <t>Vitamin C 500 mg OD</t>
        </is>
      </c>
      <c r="H73" s="34" t="inlineStr">
        <is>
          <t>Pyridoxine 50 mg OD</t>
        </is>
      </c>
      <c r="I73" s="33" t="inlineStr">
        <is>
          <t>1</t>
        </is>
      </c>
      <c r="J73" s="34" t="inlineStr">
        <is>
          <t>✅ คำตอบที่ถูกต้อง: ข้อ ก.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35" t="n"/>
      <c r="L73" s="34" t="inlineStr">
        <is>
          <t>Anemia</t>
        </is>
      </c>
      <c r="M73" s="35" t="inlineStr">
        <is>
          <t>Clinic</t>
        </is>
      </c>
      <c r="N73" s="34" t="inlineStr">
        <is>
          <t>ข้อ 3 (PLE_CC1_2554 SET2.md)</t>
        </is>
      </c>
      <c r="O73" s="35" t="inlineStr">
        <is>
          <t>ข้อสอบจริง</t>
        </is>
      </c>
      <c r="P73" s="35" t="inlineStr">
        <is>
          <t>ปี 2554</t>
        </is>
      </c>
    </row>
    <row r="74" ht="13.2" customHeight="1" s="49">
      <c r="A74" s="33" t="n">
        <v>72</v>
      </c>
      <c r="B74" s="34"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35" t="n"/>
      <c r="D74" s="34" t="inlineStr">
        <is>
          <t>Vitamin C 500 mg OD</t>
        </is>
      </c>
      <c r="E74" s="34" t="inlineStr">
        <is>
          <t>Pyridoxine 50 mg OD</t>
        </is>
      </c>
      <c r="F74" s="34" t="inlineStr">
        <is>
          <t>Hydroxyurea 500 mg OD</t>
        </is>
      </c>
      <c r="G74" s="34" t="inlineStr">
        <is>
          <t>Blood transfusion (Packed Red Cells)</t>
        </is>
      </c>
      <c r="H74" s="34" t="inlineStr">
        <is>
          <t>Ferrous fumarate 200 mg TID</t>
        </is>
      </c>
      <c r="I74" s="33" t="inlineStr">
        <is>
          <t>1</t>
        </is>
      </c>
      <c r="J74" s="34"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35" t="n"/>
      <c r="L74" s="34" t="inlineStr">
        <is>
          <t>Anemia</t>
        </is>
      </c>
      <c r="M74" s="35" t="inlineStr">
        <is>
          <t>Clinic</t>
        </is>
      </c>
      <c r="N74" s="34" t="inlineStr">
        <is>
          <t>ข้อ 6 (PLE_CC1_2554 SET2.md)</t>
        </is>
      </c>
      <c r="O74" s="35" t="inlineStr">
        <is>
          <t>ข้อสอบจริง</t>
        </is>
      </c>
      <c r="P74" s="35" t="inlineStr">
        <is>
          <t>ปี 2554</t>
        </is>
      </c>
    </row>
    <row r="75" ht="13.2" customHeight="1" s="49">
      <c r="A75" s="33" t="n">
        <v>73</v>
      </c>
      <c r="B75" s="34" t="inlineStr">
        <is>
          <t>ข้อใดไม่เกี่ยวกับการเกิดภาวะโลหิตจางในครั้งนี้</t>
        </is>
      </c>
      <c r="C75" s="35" t="n"/>
      <c r="D75" s="34" t="inlineStr">
        <is>
          <t>Blood transfusion (Packed Red Cells)</t>
        </is>
      </c>
      <c r="E75" s="34" t="inlineStr">
        <is>
          <t>Ferrous fumarate 200 mg TID</t>
        </is>
      </c>
      <c r="F75" s="34" t="inlineStr">
        <is>
          <t>Folic acid 5 mg OD</t>
        </is>
      </c>
      <c r="G75" s="34" t="inlineStr">
        <is>
          <t>Vitamin B12 1000 mcg IM</t>
        </is>
      </c>
      <c r="H75" s="34" t="inlineStr">
        <is>
          <t>Deferoxamine 500 mg SC</t>
        </is>
      </c>
      <c r="I75" s="33" t="inlineStr">
        <is>
          <t>1</t>
        </is>
      </c>
      <c r="J7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35" t="n"/>
      <c r="L75" s="34" t="inlineStr">
        <is>
          <t>Anemia</t>
        </is>
      </c>
      <c r="M75" s="35" t="inlineStr">
        <is>
          <t>Clinic</t>
        </is>
      </c>
      <c r="N75" s="34" t="inlineStr">
        <is>
          <t>ข้อ 1 (PLE_CC1_2533.md)</t>
        </is>
      </c>
      <c r="O75" s="35" t="inlineStr">
        <is>
          <t>ข้อสอบจริง</t>
        </is>
      </c>
      <c r="P75" s="35" t="inlineStr">
        <is>
          <t>ปี 2533</t>
        </is>
      </c>
    </row>
    <row r="76" ht="13.2" customHeight="1" s="49">
      <c r="A76" s="33" t="n">
        <v>74</v>
      </c>
      <c r="B76" s="34" t="inlineStr">
        <is>
          <t>ชะพลู (5) (มีเพื่อนบอกว่าชะพลู มี Ca เยอะ จะลดการดูดซึมธาตุเหล็ก)</t>
        </is>
      </c>
      <c r="C76" s="35" t="n"/>
      <c r="D76" s="34" t="inlineStr">
        <is>
          <t>Vitamin B12 1000 mcg IM</t>
        </is>
      </c>
      <c r="E76" s="34" t="inlineStr">
        <is>
          <t>Deferoxamine 500 mg SC</t>
        </is>
      </c>
      <c r="F76" s="34" t="inlineStr">
        <is>
          <t>Erythropoietin 4000 units SC</t>
        </is>
      </c>
      <c r="G76" s="34" t="inlineStr">
        <is>
          <t>Ferrous sulfate 300 mg TID</t>
        </is>
      </c>
      <c r="H76" s="34" t="inlineStr">
        <is>
          <t>Vitamin C 500 mg OD</t>
        </is>
      </c>
      <c r="I76" s="33" t="inlineStr">
        <is>
          <t>1</t>
        </is>
      </c>
      <c r="J76" s="34"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35" t="n"/>
      <c r="L76" s="34" t="inlineStr">
        <is>
          <t>Anemia</t>
        </is>
      </c>
      <c r="M76" s="35" t="inlineStr">
        <is>
          <t>Clinic</t>
        </is>
      </c>
      <c r="N76" s="34" t="inlineStr">
        <is>
          <t>ข้อ 5 (PLE_CC1_2533.md)</t>
        </is>
      </c>
      <c r="O76" s="35" t="inlineStr">
        <is>
          <t>ข้อสอบจริง</t>
        </is>
      </c>
      <c r="P76" s="35" t="inlineStr">
        <is>
          <t>ปี 2533</t>
        </is>
      </c>
    </row>
    <row r="77" ht="13.2" customHeight="1" s="49">
      <c r="A77" s="33" t="n">
        <v>75</v>
      </c>
      <c r="B77" s="34" t="inlineStr">
        <is>
          <t>Progesterone ในผลิตภัณฑ์ยาคุมกำเนิดใดจัดอยู่ในกลุ่ม spironolactone derivative</t>
        </is>
      </c>
      <c r="C77" s="35" t="n"/>
      <c r="D77" s="34" t="inlineStr">
        <is>
          <t>Levonorgestrel</t>
        </is>
      </c>
      <c r="E77" s="34" t="inlineStr">
        <is>
          <t>Cyprosterone acetate</t>
        </is>
      </c>
      <c r="F77" s="34" t="inlineStr">
        <is>
          <t>Gestrodene</t>
        </is>
      </c>
      <c r="G77" s="34" t="inlineStr">
        <is>
          <t>Desogestrel</t>
        </is>
      </c>
      <c r="H77" s="34" t="inlineStr">
        <is>
          <t>Drospirenone</t>
        </is>
      </c>
      <c r="I77" s="33" t="inlineStr">
        <is>
          <t>1</t>
        </is>
      </c>
      <c r="J77" s="34" t="inlineStr">
        <is>
          <t>✅ คำตอบที่ถูกต้อง: ข้อ ก. Levonorgestrel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35" t="n"/>
      <c r="L77" s="34" t="inlineStr">
        <is>
          <t>Anemia</t>
        </is>
      </c>
      <c r="M77" s="35" t="inlineStr">
        <is>
          <t>Clinic</t>
        </is>
      </c>
      <c r="N77" s="34" t="inlineStr">
        <is>
          <t>ข้อ 6 (PLE_CC1_Practice_Exam.md)</t>
        </is>
      </c>
      <c r="O77" s="35" t="inlineStr">
        <is>
          <t>Mock</t>
        </is>
      </c>
      <c r="P77" s="35" t="inlineStr">
        <is>
          <t>Mock สภาเภสัชฯ Practice</t>
        </is>
      </c>
    </row>
    <row r="78" ht="13.2" customHeight="1" s="49">
      <c r="A78" s="33" t="n">
        <v>76</v>
      </c>
      <c r="B78" s="34" t="inlineStr">
        <is>
          <t>ข้อใดไม่ใช่ยาเสริมธาตุเหล็กในรูปแบบยาฉีด</t>
        </is>
      </c>
      <c r="C78" s="35" t="n"/>
      <c r="D78" s="34" t="inlineStr">
        <is>
          <t>Iron dextran</t>
        </is>
      </c>
      <c r="E78" s="34" t="inlineStr">
        <is>
          <t>Iron sucrose complex</t>
        </is>
      </c>
      <c r="F78" s="34" t="inlineStr">
        <is>
          <t>iron sodium gluconate complex</t>
        </is>
      </c>
      <c r="G78" s="34" t="inlineStr">
        <is>
          <t>ferrous fumarate</t>
        </is>
      </c>
      <c r="H78" s="34" t="inlineStr">
        <is>
          <t>ทุกข้อเป็นยาฉีด 31.ข้อใดไม่ใช่อาการข้างเคียงจากการได้รับยาเสริมธาตุเหล็กรูปแบบยาฉีด</t>
        </is>
      </c>
      <c r="I78" s="33" t="inlineStr">
        <is>
          <t>3</t>
        </is>
      </c>
      <c r="J78" s="34" t="inlineStr">
        <is>
          <t>✅ คำตอบที่ถูกต้อง: ข้อ ค. iron sodium gluconate complex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35" t="n"/>
      <c r="L78" s="34" t="inlineStr">
        <is>
          <t>Anemia</t>
        </is>
      </c>
      <c r="M78" s="35" t="inlineStr">
        <is>
          <t>Clinic</t>
        </is>
      </c>
      <c r="N78" s="34" t="inlineStr">
        <is>
          <t>ข้อ 30 (PLE_CC1_Practice_Exam.md)</t>
        </is>
      </c>
      <c r="O78" s="35" t="inlineStr">
        <is>
          <t>Mock</t>
        </is>
      </c>
      <c r="P78" s="35" t="inlineStr">
        <is>
          <t>Mock สภาเภสัชฯ Practice</t>
        </is>
      </c>
    </row>
    <row r="79" ht="13.2" customHeight="1" s="49">
      <c r="A79" s="33" t="n">
        <v>77</v>
      </c>
      <c r="B79" s="34" t="inlineStr">
        <is>
          <t>Spironolactone ออกฤทธิ์ที่collecting tubule</t>
        </is>
      </c>
      <c r="C79" s="35" t="n"/>
      <c r="D79" s="34" t="inlineStr">
        <is>
          <t>Folic acid 5 mg OD</t>
        </is>
      </c>
      <c r="E79" s="34" t="inlineStr">
        <is>
          <t>Vitamin B12 1000 mcg IM</t>
        </is>
      </c>
      <c r="F79" s="34" t="inlineStr">
        <is>
          <t>Deferoxamine 500 mg SC</t>
        </is>
      </c>
      <c r="G79" s="34" t="inlineStr">
        <is>
          <t>Erythropoietin 4000 units SC</t>
        </is>
      </c>
      <c r="H79" s="34" t="inlineStr">
        <is>
          <t>Ferrous sulfate 300 mg TID</t>
        </is>
      </c>
      <c r="I79" s="33" t="inlineStr">
        <is>
          <t>1</t>
        </is>
      </c>
      <c r="J7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35" t="n"/>
      <c r="L79" s="34" t="inlineStr">
        <is>
          <t>Anemia</t>
        </is>
      </c>
      <c r="M79" s="35" t="inlineStr">
        <is>
          <t>Clinic</t>
        </is>
      </c>
      <c r="N79" s="34" t="inlineStr">
        <is>
          <t>ข้อ 3 (PLE_CC1_Key_Rx20_UBU.md)</t>
        </is>
      </c>
      <c r="O79" s="35" t="inlineStr">
        <is>
          <t>Mock</t>
        </is>
      </c>
      <c r="P79" s="35" t="inlineStr">
        <is>
          <t>Mock Rx20 UBU</t>
        </is>
      </c>
    </row>
    <row r="80" ht="13.2" customHeight="1" s="49">
      <c r="A80" s="33" t="n">
        <v>78</v>
      </c>
      <c r="B80" s="34" t="inlineStr">
        <is>
          <t>การได้รับยา HCTZ</t>
        </is>
      </c>
      <c r="C80" s="35" t="n"/>
      <c r="D80" s="34" t="inlineStr">
        <is>
          <t>Erythropoietin 4000 units SC</t>
        </is>
      </c>
      <c r="E80" s="34" t="inlineStr">
        <is>
          <t>Ferrous sulfate 300 mg TID</t>
        </is>
      </c>
      <c r="F80" s="34" t="inlineStr">
        <is>
          <t>Vitamin C 500 mg OD</t>
        </is>
      </c>
      <c r="G80" s="34" t="inlineStr">
        <is>
          <t>Pyridoxine 50 mg OD</t>
        </is>
      </c>
      <c r="H80" s="34" t="inlineStr">
        <is>
          <t>Hydroxyurea 500 mg OD</t>
        </is>
      </c>
      <c r="I80" s="33" t="inlineStr">
        <is>
          <t>1</t>
        </is>
      </c>
      <c r="J8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35" t="n"/>
      <c r="L80" s="34" t="inlineStr">
        <is>
          <t>Anemia</t>
        </is>
      </c>
      <c r="M80" s="35" t="inlineStr">
        <is>
          <t>Clinic</t>
        </is>
      </c>
      <c r="N80" s="34" t="inlineStr">
        <is>
          <t>ข้อ 2 (PLE_CC1_Key_Rx20_UBU.md)</t>
        </is>
      </c>
      <c r="O80" s="35" t="inlineStr">
        <is>
          <t>Mock</t>
        </is>
      </c>
      <c r="P80" s="35" t="inlineStr">
        <is>
          <t>Mock Rx20 UBU</t>
        </is>
      </c>
    </row>
    <row r="81" ht="13.2" customHeight="1" s="49">
      <c r="A81" s="33" t="n">
        <v>79</v>
      </c>
      <c r="B81" s="34" t="inlineStr">
        <is>
          <t>Spironalactone ใน AKI จะใช้ Loop diuretics</t>
        </is>
      </c>
      <c r="C81" s="35" t="n"/>
      <c r="D81" s="34" t="inlineStr">
        <is>
          <t>Pyridoxine 50 mg OD</t>
        </is>
      </c>
      <c r="E81" s="34" t="inlineStr">
        <is>
          <t>Hydroxyurea 500 mg OD</t>
        </is>
      </c>
      <c r="F81" s="34" t="inlineStr">
        <is>
          <t>Blood transfusion (Packed Red Cells)</t>
        </is>
      </c>
      <c r="G81" s="34" t="inlineStr">
        <is>
          <t>Ferrous fumarate 200 mg TID</t>
        </is>
      </c>
      <c r="H81" s="34" t="inlineStr">
        <is>
          <t>Folic acid 5 mg OD</t>
        </is>
      </c>
      <c r="I81" s="33" t="inlineStr">
        <is>
          <t>1</t>
        </is>
      </c>
      <c r="J81" s="34"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35" t="n"/>
      <c r="L81" s="34" t="inlineStr">
        <is>
          <t>Anemia</t>
        </is>
      </c>
      <c r="M81" s="35" t="inlineStr">
        <is>
          <t>Clinic</t>
        </is>
      </c>
      <c r="N81" s="34" t="inlineStr">
        <is>
          <t>ข้อ 5 (PLE_CC1_Key_Rx20_UBU.md)</t>
        </is>
      </c>
      <c r="O81" s="35" t="inlineStr">
        <is>
          <t>Mock</t>
        </is>
      </c>
      <c r="P81" s="35" t="inlineStr">
        <is>
          <t>Mock Rx20 UBU</t>
        </is>
      </c>
    </row>
    <row r="82" ht="13.2" customHeight="1" s="49">
      <c r="A82" s="33" t="n">
        <v>80</v>
      </c>
      <c r="B82" s="34" t="inlineStr">
        <is>
          <t>HCTZ ยับยั้งการดูดกลับของน้ำที่ collecting duct</t>
        </is>
      </c>
      <c r="C82" s="35" t="n"/>
      <c r="D82" s="34" t="inlineStr">
        <is>
          <t>Ferrous fumarate 200 mg TID</t>
        </is>
      </c>
      <c r="E82" s="34" t="inlineStr">
        <is>
          <t>Folic acid 5 mg OD</t>
        </is>
      </c>
      <c r="F82" s="34" t="inlineStr">
        <is>
          <t>Vitamin B12 1000 mcg IM</t>
        </is>
      </c>
      <c r="G82" s="34" t="inlineStr">
        <is>
          <t>Deferoxamine 500 mg SC</t>
        </is>
      </c>
      <c r="H82" s="34" t="inlineStr">
        <is>
          <t>Erythropoietin 4000 units SC</t>
        </is>
      </c>
      <c r="I82" s="33" t="inlineStr">
        <is>
          <t>1</t>
        </is>
      </c>
      <c r="J82" s="34"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35" t="n"/>
      <c r="L82" s="34" t="inlineStr">
        <is>
          <t>Anemia</t>
        </is>
      </c>
      <c r="M82" s="35" t="inlineStr">
        <is>
          <t>Clinic</t>
        </is>
      </c>
      <c r="N82" s="34" t="inlineStr">
        <is>
          <t>ข้อ 1 (PLE_CC1_Key_Rx20_UBU.md)</t>
        </is>
      </c>
      <c r="O82" s="35" t="inlineStr">
        <is>
          <t>Mock</t>
        </is>
      </c>
      <c r="P82" s="35" t="inlineStr">
        <is>
          <t>Mock Rx20 UBU</t>
        </is>
      </c>
    </row>
    <row r="83" ht="13.2" customHeight="1" s="49">
      <c r="A83" s="33" t="n">
        <v>81</v>
      </c>
      <c r="B83" s="34" t="inlineStr">
        <is>
          <t>ต่อมาแพทย์สั่งจ่ายยา HCTZ 25 mg 1x1 เภสัชกรควรติดตามค่าทางห้องปฏิบัติการใดของผู้ป่วย</t>
        </is>
      </c>
      <c r="C83" s="35" t="n"/>
      <c r="D83" s="34" t="inlineStr">
        <is>
          <t>Deferoxamine 500 mg SC</t>
        </is>
      </c>
      <c r="E83" s="34" t="inlineStr">
        <is>
          <t>Erythropoietin 4000 units SC</t>
        </is>
      </c>
      <c r="F83" s="34" t="inlineStr">
        <is>
          <t>Ferrous sulfate 300 mg TID</t>
        </is>
      </c>
      <c r="G83" s="34" t="inlineStr">
        <is>
          <t>Vitamin C 500 mg OD</t>
        </is>
      </c>
      <c r="H83" s="34" t="inlineStr">
        <is>
          <t>Pyridoxine 50 mg OD</t>
        </is>
      </c>
      <c r="I83" s="33" t="inlineStr">
        <is>
          <t>1</t>
        </is>
      </c>
      <c r="J83" s="34" t="inlineStr">
        <is>
          <t>✅ คำตอบที่ถูกต้อง: ข้อ ก. Deferoxamine 500 mg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35" t="n"/>
      <c r="L83" s="34" t="inlineStr">
        <is>
          <t>Anemia</t>
        </is>
      </c>
      <c r="M83" s="35" t="inlineStr">
        <is>
          <t>Clinic</t>
        </is>
      </c>
      <c r="N83" s="34" t="inlineStr">
        <is>
          <t>ข้อ 4 (PLE_CC1_Key_Rx20_UBU.md)</t>
        </is>
      </c>
      <c r="O83" s="35" t="inlineStr">
        <is>
          <t>Mock</t>
        </is>
      </c>
      <c r="P83" s="35" t="inlineStr">
        <is>
          <t>Mock Rx20 UBU</t>
        </is>
      </c>
    </row>
    <row r="84" ht="13.2" customHeight="1" s="49">
      <c r="A84" s="33" t="n">
        <v>82</v>
      </c>
      <c r="B84" s="34" t="inlineStr">
        <is>
          <t>7.ยา HCTZ เป็นยาที่จัดอยู่ใน BSC class 3 หมายถึงอะไร</t>
        </is>
      </c>
      <c r="C84" s="35" t="n"/>
      <c r="D84" s="34" t="inlineStr">
        <is>
          <t>Vitamin C 500 mg OD</t>
        </is>
      </c>
      <c r="E84" s="34" t="inlineStr">
        <is>
          <t>Pyridoxine 50 mg OD</t>
        </is>
      </c>
      <c r="F84" s="34" t="inlineStr">
        <is>
          <t>Hydroxyurea 500 mg OD</t>
        </is>
      </c>
      <c r="G84" s="34" t="inlineStr">
        <is>
          <t>Blood transfusion (Packed Red Cells)</t>
        </is>
      </c>
      <c r="H84" s="34" t="inlineStr">
        <is>
          <t>Ferrous fumarate 200 mg TID</t>
        </is>
      </c>
      <c r="I84" s="33" t="inlineStr">
        <is>
          <t>1</t>
        </is>
      </c>
      <c r="J84" s="34"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35" t="n"/>
      <c r="L84" s="34" t="inlineStr">
        <is>
          <t>Anemia</t>
        </is>
      </c>
      <c r="M84" s="35" t="inlineStr">
        <is>
          <t>Clinic</t>
        </is>
      </c>
      <c r="N84" s="34" t="inlineStr">
        <is>
          <t>ข้อ 4 (PLE_CC1_Key_Rx20_UBU.md)</t>
        </is>
      </c>
      <c r="O84" s="35" t="inlineStr">
        <is>
          <t>Mock</t>
        </is>
      </c>
      <c r="P84" s="35" t="inlineStr">
        <is>
          <t>Mock Rx20 UBU</t>
        </is>
      </c>
    </row>
    <row r="85" ht="13.2" customHeight="1" s="49">
      <c r="A85" s="33" t="n">
        <v>83</v>
      </c>
      <c r="B85" s="34" t="inlineStr">
        <is>
          <t>8.ยา HCTZ เป็นยาที่ต้องควบคุมคุณภาพ ตาม USP ข้อใด</t>
        </is>
      </c>
      <c r="C85" s="35" t="n"/>
      <c r="D85" s="34" t="inlineStr">
        <is>
          <t>Blood transfusion (Packed Red Cells)</t>
        </is>
      </c>
      <c r="E85" s="34" t="inlineStr">
        <is>
          <t>Ferrous fumarate 200 mg TID</t>
        </is>
      </c>
      <c r="F85" s="34" t="inlineStr">
        <is>
          <t>Folic acid 5 mg OD</t>
        </is>
      </c>
      <c r="G85" s="34" t="inlineStr">
        <is>
          <t>Vitamin B12 1000 mcg IM</t>
        </is>
      </c>
      <c r="H85" s="34" t="inlineStr">
        <is>
          <t>Deferoxamine 500 mg SC</t>
        </is>
      </c>
      <c r="I85" s="33" t="inlineStr">
        <is>
          <t>1</t>
        </is>
      </c>
      <c r="J8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35" t="n"/>
      <c r="L85" s="34" t="inlineStr">
        <is>
          <t>Anemia</t>
        </is>
      </c>
      <c r="M85" s="35" t="inlineStr">
        <is>
          <t>Clinic</t>
        </is>
      </c>
      <c r="N85" s="34" t="inlineStr">
        <is>
          <t>ข้อ 5 (PLE_CC1_Key_Rx20_UBU.md)</t>
        </is>
      </c>
      <c r="O85" s="35" t="inlineStr">
        <is>
          <t>Mock</t>
        </is>
      </c>
      <c r="P85" s="35" t="inlineStr">
        <is>
          <t>Mock Rx20 UBU</t>
        </is>
      </c>
    </row>
    <row r="86" ht="13.2" customHeight="1" s="49">
      <c r="A86" s="33" t="n">
        <v>84</v>
      </c>
      <c r="B86" s="34" t="inlineStr">
        <is>
          <t>ปรับขนาด HCTZ ขึ้น</t>
        </is>
      </c>
      <c r="C86" s="35" t="n"/>
      <c r="D86" s="34" t="inlineStr">
        <is>
          <t>Vitamin B12 1000 mcg IM</t>
        </is>
      </c>
      <c r="E86" s="34" t="inlineStr">
        <is>
          <t>Deferoxamine 500 mg SC</t>
        </is>
      </c>
      <c r="F86" s="34" t="inlineStr">
        <is>
          <t>Erythropoietin 4000 units SC</t>
        </is>
      </c>
      <c r="G86" s="34" t="inlineStr">
        <is>
          <t>Ferrous sulfate 300 mg TID</t>
        </is>
      </c>
      <c r="H86" s="34" t="inlineStr">
        <is>
          <t>Vitamin C 500 mg OD</t>
        </is>
      </c>
      <c r="I86" s="33" t="inlineStr">
        <is>
          <t>1</t>
        </is>
      </c>
      <c r="J86" s="34"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35" t="n"/>
      <c r="L86" s="34" t="inlineStr">
        <is>
          <t>Anemia</t>
        </is>
      </c>
      <c r="M86" s="35" t="inlineStr">
        <is>
          <t>Clinic</t>
        </is>
      </c>
      <c r="N86" s="34" t="inlineStr">
        <is>
          <t>ข้อ 3 (PLE_CC1_Key_Rx20_UBU.md)</t>
        </is>
      </c>
      <c r="O86" s="35" t="inlineStr">
        <is>
          <t>Mock</t>
        </is>
      </c>
      <c r="P86" s="35" t="inlineStr">
        <is>
          <t>Mock Rx20 UBU</t>
        </is>
      </c>
    </row>
    <row r="87" ht="13.2" customHeight="1" s="49">
      <c r="A87" s="33" t="n">
        <v>85</v>
      </c>
      <c r="B87" s="34" t="inlineStr">
        <is>
          <t>ferrous sulfate</t>
        </is>
      </c>
      <c r="C87" s="35" t="n"/>
      <c r="D87" s="34" t="inlineStr">
        <is>
          <t>Ferrous sulfate 300 mg TID</t>
        </is>
      </c>
      <c r="E87" s="34" t="inlineStr">
        <is>
          <t>Vitamin C 500 mg OD</t>
        </is>
      </c>
      <c r="F87" s="34" t="inlineStr">
        <is>
          <t>Pyridoxine 50 mg OD</t>
        </is>
      </c>
      <c r="G87" s="34" t="inlineStr">
        <is>
          <t>Hydroxyurea 500 mg OD</t>
        </is>
      </c>
      <c r="H87" s="34" t="inlineStr">
        <is>
          <t>Blood transfusion (Packed Red Cells)</t>
        </is>
      </c>
      <c r="I87" s="33" t="inlineStr">
        <is>
          <t>1</t>
        </is>
      </c>
      <c r="J87" s="34"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35" t="n"/>
      <c r="L87" s="34" t="inlineStr">
        <is>
          <t>Anemia</t>
        </is>
      </c>
      <c r="M87" s="35" t="inlineStr">
        <is>
          <t>Clinic</t>
        </is>
      </c>
      <c r="N87" s="34" t="inlineStr">
        <is>
          <t>ข้อ 3 (PLE_CC1_Key_Rx20_UBU.md)</t>
        </is>
      </c>
      <c r="O87" s="35" t="inlineStr">
        <is>
          <t>Mock</t>
        </is>
      </c>
      <c r="P87" s="35" t="inlineStr">
        <is>
          <t>Mock Rx20 UBU</t>
        </is>
      </c>
    </row>
    <row r="88" ht="13.2" customHeight="1" s="49">
      <c r="A88" s="33" t="n">
        <v>86</v>
      </c>
      <c r="B88" s="34" t="inlineStr">
        <is>
          <t>ferrous anhydrous sulphate ซึ่งตามคำแนะนำถ้าผู้ป่วยมี Hb&lt;10 g/dl สามารถพิจารณาให้ ESA ได้</t>
        </is>
      </c>
      <c r="C88" s="35" t="n"/>
      <c r="D88" s="34" t="inlineStr">
        <is>
          <t>Hydroxyurea 500 mg OD</t>
        </is>
      </c>
      <c r="E88" s="34" t="inlineStr">
        <is>
          <t>Blood transfusion (Packed Red Cells)</t>
        </is>
      </c>
      <c r="F88" s="34" t="inlineStr">
        <is>
          <t>Ferrous fumarate 200 mg TID</t>
        </is>
      </c>
      <c r="G88" s="34" t="inlineStr">
        <is>
          <t>Folic acid 5 mg OD</t>
        </is>
      </c>
      <c r="H88" s="34" t="inlineStr">
        <is>
          <t>Vitamin B12 1000 mcg IM</t>
        </is>
      </c>
      <c r="I88" s="33" t="inlineStr">
        <is>
          <t>5</t>
        </is>
      </c>
      <c r="J88" s="34" t="inlineStr">
        <is>
          <t>✅ คำตอบที่ถูกต้อง: ข้อ จ.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35" t="n"/>
      <c r="L88" s="34" t="inlineStr">
        <is>
          <t>Anemia</t>
        </is>
      </c>
      <c r="M88" s="35" t="inlineStr">
        <is>
          <t>Clinic</t>
        </is>
      </c>
      <c r="N88" s="34" t="inlineStr">
        <is>
          <t>ข้อ 5 (PLE_CC1_Key_Rx20_UBU.md)</t>
        </is>
      </c>
      <c r="O88" s="35" t="inlineStr">
        <is>
          <t>Mock</t>
        </is>
      </c>
      <c r="P88" s="35" t="inlineStr">
        <is>
          <t>Mock Rx20 UBU</t>
        </is>
      </c>
    </row>
    <row r="89" ht="13.2" customHeight="1" s="49">
      <c r="A89" s="33" t="n">
        <v>87</v>
      </c>
      <c r="B89" s="34" t="inlineStr">
        <is>
          <t>ผู้ป่วยต้องรับการรักษาแบบใดเพื่อรักษาภาวะโลหิตจาง</t>
        </is>
      </c>
      <c r="C89" s="35" t="n"/>
      <c r="D89" s="34" t="inlineStr">
        <is>
          <t>Folic acid 5 mg OD</t>
        </is>
      </c>
      <c r="E89" s="34" t="inlineStr">
        <is>
          <t>Vitamin B12 1000 mcg IM</t>
        </is>
      </c>
      <c r="F89" s="34" t="inlineStr">
        <is>
          <t>Deferoxamine 500 mg SC</t>
        </is>
      </c>
      <c r="G89" s="34" t="inlineStr">
        <is>
          <t>Erythropoietin 4000 units SC</t>
        </is>
      </c>
      <c r="H89" s="34" t="inlineStr">
        <is>
          <t>Ferrous sulfate 300 mg TID</t>
        </is>
      </c>
      <c r="I89" s="33" t="inlineStr">
        <is>
          <t>1</t>
        </is>
      </c>
      <c r="J8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35" t="n"/>
      <c r="L89" s="34" t="inlineStr">
        <is>
          <t>Anemia</t>
        </is>
      </c>
      <c r="M89" s="35" t="inlineStr">
        <is>
          <t>Clinic</t>
        </is>
      </c>
      <c r="N89" s="34" t="inlineStr">
        <is>
          <t>ข้อ 7 (PLE_CC1_Key_Rx20_UBU.md)</t>
        </is>
      </c>
      <c r="O89" s="35" t="inlineStr">
        <is>
          <t>Mock</t>
        </is>
      </c>
      <c r="P89" s="35" t="inlineStr">
        <is>
          <t>Mock Rx20 UBU</t>
        </is>
      </c>
    </row>
    <row r="90" ht="13.2" customHeight="1" s="49">
      <c r="A90" s="33" t="n">
        <v>88</v>
      </c>
      <c r="B90" s="34" t="inlineStr">
        <is>
          <t>เพิ่มขนาดยา HCTZ</t>
        </is>
      </c>
      <c r="C90" s="35" t="n"/>
      <c r="D90" s="34" t="inlineStr">
        <is>
          <t>Erythropoietin 4000 units SC</t>
        </is>
      </c>
      <c r="E90" s="34" t="inlineStr">
        <is>
          <t>Ferrous sulfate 300 mg TID</t>
        </is>
      </c>
      <c r="F90" s="34" t="inlineStr">
        <is>
          <t>Vitamin C 500 mg OD</t>
        </is>
      </c>
      <c r="G90" s="34" t="inlineStr">
        <is>
          <t>Pyridoxine 50 mg OD</t>
        </is>
      </c>
      <c r="H90" s="34" t="inlineStr">
        <is>
          <t>Hydroxyurea 500 mg OD</t>
        </is>
      </c>
      <c r="I90" s="33" t="inlineStr">
        <is>
          <t>1</t>
        </is>
      </c>
      <c r="J9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35" t="n"/>
      <c r="L90" s="34" t="inlineStr">
        <is>
          <t>Anemia</t>
        </is>
      </c>
      <c r="M90" s="35" t="inlineStr">
        <is>
          <t>Clinic</t>
        </is>
      </c>
      <c r="N90" s="34" t="inlineStr">
        <is>
          <t>ข้อ 1 (PLE_CC1_Key_Rx20_UBU.md)</t>
        </is>
      </c>
      <c r="O90" s="35" t="inlineStr">
        <is>
          <t>Mock</t>
        </is>
      </c>
      <c r="P90" s="35" t="inlineStr">
        <is>
          <t>Mock Rx20 UBU</t>
        </is>
      </c>
    </row>
    <row r="91" ht="13.2" customHeight="1" s="49">
      <c r="A91" s="33" t="n">
        <v>89</v>
      </c>
      <c r="B91" s="34" t="inlineStr">
        <is>
          <t>60. สารพฤกษาเคมีที่มีผลรบกวนการดูดซึมธาตุเหล็ก</t>
        </is>
      </c>
      <c r="C91" s="35" t="n"/>
      <c r="D91" s="34" t="inlineStr">
        <is>
          <t>Pyridoxine 50 mg OD</t>
        </is>
      </c>
      <c r="E91" s="34" t="inlineStr">
        <is>
          <t>Hydroxyurea 500 mg OD</t>
        </is>
      </c>
      <c r="F91" s="34" t="inlineStr">
        <is>
          <t>Blood transfusion (Packed Red Cells)</t>
        </is>
      </c>
      <c r="G91" s="34" t="inlineStr">
        <is>
          <t>Ferrous fumarate 200 mg TID</t>
        </is>
      </c>
      <c r="H91" s="34" t="inlineStr">
        <is>
          <t>Folic acid 5 mg OD</t>
        </is>
      </c>
      <c r="I91" s="33" t="inlineStr">
        <is>
          <t>1</t>
        </is>
      </c>
      <c r="J91" s="34" t="inlineStr">
        <is>
          <t>✅ คำตอบที่ถูกต้อง: ข้อ ก. Pyridoxine 50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35" t="n"/>
      <c r="L91" s="34" t="inlineStr">
        <is>
          <t>Anemia</t>
        </is>
      </c>
      <c r="M91" s="35" t="inlineStr">
        <is>
          <t>Clinic</t>
        </is>
      </c>
      <c r="N91" s="34" t="inlineStr">
        <is>
          <t>ข้อ 5 (PLE_CC1_Key_Rx20_UBU.md)</t>
        </is>
      </c>
      <c r="O91" s="35" t="inlineStr">
        <is>
          <t>Mock</t>
        </is>
      </c>
      <c r="P91" s="35" t="inlineStr">
        <is>
          <t>Mock Rx20 UBU</t>
        </is>
      </c>
    </row>
    <row r="92" ht="13.2" customHeight="1" s="49">
      <c r="A92" s="33" t="n">
        <v>90</v>
      </c>
      <c r="B92" s="34" t="inlineStr">
        <is>
          <t>โรคโลหิตจางธาลัสซีเมีย เกิดจากความผิดปกติใด</t>
        </is>
      </c>
      <c r="C92" s="35" t="n"/>
      <c r="D92" s="34" t="inlineStr">
        <is>
          <t>เกิดจากการขาดฮอร_โมน Erythropoietin ทำให$การสร$างเม็ดเลือดแดงไมGสมบูรณ_</t>
        </is>
      </c>
      <c r="E92" s="34" t="inlineStr">
        <is>
          <t>เกิดจากการขาดเหล็กทำให$การสร$างเม็ดเลือดแดงไมGสมบูรณ_</t>
        </is>
      </c>
      <c r="F92" s="34" t="inlineStr">
        <is>
          <t>เกิดจากการขาด Cyanocobalamin ทำให$การสร$างเม็ดเลือดแดงไมGสมบูรณ_</t>
        </is>
      </c>
      <c r="G92" s="34" t="inlineStr">
        <is>
          <t>เกิดจากการสร$างสาย Hb ที่ผิดปกติ</t>
        </is>
      </c>
      <c r="H92" s="34" t="inlineStr">
        <is>
          <t>เกิดจากรGางกายมีภาวะพรGองเอนไซม_ G6PD Globin ของ Hb (Heme+Globin)</t>
        </is>
      </c>
      <c r="I92" s="33" t="inlineStr">
        <is>
          <t>2</t>
        </is>
      </c>
      <c r="J92" s="34" t="inlineStr">
        <is>
          <t>✅ คำตอบที่ถูกต้อง: ข้อ ข. เกิดจากการขาดเหล็กทำให$การสร$างเม็ดเลือดแดงไมGสมบูรณ_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35" t="n"/>
      <c r="L92" s="34" t="inlineStr">
        <is>
          <t>Anemia</t>
        </is>
      </c>
      <c r="M92" s="35" t="inlineStr">
        <is>
          <t>Clinic</t>
        </is>
      </c>
      <c r="N92" s="34" t="inlineStr">
        <is>
          <t>ข้อ 82 (PLE_CC1_Key_Rx20_UBU.md)</t>
        </is>
      </c>
      <c r="O92" s="35" t="inlineStr">
        <is>
          <t>Mock</t>
        </is>
      </c>
      <c r="P92" s="35" t="inlineStr">
        <is>
          <t>Mock Rx20 UBU</t>
        </is>
      </c>
    </row>
    <row r="93" ht="13.2" customHeight="1" s="49">
      <c r="A93" s="33" t="n">
        <v>91</v>
      </c>
      <c r="B93" s="34" t="inlineStr">
        <is>
          <t>การวินิจฉัยภาวะโลหิตจางธาลัสซีเมียวินิจฉัยจากอะไร</t>
        </is>
      </c>
      <c r="C93" s="35" t="n"/>
      <c r="D93" s="34" t="inlineStr">
        <is>
          <t>CBC</t>
        </is>
      </c>
      <c r="E93" s="34" t="inlineStr">
        <is>
          <t>% Iron</t>
        </is>
      </c>
      <c r="F93" s="34" t="inlineStr">
        <is>
          <t>Hb typing</t>
        </is>
      </c>
      <c r="G93" s="34" t="inlineStr">
        <is>
          <t>PBS (Peripheral blood smear)</t>
        </is>
      </c>
      <c r="H93" s="34" t="inlineStr">
        <is>
          <t>ขอแย5งนะคะ คิดว=าควรตอบ ค. Hb typing</t>
        </is>
      </c>
      <c r="I93" s="33" t="inlineStr">
        <is>
          <t>2</t>
        </is>
      </c>
      <c r="J93" s="34" t="inlineStr">
        <is>
          <t>✅ คำตอบที่ถูกต้อง: ข้อ ข. % Iron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35" t="n"/>
      <c r="L93" s="34" t="inlineStr">
        <is>
          <t>Anemia</t>
        </is>
      </c>
      <c r="M93" s="35" t="inlineStr">
        <is>
          <t>Clinic</t>
        </is>
      </c>
      <c r="N93" s="34" t="inlineStr">
        <is>
          <t>ข้อ 83 (PLE_CC1_Key_Rx20_UBU.md)</t>
        </is>
      </c>
      <c r="O93" s="35" t="inlineStr">
        <is>
          <t>Mock</t>
        </is>
      </c>
      <c r="P93" s="35" t="inlineStr">
        <is>
          <t>Mock Rx20 UBU</t>
        </is>
      </c>
    </row>
    <row r="94" ht="13.2" customHeight="1" s="49">
      <c r="A94" s="33" t="n">
        <v>92</v>
      </c>
      <c r="B94" s="34" t="inlineStr">
        <is>
          <t>Desogestrel สามารถลดการบวมน้ำได้เนื่องจากเป็นอนุพันธ์ของ spironoolactone</t>
        </is>
      </c>
      <c r="C94" s="35" t="n"/>
      <c r="D94" s="34" t="inlineStr">
        <is>
          <t>Vitamin C 500 mg OD</t>
        </is>
      </c>
      <c r="E94" s="34" t="inlineStr">
        <is>
          <t>Pyridoxine 50 mg OD</t>
        </is>
      </c>
      <c r="F94" s="34" t="inlineStr">
        <is>
          <t>Hydroxyurea 500 mg OD</t>
        </is>
      </c>
      <c r="G94" s="34" t="inlineStr">
        <is>
          <t>Blood transfusion (Packed Red Cells)</t>
        </is>
      </c>
      <c r="H94" s="34" t="inlineStr">
        <is>
          <t>Ferrous fumarate 200 mg TID</t>
        </is>
      </c>
      <c r="I94" s="33" t="inlineStr">
        <is>
          <t>4</t>
        </is>
      </c>
      <c r="J94" s="34" t="inlineStr">
        <is>
          <t>✅ คำตอบที่ถูกต้อง: ข้อ ง.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35" t="n"/>
      <c r="L94" s="34" t="inlineStr">
        <is>
          <t>Anemia</t>
        </is>
      </c>
      <c r="M94" s="35" t="inlineStr">
        <is>
          <t>Clinic</t>
        </is>
      </c>
      <c r="N94" s="34" t="inlineStr">
        <is>
          <t>ข้อ 3 (PLE_CC1_Key_Rx20_UBU.md)</t>
        </is>
      </c>
      <c r="O94" s="35" t="inlineStr">
        <is>
          <t>Mock</t>
        </is>
      </c>
      <c r="P94" s="35" t="inlineStr">
        <is>
          <t>Mock Rx20 UBU</t>
        </is>
      </c>
    </row>
    <row r="95" ht="13.2" customHeight="1" s="49">
      <c r="A95" s="33" t="n">
        <v>93</v>
      </c>
      <c r="B95" s="34" t="inlineStr">
        <is>
          <t>HCTZ และ spironolactone</t>
        </is>
      </c>
      <c r="C95" s="35" t="n"/>
      <c r="D95" s="34" t="inlineStr">
        <is>
          <t>Blood transfusion (Packed Red Cells)</t>
        </is>
      </c>
      <c r="E95" s="34" t="inlineStr">
        <is>
          <t>Ferrous fumarate 200 mg TID</t>
        </is>
      </c>
      <c r="F95" s="34" t="inlineStr">
        <is>
          <t>Folic acid 5 mg OD</t>
        </is>
      </c>
      <c r="G95" s="34" t="inlineStr">
        <is>
          <t>Vitamin B12 1000 mcg IM</t>
        </is>
      </c>
      <c r="H95" s="34" t="inlineStr">
        <is>
          <t>Deferoxamine 500 mg SC</t>
        </is>
      </c>
      <c r="I95" s="33" t="inlineStr">
        <is>
          <t>1</t>
        </is>
      </c>
      <c r="J9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35" t="n"/>
      <c r="L95" s="34" t="inlineStr">
        <is>
          <t>Anemia</t>
        </is>
      </c>
      <c r="M95" s="35" t="inlineStr">
        <is>
          <t>Clinic</t>
        </is>
      </c>
      <c r="N95" s="34" t="inlineStr">
        <is>
          <t>ข้อ 2 (PLE_CC1_Key_Rx20_UBU.md)</t>
        </is>
      </c>
      <c r="O95" s="35" t="inlineStr">
        <is>
          <t>Mock</t>
        </is>
      </c>
      <c r="P95" s="35" t="inlineStr">
        <is>
          <t>Mock Rx20 UBU</t>
        </is>
      </c>
    </row>
    <row r="96" ht="13.2" customHeight="1" s="49">
      <c r="A96" s="33" t="n">
        <v>94</v>
      </c>
      <c r="B96" s="34" t="inlineStr">
        <is>
          <t>HCTZ https://www.livestrong.com/article/313917-calcium-channel-blockers-gerd/</t>
        </is>
      </c>
      <c r="C96" s="35" t="n"/>
      <c r="D96" s="34" t="inlineStr">
        <is>
          <t>Vitamin B12 1000 mcg IM</t>
        </is>
      </c>
      <c r="E96" s="34" t="inlineStr">
        <is>
          <t>Deferoxamine 500 mg SC</t>
        </is>
      </c>
      <c r="F96" s="34" t="inlineStr">
        <is>
          <t>Erythropoietin 4000 units SC</t>
        </is>
      </c>
      <c r="G96" s="34" t="inlineStr">
        <is>
          <t>Ferrous sulfate 300 mg TID</t>
        </is>
      </c>
      <c r="H96" s="34" t="inlineStr">
        <is>
          <t>Vitamin C 500 mg OD</t>
        </is>
      </c>
      <c r="I96" s="33" t="inlineStr">
        <is>
          <t>5</t>
        </is>
      </c>
      <c r="J96" s="34"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35" t="n"/>
      <c r="L96" s="34" t="inlineStr">
        <is>
          <t>Anemia</t>
        </is>
      </c>
      <c r="M96" s="35" t="inlineStr">
        <is>
          <t>Clinic</t>
        </is>
      </c>
      <c r="N96" s="34" t="inlineStr">
        <is>
          <t>ข้อ 5 (PLE_CC1_Key_Rx20_UBU.md)</t>
        </is>
      </c>
      <c r="O96" s="35" t="inlineStr">
        <is>
          <t>Mock</t>
        </is>
      </c>
      <c r="P96" s="35" t="inlineStr">
        <is>
          <t>Mock Rx20 UBU</t>
        </is>
      </c>
    </row>
    <row r="97" ht="13.2" customHeight="1" s="49">
      <c r="A97" s="33" t="n">
        <v>95</v>
      </c>
      <c r="B97" s="34" t="inlineStr">
        <is>
          <t>Ferrous sulfate 200 mg 1 tab tid 90</t>
        </is>
      </c>
      <c r="C97" s="35" t="n"/>
      <c r="D97" s="34" t="inlineStr">
        <is>
          <t>Ferrous sulfate 300 mg TID</t>
        </is>
      </c>
      <c r="E97" s="34" t="inlineStr">
        <is>
          <t>Vitamin C 500 mg OD</t>
        </is>
      </c>
      <c r="F97" s="34" t="inlineStr">
        <is>
          <t>Pyridoxine 50 mg OD</t>
        </is>
      </c>
      <c r="G97" s="34" t="inlineStr">
        <is>
          <t>Hydroxyurea 500 mg OD</t>
        </is>
      </c>
      <c r="H97" s="34" t="inlineStr">
        <is>
          <t>Blood transfusion (Packed Red Cells)</t>
        </is>
      </c>
      <c r="I97" s="33" t="inlineStr">
        <is>
          <t>1</t>
        </is>
      </c>
      <c r="J97" s="34"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35" t="n"/>
      <c r="L97" s="34" t="inlineStr">
        <is>
          <t>Anemia</t>
        </is>
      </c>
      <c r="M97" s="35" t="inlineStr">
        <is>
          <t>Clinic</t>
        </is>
      </c>
      <c r="N97" s="34" t="inlineStr">
        <is>
          <t>ข้อ 5 (PLE_CC1_Key_Rx20_UBU.md)</t>
        </is>
      </c>
      <c r="O97" s="35" t="inlineStr">
        <is>
          <t>Mock</t>
        </is>
      </c>
      <c r="P97" s="35" t="inlineStr">
        <is>
          <t>Mock Rx20 UBU</t>
        </is>
      </c>
    </row>
    <row r="98" ht="13.2" customHeight="1" s="49">
      <c r="A98" s="33" t="n">
        <v>96</v>
      </c>
      <c r="B98" s="34" t="inlineStr">
        <is>
          <t>Hb &lt; 13 หรือ Hct &lt; 41% ในผู้ชาย</t>
        </is>
      </c>
      <c r="C98" s="35" t="n"/>
      <c r="D98" s="34" t="inlineStr">
        <is>
          <t>Hydroxyurea 500 mg OD</t>
        </is>
      </c>
      <c r="E98" s="34" t="inlineStr">
        <is>
          <t>Blood transfusion (Packed Red Cells)</t>
        </is>
      </c>
      <c r="F98" s="34" t="inlineStr">
        <is>
          <t>Ferrous fumarate 200 mg TID</t>
        </is>
      </c>
      <c r="G98" s="34" t="inlineStr">
        <is>
          <t>Folic acid 5 mg OD</t>
        </is>
      </c>
      <c r="H98" s="34" t="inlineStr">
        <is>
          <t>Vitamin B12 1000 mcg IM</t>
        </is>
      </c>
      <c r="I98" s="33" t="inlineStr">
        <is>
          <t>1</t>
        </is>
      </c>
      <c r="J98" s="34"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35" t="n"/>
      <c r="L98" s="34" t="inlineStr">
        <is>
          <t>Anemia</t>
        </is>
      </c>
      <c r="M98" s="35" t="inlineStr">
        <is>
          <t>Clinic</t>
        </is>
      </c>
      <c r="N98" s="34" t="inlineStr">
        <is>
          <t>ข้อ 1 (PLE_CC1_Key_Rx20_UBU.md)</t>
        </is>
      </c>
      <c r="O98" s="35" t="inlineStr">
        <is>
          <t>Mock</t>
        </is>
      </c>
      <c r="P98" s="35" t="inlineStr">
        <is>
          <t>Mock Rx20 UBU</t>
        </is>
      </c>
    </row>
    <row r="99" ht="13.2" customHeight="1" s="49">
      <c r="A99" s="33" t="n">
        <v>97</v>
      </c>
      <c r="B99" s="34"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35" t="n"/>
      <c r="D99" s="34" t="inlineStr">
        <is>
          <t>เหนื่อย</t>
        </is>
      </c>
      <c r="E99" s="34" t="inlineStr">
        <is>
          <t>ใจสั่น</t>
        </is>
      </c>
      <c r="F99" s="34" t="inlineStr">
        <is>
          <t>ชาปลายเท้า</t>
        </is>
      </c>
      <c r="G99" s="34" t="inlineStr">
        <is>
          <t>ปวดศีรษะ</t>
        </is>
      </c>
      <c r="H99" s="34"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33" t="inlineStr">
        <is>
          <t>2</t>
        </is>
      </c>
      <c r="J99" s="34" t="inlineStr">
        <is>
          <t>✅ คำตอบที่ถูกต้อง: ข้อ ข. ใจสั่น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35" t="n"/>
      <c r="L99" s="34" t="inlineStr">
        <is>
          <t>Anemia</t>
        </is>
      </c>
      <c r="M99" s="35" t="inlineStr">
        <is>
          <t>Clinic</t>
        </is>
      </c>
      <c r="N99" s="34" t="inlineStr">
        <is>
          <t>ข้อ 4 (PLE_CC1_Key_Rx20_UBU.md)</t>
        </is>
      </c>
      <c r="O99" s="35" t="inlineStr">
        <is>
          <t>Mock</t>
        </is>
      </c>
      <c r="P99" s="35" t="inlineStr">
        <is>
          <t>Mock Rx20 UBU</t>
        </is>
      </c>
    </row>
    <row r="100" ht="13.2" customHeight="1" s="49">
      <c r="A100" t="n">
        <v>98</v>
      </c>
      <c r="B100" t="inlineStr">
        <is>
          <t>Lab ใดที่ไม่บ่งบอกภาวะ Iron deficiency anemia</t>
        </is>
      </c>
      <c r="D100" t="inlineStr">
        <is>
          <t>MCV</t>
        </is>
      </c>
      <c r="E100" t="inlineStr">
        <is>
          <t>Ferritin</t>
        </is>
      </c>
      <c r="F100" t="inlineStr">
        <is>
          <t>TSAT</t>
        </is>
      </c>
      <c r="G100" t="inlineStr">
        <is>
          <t>TIBC</t>
        </is>
      </c>
      <c r="H100" t="inlineStr">
        <is>
          <t>Reticulocyte count</t>
        </is>
      </c>
      <c r="I100" t="inlineStr">
        <is>
          <t>1</t>
        </is>
      </c>
      <c r="J100"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6 (PLE_CC1_2560 22 April Set 1.md)</t>
        </is>
      </c>
    </row>
    <row r="101" ht="13.2" customHeight="1" s="49">
      <c r="A101" t="n">
        <v>99</v>
      </c>
      <c r="B101"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D101" t="inlineStr">
        <is>
          <t>Normochromic normocytic anemia</t>
        </is>
      </c>
      <c r="E101" t="inlineStr">
        <is>
          <t>Normochromic microcytic anemia</t>
        </is>
      </c>
      <c r="F101" t="inlineStr">
        <is>
          <t>Hypochromic normocytic anemia</t>
        </is>
      </c>
      <c r="G101" t="inlineStr">
        <is>
          <t>Hypochromic microcytic anemia</t>
        </is>
      </c>
      <c r="H101" t="inlineStr">
        <is>
          <t>Hyperchromic macrocytic anemia</t>
        </is>
      </c>
      <c r="I101" t="inlineStr">
        <is>
          <t>1</t>
        </is>
      </c>
      <c r="J101"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1" t="inlineStr">
        <is>
          <t>Hypertension</t>
        </is>
      </c>
      <c r="M101" t="inlineStr">
        <is>
          <t>Clinic</t>
        </is>
      </c>
      <c r="N101" t="inlineStr">
        <is>
          <t>ข้อ 31 (Pharmtutor_2024_Set2.md)</t>
        </is>
      </c>
    </row>
    <row r="102" ht="13.2" customHeight="1" s="49">
      <c r="A102" t="n">
        <v>100</v>
      </c>
      <c r="B102" t="inlineStr">
        <is>
          <t>โรคทางระบบเลือด</t>
        </is>
      </c>
      <c r="D102" t="inlineStr">
        <is>
          <t>ข้อใดไม่ใช่ปัญหาของผู้ป่วยรายนี้</t>
        </is>
      </c>
      <c r="E102" t="inlineStr">
        <is>
          <t>Uncontrolled hypertension</t>
        </is>
      </c>
      <c r="F102" t="inlineStr">
        <is>
          <t>Anemia</t>
        </is>
      </c>
      <c r="G102" t="inlineStr">
        <is>
          <t>Acidosis</t>
        </is>
      </c>
      <c r="H102" t="inlineStr">
        <is>
          <t>Hyperkalemia</t>
        </is>
      </c>
      <c r="I102" t="inlineStr">
        <is>
          <t>1</t>
        </is>
      </c>
      <c r="J102"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12 (PLE_CC1_Practice_Exam.md)</t>
        </is>
      </c>
    </row>
    <row r="103" ht="13.2" customHeight="1" s="49">
      <c r="A103" t="n">
        <v>101</v>
      </c>
      <c r="B103"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D103" t="inlineStr">
        <is>
          <t>0.60 ml/hr</t>
        </is>
      </c>
      <c r="E103" t="inlineStr">
        <is>
          <t>0.75 ml/hr</t>
        </is>
      </c>
      <c r="F103" t="inlineStr">
        <is>
          <t>0.80 ml/hr</t>
        </is>
      </c>
      <c r="G103" t="inlineStr">
        <is>
          <t>0.85 ml/hr</t>
        </is>
      </c>
      <c r="H103" t="inlineStr">
        <is>
          <t>0.90 ml/hr</t>
        </is>
      </c>
      <c r="I103" t="inlineStr">
        <is>
          <t>2</t>
        </is>
      </c>
      <c r="J103"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85 (PLE_CC1_Key_Rx20_UBU.md)</t>
        </is>
      </c>
    </row>
    <row r="104" ht="13.2" customHeight="1" s="49">
      <c r="A104" t="n">
        <v>102</v>
      </c>
      <c r="B104" t="inlineStr">
        <is>
          <t>หลังจากผู$ป&amp;วยได$รับยา Deferoxamine แล$วผู$ป&amp;วยมีป[สสาวะเปญนสีชมพูแดง ลักษณะดังกลGาวเกิดจากสาเหตุใด</t>
        </is>
      </c>
      <c r="D104" t="inlineStr">
        <is>
          <t>เปญนภาวะโรคของผู$ป&amp;วยอยูGแล$ว</t>
        </is>
      </c>
      <c r="E104" t="inlineStr">
        <is>
          <t>เปญนสีของ Deferoxamine ที่ขับออกมาทางป[สสาวะ</t>
        </is>
      </c>
      <c r="F104" t="inlineStr">
        <is>
          <t>เปญนสีของ Deferoxamine-Fe complex ที่ขับออกมาทางป[สสาวะ</t>
        </is>
      </c>
      <c r="G104" t="inlineStr">
        <is>
          <t>Amlodipine 5 mg OD</t>
        </is>
      </c>
      <c r="H104" t="inlineStr">
        <is>
          <t>Losartan 50 mg OD</t>
        </is>
      </c>
      <c r="I104" t="inlineStr">
        <is>
          <t>2</t>
        </is>
      </c>
      <c r="J104"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4" t="inlineStr">
        <is>
          <t>Hypertension</t>
        </is>
      </c>
      <c r="M104" t="inlineStr">
        <is>
          <t>Clinic</t>
        </is>
      </c>
      <c r="N104" t="inlineStr">
        <is>
          <t>ข้อ 86 (PLE_CC1_Key_Rx20_UBU.md)</t>
        </is>
      </c>
    </row>
    <row r="105" ht="13.2" customHeight="1" s="49">
      <c r="A105" t="n">
        <v>103</v>
      </c>
      <c r="B105" t="inlineStr">
        <is>
          <t>จากโครงสร$างของ Deferoxamine หมูGฟ[งก_ชันใดที่เข$าจับกับเหล็ก</t>
        </is>
      </c>
      <c r="D105" t="inlineStr">
        <is>
          <t>Nitro carbamate</t>
        </is>
      </c>
      <c r="E105" t="inlineStr">
        <is>
          <t>Nitro-carbonyl</t>
        </is>
      </c>
      <c r="F105" t="inlineStr">
        <is>
          <t>Enalapril 10 mg BID</t>
        </is>
      </c>
      <c r="G105" t="inlineStr">
        <is>
          <t>Hydrochlorothiazide 25 mg OD</t>
        </is>
      </c>
      <c r="H105" t="inlineStr">
        <is>
          <t>…Carbamate</t>
        </is>
      </c>
      <c r="I105" t="inlineStr">
        <is>
          <t>2</t>
        </is>
      </c>
      <c r="J105"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5" t="inlineStr">
        <is>
          <t>Hypertension</t>
        </is>
      </c>
      <c r="M105" t="inlineStr">
        <is>
          <t>Clinic</t>
        </is>
      </c>
      <c r="N105" t="inlineStr">
        <is>
          <t>ข้อ 87 (PLE_CC1_Key_Rx20_UBU.md)</t>
        </is>
      </c>
    </row>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Q121"/>
  <sheetViews>
    <sheetView workbookViewId="0">
      <pane ySplit="2" topLeftCell="A108" activePane="bottomLeft" state="frozen"/>
      <selection pane="bottomLeft" activeCell="A3" sqref="A3:P121"/>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33" t="n">
        <v>1</v>
      </c>
      <c r="B3" s="34"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35" t="n"/>
      <c r="D3" s="34" t="inlineStr">
        <is>
          <t>HRIG คู่กับ tetanus วัคซีน</t>
        </is>
      </c>
      <c r="E3" s="34" t="inlineStr">
        <is>
          <t>ERIG คู่กับ tetanus วัคซีน</t>
        </is>
      </c>
      <c r="F3" s="34" t="inlineStr">
        <is>
          <t>HRIG คู่กับ pertussis วัคซีน</t>
        </is>
      </c>
      <c r="G3" s="34" t="inlineStr">
        <is>
          <t>HRIG คู่กับ ERIG</t>
        </is>
      </c>
      <c r="H3" s="34" t="inlineStr">
        <is>
          <t>ไม่ต้องฉีดเพิ่มแล้ว</t>
        </is>
      </c>
      <c r="I3" s="33" t="inlineStr">
        <is>
          <t>1</t>
        </is>
      </c>
      <c r="J3" s="34"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35" t="n"/>
      <c r="L3" s="34" t="inlineStr">
        <is>
          <t>EPI Vaccines</t>
        </is>
      </c>
      <c r="M3" s="35" t="inlineStr">
        <is>
          <t>Clinic</t>
        </is>
      </c>
      <c r="N3" s="34" t="inlineStr">
        <is>
          <t>ข้อ 1 Pharma Plus เล่มม่วง (เฉลยข้อ ก ข)</t>
        </is>
      </c>
      <c r="O3" s="35" t="inlineStr">
        <is>
          <t>Mock</t>
        </is>
      </c>
      <c r="P3" s="35" t="inlineStr">
        <is>
          <t>Pharma Plus เล่มม่วง</t>
        </is>
      </c>
    </row>
    <row r="4" ht="13.2" customHeight="1" s="49">
      <c r="A4" s="33" t="n">
        <v>2</v>
      </c>
      <c r="B4" s="34" t="inlineStr">
        <is>
          <t>วัคซีนพิษสุนัขบ้าเป็นเชื้อชนิดใด</t>
        </is>
      </c>
      <c r="C4" s="35" t="n"/>
      <c r="D4" s="34" t="inlineStr">
        <is>
          <t>Live attenuated vaccine</t>
        </is>
      </c>
      <c r="E4" s="34" t="inlineStr">
        <is>
          <t>Toxoids</t>
        </is>
      </c>
      <c r="F4" s="34" t="inlineStr">
        <is>
          <t>Killed vaccine</t>
        </is>
      </c>
      <c r="G4" s="34" t="inlineStr">
        <is>
          <t>Subunit</t>
        </is>
      </c>
      <c r="H4" s="34" t="inlineStr">
        <is>
          <t>Immunoglobulin</t>
        </is>
      </c>
      <c r="I4" s="33" t="inlineStr">
        <is>
          <t>1</t>
        </is>
      </c>
      <c r="J4" s="34"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35" t="n"/>
      <c r="L4" s="34" t="inlineStr">
        <is>
          <t>EPI Vaccines</t>
        </is>
      </c>
      <c r="M4" s="35" t="inlineStr">
        <is>
          <t>Clinic</t>
        </is>
      </c>
      <c r="N4" s="34" t="inlineStr">
        <is>
          <t>ข้อ 2 Pharma Plus เล่มม่วง (เฉลยข้อ ก)</t>
        </is>
      </c>
      <c r="O4" s="35" t="inlineStr">
        <is>
          <t>Mock</t>
        </is>
      </c>
      <c r="P4" s="35" t="inlineStr">
        <is>
          <t>Pharma Plus เล่มม่วง</t>
        </is>
      </c>
    </row>
    <row r="5" ht="13.2" customHeight="1" s="49">
      <c r="A5" s="33" t="n">
        <v>3</v>
      </c>
      <c r="B5" s="34" t="inlineStr">
        <is>
          <t>แม่ต้องพาลูกมาฉีดกี่ครั้ง</t>
        </is>
      </c>
      <c r="C5" s="35" t="n"/>
      <c r="D5" s="34" t="inlineStr">
        <is>
          <t>Montelukast 10 mg HS</t>
        </is>
      </c>
      <c r="E5" s="34" t="inlineStr">
        <is>
          <t>Hydroxyzine 25 mg HS</t>
        </is>
      </c>
      <c r="F5" s="34" t="inlineStr">
        <is>
          <t>Diphenhydramine 25 mg IV</t>
        </is>
      </c>
      <c r="G5" s="34" t="inlineStr">
        <is>
          <t>Cetirizine 10 mg OD</t>
        </is>
      </c>
      <c r="H5" s="34" t="inlineStr">
        <is>
          <t>Loratadine 10 mg OD</t>
        </is>
      </c>
      <c r="I5" s="33" t="inlineStr">
        <is>
          <t>4</t>
        </is>
      </c>
      <c r="J5" s="34"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5" t="n"/>
      <c r="L5" s="34" t="inlineStr">
        <is>
          <t>EPI Vaccines</t>
        </is>
      </c>
      <c r="M5" s="35" t="inlineStr">
        <is>
          <t>Clinic</t>
        </is>
      </c>
      <c r="N5" s="34" t="inlineStr">
        <is>
          <t>ข้อ 3 Pharma Plus เล่มม่วง (เฉลยข้อ ง)</t>
        </is>
      </c>
      <c r="O5" s="35" t="inlineStr">
        <is>
          <t>Mock</t>
        </is>
      </c>
      <c r="P5" s="35" t="inlineStr">
        <is>
          <t>Pharma Plus เล่มม่วง</t>
        </is>
      </c>
    </row>
    <row r="6" ht="13.2" customHeight="1" s="49">
      <c r="A6" s="33" t="n">
        <v>4</v>
      </c>
      <c r="B6" s="34" t="inlineStr">
        <is>
          <t>ถ้าครั้งที่ 2 ของการฉีดวัคซีน เด็กไม่สามารถมาตามตารางนัดได้ ข้อใดสามารถทำได้เพื่อให้เด็กมีภูมิคุ้มกันอยู่</t>
        </is>
      </c>
      <c r="C6" s="35" t="n"/>
      <c r="D6" s="34" t="inlineStr">
        <is>
          <t>ให้มารับการฉีดวัคซีนก่อนกำหนด 1 วัน</t>
        </is>
      </c>
      <c r="E6" s="34" t="inlineStr">
        <is>
          <t>ให้มารับการฉีดวัคซีนครั้งที่ 3 แทน</t>
        </is>
      </c>
      <c r="F6" s="34" t="inlineStr">
        <is>
          <t>เริ่มต้นการฉีดวัคซีนใหม่</t>
        </is>
      </c>
      <c r="G6" s="34" t="inlineStr">
        <is>
          <t>ให้มารับการฉีดวัคซีนหลังกำหนดให้เร็วที่สุด</t>
        </is>
      </c>
      <c r="H6" s="34" t="inlineStr">
        <is>
          <t>ให้มารับการฉีดวัคซีนหลังกำหนด 5 วัน</t>
        </is>
      </c>
      <c r="I6" s="33" t="inlineStr">
        <is>
          <t>4</t>
        </is>
      </c>
      <c r="J6" s="34"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ตามหลักการให้วัคซีนสากล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35" t="n"/>
      <c r="L6" s="34" t="inlineStr">
        <is>
          <t>EPI Vaccines</t>
        </is>
      </c>
      <c r="M6" s="35" t="inlineStr">
        <is>
          <t>Clinic</t>
        </is>
      </c>
      <c r="N6" s="34" t="inlineStr">
        <is>
          <t>ข้อ 4 Pharma Plus เล่มม่วง (เฉลยข้อ ง)</t>
        </is>
      </c>
      <c r="O6" s="35" t="inlineStr">
        <is>
          <t>Mock</t>
        </is>
      </c>
      <c r="P6" s="35" t="inlineStr">
        <is>
          <t>Pharma Plus เล่มม่วง</t>
        </is>
      </c>
    </row>
    <row r="7" ht="13.2" customHeight="1" s="49">
      <c r="A7" s="33" t="n">
        <v>5</v>
      </c>
      <c r="B7" s="34"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35" t="n"/>
      <c r="D7" s="34" t="inlineStr">
        <is>
          <t>ฉีดใหม่ทั้งชุด 5 เข็ม</t>
        </is>
      </c>
      <c r="E7" s="34" t="inlineStr">
        <is>
          <t>ไม่ต้องฉีดวัคซีน</t>
        </is>
      </c>
      <c r="F7" s="34" t="inlineStr">
        <is>
          <t>ฉีดซ้ำใหม่เพียงหนึ่งเข็ม</t>
        </is>
      </c>
      <c r="G7" s="34" t="inlineStr">
        <is>
          <t>ฉีดวัคซีนอีกสองเข็ม</t>
        </is>
      </c>
      <c r="H7" s="34" t="inlineStr">
        <is>
          <t>แล้วแต่กรณี</t>
        </is>
      </c>
      <c r="I7" s="33" t="inlineStr">
        <is>
          <t>3</t>
        </is>
      </c>
      <c r="J7" s="34"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35" t="n"/>
      <c r="L7" s="34" t="inlineStr">
        <is>
          <t>EPI Vaccines</t>
        </is>
      </c>
      <c r="M7" s="35" t="inlineStr">
        <is>
          <t>Clinic</t>
        </is>
      </c>
      <c r="N7" s="34" t="inlineStr">
        <is>
          <t>ข้อ 5 Pharma Plus เล่มม่วง (เฉลยข้อ ค)</t>
        </is>
      </c>
      <c r="O7" s="35" t="inlineStr">
        <is>
          <t>Mock</t>
        </is>
      </c>
      <c r="P7" s="35" t="inlineStr">
        <is>
          <t>Pharma Plus เล่มม่วง</t>
        </is>
      </c>
    </row>
    <row r="8" ht="13.2" customHeight="1" s="49">
      <c r="A8" s="33" t="n">
        <v>6</v>
      </c>
      <c r="B8" s="34" t="inlineStr">
        <is>
          <t>ข้อใดผิดเกี่ยวกับชีววัตถุ</t>
        </is>
      </c>
      <c r="C8" s="35" t="n"/>
      <c r="D8" s="34" t="inlineStr">
        <is>
          <t>เป็นวัตถุที่สังเคราะห์ทางเคมีได้ง่าย</t>
        </is>
      </c>
      <c r="E8" s="34" t="inlineStr">
        <is>
          <t>ตัวอย่างของชีววัตถุ คือ antitoxins , bacterial vaccines , blood products , hormone extracts</t>
        </is>
      </c>
      <c r="F8" s="34" t="inlineStr">
        <is>
          <t>Insulin จัดเป็นชีววัตถุ</t>
        </is>
      </c>
      <c r="G8" s="34" t="inlineStr">
        <is>
          <t>วัตถุที่ได้จากสิ่งมีชีวิตและใช้สำหรับป้องกันหรือรักษาโรค</t>
        </is>
      </c>
      <c r="H8" s="34" t="inlineStr">
        <is>
          <t>ไม่มีข้อผิด</t>
        </is>
      </c>
      <c r="I8" s="33" t="inlineStr">
        <is>
          <t>1</t>
        </is>
      </c>
      <c r="J8" s="34" t="inlineStr">
        <is>
          <t>✅ คำตอบที่ถูกต้อง: ข้อ ก. เป็นวัตถุที่สังเคราะห์ทางเคมีได้ง่าย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35" t="n"/>
      <c r="L8" s="34" t="inlineStr">
        <is>
          <t>Allergic rhinitis</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วัตถุประสงค์ในการเติม adjuvant คือข้อใด</t>
        </is>
      </c>
      <c r="C9" s="35" t="n"/>
      <c r="D9" s="34" t="inlineStr">
        <is>
          <t>เพื่อเพิ่มการละลาย</t>
        </is>
      </c>
      <c r="E9" s="34" t="inlineStr">
        <is>
          <t>ทำให้ไวรัสอ่อนฤทธิ์ลง</t>
        </is>
      </c>
      <c r="F9" s="34" t="inlineStr">
        <is>
          <t>เพื่อเพิ่มความคงตัว</t>
        </is>
      </c>
      <c r="G9" s="34" t="inlineStr">
        <is>
          <t>เพื่อเป็นสารต้านจุลชีพ</t>
        </is>
      </c>
      <c r="H9" s="34" t="inlineStr">
        <is>
          <t>เพื่อเพิ่มการตอบสนองต่อภูมิคุ้มกัน</t>
        </is>
      </c>
      <c r="I9" s="33" t="inlineStr">
        <is>
          <t>5</t>
        </is>
      </c>
      <c r="J9" s="34"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35" t="n"/>
      <c r="L9" s="34" t="inlineStr">
        <is>
          <t>EPI Vaccines</t>
        </is>
      </c>
      <c r="M9" s="35" t="inlineStr">
        <is>
          <t>Clinic</t>
        </is>
      </c>
      <c r="N9" s="34" t="inlineStr">
        <is>
          <t>ข้อ 7 Pharma Plus เล่มม่วง (เฉลยข้อ จ)</t>
        </is>
      </c>
      <c r="O9" s="35" t="inlineStr">
        <is>
          <t>Mock</t>
        </is>
      </c>
      <c r="P9" s="35" t="inlineStr">
        <is>
          <t>Pharma Plus เล่มม่วง</t>
        </is>
      </c>
    </row>
    <row r="10" ht="13.2" customHeight="1" s="49">
      <c r="A10" s="33" t="n">
        <v>8</v>
      </c>
      <c r="B10" s="34" t="inlineStr">
        <is>
          <t>หากท่านเป็นเภสัชกรณ์ ท่านจะเก็บวัคซีนใดในช่องแช่แข็ง เพื่อเพิ่มอายุยาให้นานขึ้น</t>
        </is>
      </c>
      <c r="C10" s="35" t="n"/>
      <c r="D10" s="34" t="inlineStr">
        <is>
          <t>DTP</t>
        </is>
      </c>
      <c r="E10" s="34" t="inlineStr">
        <is>
          <t>OPV</t>
        </is>
      </c>
      <c r="F10" s="34" t="inlineStr">
        <is>
          <t>HBV</t>
        </is>
      </c>
      <c r="G10" s="34" t="inlineStr">
        <is>
          <t>Typhoid vaccine</t>
        </is>
      </c>
      <c r="H10" s="34" t="inlineStr">
        <is>
          <t>Rabies vaccine</t>
        </is>
      </c>
      <c r="I10" s="33" t="inlineStr">
        <is>
          <t>2</t>
        </is>
      </c>
      <c r="J10" s="34"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35" t="n"/>
      <c r="L10" s="34" t="inlineStr">
        <is>
          <t>EPI Vaccines</t>
        </is>
      </c>
      <c r="M10" s="35" t="inlineStr">
        <is>
          <t>Clinic</t>
        </is>
      </c>
      <c r="N10" s="34" t="inlineStr">
        <is>
          <t>ข้อ 8 Pharma Plus เล่มม่วง (เฉลยข้อ ข)</t>
        </is>
      </c>
      <c r="O10" s="35" t="inlineStr">
        <is>
          <t>Mock</t>
        </is>
      </c>
      <c r="P10" s="35" t="inlineStr">
        <is>
          <t>Pharma Plus เล่มม่วง</t>
        </is>
      </c>
    </row>
    <row r="11" ht="13.2" customHeight="1" s="49">
      <c r="A11" s="33" t="n">
        <v>9</v>
      </c>
      <c r="B11" s="34" t="inlineStr">
        <is>
          <t>ข้อใดไม่ใช่ live-attenuated vaccine</t>
        </is>
      </c>
      <c r="C11" s="35" t="n"/>
      <c r="D11" s="34" t="inlineStr">
        <is>
          <t>BCG</t>
        </is>
      </c>
      <c r="E11" s="34" t="inlineStr">
        <is>
          <t>MMR</t>
        </is>
      </c>
      <c r="F11" s="34" t="inlineStr">
        <is>
          <t>DTP</t>
        </is>
      </c>
      <c r="G11" s="34" t="inlineStr">
        <is>
          <t>Varicella vaccine</t>
        </is>
      </c>
      <c r="H11" s="34" t="inlineStr">
        <is>
          <t>Polio</t>
        </is>
      </c>
      <c r="I11" s="33" t="inlineStr">
        <is>
          <t>3</t>
        </is>
      </c>
      <c r="J11" s="34"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35" t="n"/>
      <c r="L11" s="34" t="inlineStr">
        <is>
          <t>Hypersensitivity</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วัคซีนใดไม่ได้อยู่ในโปรแกรมเสริมสร้างภูมิคุ้มกัน</t>
        </is>
      </c>
      <c r="C12" s="35" t="n"/>
      <c r="D12" s="34" t="inlineStr">
        <is>
          <t>หัด</t>
        </is>
      </c>
      <c r="E12" s="34" t="inlineStr">
        <is>
          <t>คางทูม</t>
        </is>
      </c>
      <c r="F12" s="34" t="inlineStr">
        <is>
          <t>โปลิโอ</t>
        </is>
      </c>
      <c r="G12" s="34" t="inlineStr">
        <is>
          <t>อีสุกอีใส</t>
        </is>
      </c>
      <c r="H12" s="34" t="inlineStr">
        <is>
          <t>บาดทะยัก</t>
        </is>
      </c>
      <c r="I12" s="33" t="inlineStr">
        <is>
          <t>4</t>
        </is>
      </c>
      <c r="J12" s="34"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5" t="n"/>
      <c r="L12" s="34" t="inlineStr">
        <is>
          <t>EPI Vaccines</t>
        </is>
      </c>
      <c r="M12" s="35" t="inlineStr">
        <is>
          <t>Clinic</t>
        </is>
      </c>
      <c r="N12" s="34" t="inlineStr">
        <is>
          <t>ข้อ 10 Pharma Plus เล่มม่วง (เฉลยข้อ ง)</t>
        </is>
      </c>
      <c r="O12" s="35" t="inlineStr">
        <is>
          <t>Mock</t>
        </is>
      </c>
      <c r="P12" s="35" t="inlineStr">
        <is>
          <t>Pharma Plus เล่มม่วง</t>
        </is>
      </c>
    </row>
    <row r="13" ht="13.2" customHeight="1" s="49">
      <c r="A13" s="33" t="n">
        <v>11</v>
      </c>
      <c r="B13" s="34"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35" t="n"/>
      <c r="D13" s="34" t="inlineStr">
        <is>
          <t>BCG และ HBV</t>
        </is>
      </c>
      <c r="E13" s="34" t="inlineStr">
        <is>
          <t>BCG และ OPV</t>
        </is>
      </c>
      <c r="F13" s="34" t="inlineStr">
        <is>
          <t>OPV และ MMR</t>
        </is>
      </c>
      <c r="G13" s="34" t="inlineStr">
        <is>
          <t>HBV และ MMR</t>
        </is>
      </c>
      <c r="H13" s="34" t="inlineStr">
        <is>
          <t>DTP และ OPV</t>
        </is>
      </c>
      <c r="I13" s="33" t="inlineStr">
        <is>
          <t>1</t>
        </is>
      </c>
      <c r="J13" s="34"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35" t="n"/>
      <c r="L13" s="34" t="inlineStr">
        <is>
          <t>EPI Vaccines</t>
        </is>
      </c>
      <c r="M13" s="35" t="inlineStr">
        <is>
          <t>Clinic</t>
        </is>
      </c>
      <c r="N13" s="34" t="inlineStr">
        <is>
          <t>ข้อ 11 Pharma Plus เล่มม่วง (เฉลยข้อ ก)</t>
        </is>
      </c>
      <c r="O13" s="35" t="inlineStr">
        <is>
          <t>Mock</t>
        </is>
      </c>
      <c r="P13" s="35" t="inlineStr">
        <is>
          <t>Pharma Plus เล่มม่วง</t>
        </is>
      </c>
    </row>
    <row r="14" ht="13.2" customHeight="1" s="49">
      <c r="A14" s="33" t="n">
        <v>12</v>
      </c>
      <c r="B14" s="34"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35" t="n"/>
      <c r="D14" s="34" t="inlineStr">
        <is>
          <t>IPV vaccine</t>
        </is>
      </c>
      <c r="E14" s="34" t="inlineStr">
        <is>
          <t>MMR vaccine</t>
        </is>
      </c>
      <c r="F14" s="34" t="inlineStr">
        <is>
          <t>HBV vaccine</t>
        </is>
      </c>
      <c r="G14" s="34" t="inlineStr">
        <is>
          <t>Haemophilus influenzae B vaccine</t>
        </is>
      </c>
      <c r="H14" s="34" t="inlineStr">
        <is>
          <t>Japanese encephalitis vaccine</t>
        </is>
      </c>
      <c r="I14" s="33" t="inlineStr">
        <is>
          <t>2</t>
        </is>
      </c>
      <c r="J14" s="34"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5" t="n"/>
      <c r="L14" s="34" t="inlineStr">
        <is>
          <t>EPI Vaccines</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ควรฉีดวัคซีนที่กล้ามเนื้อชนิดใด</t>
        </is>
      </c>
      <c r="C15" s="35" t="n"/>
      <c r="D15" s="34" t="inlineStr">
        <is>
          <t>Deltoid</t>
        </is>
      </c>
      <c r="E15" s="34" t="inlineStr">
        <is>
          <t>Gluteus maximus</t>
        </is>
      </c>
      <c r="F15" s="34" t="inlineStr">
        <is>
          <t>Gluteus medis</t>
        </is>
      </c>
      <c r="G15" s="34" t="inlineStr">
        <is>
          <t>Gastrocnemius</t>
        </is>
      </c>
      <c r="H15" s="34" t="inlineStr">
        <is>
          <t>Anterolateral</t>
        </is>
      </c>
      <c r="I15" s="33" t="inlineStr">
        <is>
          <t>1</t>
        </is>
      </c>
      <c r="J15" s="34"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35" t="n"/>
      <c r="L15" s="34" t="inlineStr">
        <is>
          <t>EPI Vaccines</t>
        </is>
      </c>
      <c r="M15" s="35" t="inlineStr">
        <is>
          <t>Clinic</t>
        </is>
      </c>
      <c r="N15" s="34" t="inlineStr">
        <is>
          <t>ข้อ 13 Pharma Plus เล่มม่วง (เฉลยข้อ ก)</t>
        </is>
      </c>
      <c r="O15" s="35" t="inlineStr">
        <is>
          <t>Mock</t>
        </is>
      </c>
      <c r="P15" s="35" t="inlineStr">
        <is>
          <t>Pharma Plus เล่มม่วง</t>
        </is>
      </c>
    </row>
    <row r="16" ht="13.2" customHeight="1" s="49">
      <c r="A16" s="33" t="n">
        <v>14</v>
      </c>
      <c r="B16" s="34" t="inlineStr">
        <is>
          <t>การฉีดวัคซีนกระตุ้นเข็มแรก จะมี antibody ชนิดใดเริ่มสร้างตัวแรก</t>
        </is>
      </c>
      <c r="C16" s="35" t="n"/>
      <c r="D16" s="34" t="inlineStr">
        <is>
          <t>Immunoglobulin A</t>
        </is>
      </c>
      <c r="E16" s="34" t="inlineStr">
        <is>
          <t>Immunoglobulin D</t>
        </is>
      </c>
      <c r="F16" s="34" t="inlineStr">
        <is>
          <t>Immunoglobulin E</t>
        </is>
      </c>
      <c r="G16" s="34" t="inlineStr">
        <is>
          <t>Immunoglobulin G</t>
        </is>
      </c>
      <c r="H16" s="34" t="inlineStr">
        <is>
          <t>Immunoglobulin M</t>
        </is>
      </c>
      <c r="I16" s="33" t="inlineStr">
        <is>
          <t>5</t>
        </is>
      </c>
      <c r="J16" s="34"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5" t="n"/>
      <c r="L16" s="34" t="inlineStr">
        <is>
          <t>EPI Vaccines</t>
        </is>
      </c>
      <c r="M16" s="35" t="inlineStr">
        <is>
          <t>Clinic</t>
        </is>
      </c>
      <c r="N16" s="34" t="inlineStr">
        <is>
          <t>ข้อ 14 Pharma Plus เล่มม่วง (เฉลยข้อ จ)</t>
        </is>
      </c>
      <c r="O16" s="35" t="inlineStr">
        <is>
          <t>Mock</t>
        </is>
      </c>
      <c r="P16" s="35" t="inlineStr">
        <is>
          <t>Pharma Plus เล่มม่วง</t>
        </is>
      </c>
    </row>
    <row r="17" ht="13.2" customHeight="1" s="49">
      <c r="A17" s="33" t="n">
        <v>15</v>
      </c>
      <c r="B17" s="34" t="inlineStr">
        <is>
          <t>ข้อใดผิดเกี่ยวกับการให้วัคซีนในเด็ก</t>
        </is>
      </c>
      <c r="C17" s="35" t="n"/>
      <c r="D17" s="34" t="inlineStr">
        <is>
          <t>วัคซีนที่มีชีวิตสามารถให้พร้อมกันในวันเดียวกันได้</t>
        </is>
      </c>
      <c r="E17" s="34" t="inlineStr">
        <is>
          <t>ถ้าฉีดวัคซีนในวันนัดไม่ได้ ให้มาก่อนจะได้กว่ามาฉีดช้ากว่ากำหนด</t>
        </is>
      </c>
      <c r="F17" s="34" t="inlineStr">
        <is>
          <t>วัคซีนชนิดกินเป็น IgA</t>
        </is>
      </c>
      <c r="G17" s="34" t="inlineStr">
        <is>
          <t>ถ้าเด็กเป็นไข้สูงยังไม่ฉีดวัคซีนให้ แต่ถ้าเป็นหวัด ไอ สามารถให้วัคซีนได้</t>
        </is>
      </c>
      <c r="H17" s="34" t="inlineStr">
        <is>
          <t>[NEED_REVIEW]</t>
        </is>
      </c>
      <c r="I17" s="33" t="inlineStr">
        <is>
          <t>2</t>
        </is>
      </c>
      <c r="J17" s="34"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ส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5" t="n"/>
      <c r="L17" s="34" t="inlineStr">
        <is>
          <t>EPI Vaccines</t>
        </is>
      </c>
      <c r="M17" s="35" t="inlineStr">
        <is>
          <t>Clinic</t>
        </is>
      </c>
      <c r="N17" s="34" t="inlineStr">
        <is>
          <t>ข้อ 15 Pharma Plus เล่มม่วง (เฉลยข้อ ข ค)</t>
        </is>
      </c>
      <c r="O17" s="35" t="inlineStr">
        <is>
          <t>Mock</t>
        </is>
      </c>
      <c r="P17" s="35" t="inlineStr">
        <is>
          <t>Pharma Plus เล่มม่วง</t>
        </is>
      </c>
    </row>
    <row r="18" ht="13.2" customHeight="1" s="49">
      <c r="A18" s="33" t="n">
        <v>16</v>
      </c>
      <c r="B18" s="34"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35" t="n"/>
      <c r="D18" s="34" t="inlineStr">
        <is>
          <t>ทำความสะอาดด้วย alcohol 70% วันละ 2 ครั้ง</t>
        </is>
      </c>
      <c r="E18" s="34" t="inlineStr">
        <is>
          <t>ไม่ต้องใส่ยาหรือปิดแผล ให้เช็ดด้วยสำลีชุบน้ำสะอาดก็เพียงพอ</t>
        </is>
      </c>
      <c r="F18" s="34" t="inlineStr">
        <is>
          <t>ใช้เข็มสะอาดเจาะฝีให้แตก แล้วทาด้วย povidone iodine วันละ 2 ครั้ง</t>
        </is>
      </c>
      <c r="G18" s="34" t="inlineStr">
        <is>
          <t>เมื่อฝีแตกให้เอาพาสเตอร์ปิดแผลไว้ เพื่อป้องกันแผลสกปรกและติดเชื้อ</t>
        </is>
      </c>
      <c r="H18" s="34" t="inlineStr">
        <is>
          <t>จ่ายยา cloxacillin syrup เพื่อรักษาฝี โดยให้รับประทานเป็นเวลา 1 สัปดาห์</t>
        </is>
      </c>
      <c r="I18" s="33" t="inlineStr">
        <is>
          <t>2</t>
        </is>
      </c>
      <c r="J18" s="34"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5" t="n"/>
      <c r="L18" s="34" t="inlineStr">
        <is>
          <t>EPI Vaccines</t>
        </is>
      </c>
      <c r="M18" s="35" t="inlineStr">
        <is>
          <t>Clinic</t>
        </is>
      </c>
      <c r="N18" s="34" t="inlineStr">
        <is>
          <t>ข้อ 16 Pharma Plus เล่มม่วง (เฉลยข้อ ข)</t>
        </is>
      </c>
      <c r="O18" s="35" t="inlineStr">
        <is>
          <t>Mock</t>
        </is>
      </c>
      <c r="P18" s="35" t="inlineStr">
        <is>
          <t>Pharma Plus เล่มม่วง</t>
        </is>
      </c>
    </row>
    <row r="19" ht="13.2" customHeight="1" s="49">
      <c r="A19" s="33" t="n">
        <v>17</v>
      </c>
      <c r="B19" s="34"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35" t="n"/>
      <c r="D19" s="34" t="inlineStr">
        <is>
          <t>ต้องตั้งต้นฉีดเข็มที่ 1 ใหม่ เพราะเลยเวลานัดแล้ว</t>
        </is>
      </c>
      <c r="E19" s="34" t="inlineStr">
        <is>
          <t>ต้องตั้งต้นฉีดเข็มที่ 1 ใหม่ และเป็นวัคซีนคนละบริษัท</t>
        </is>
      </c>
      <c r="F19" s="34" t="inlineStr">
        <is>
          <t>สามารถฉีดเข็มที่ 2 ต่อได้เลย แต่ต้องไปฉีดที่โรงพยาบาลเดิมเพื่อที่จะได้รับวัคซีนของบริษัทเดิม</t>
        </is>
      </c>
      <c r="G19" s="34" t="inlineStr">
        <is>
          <t>สามารถฉีดเข็มที่ 2 ต่อได้เลย และวัคซีนคนละบริษัทสามารถใช้แทนกันได้</t>
        </is>
      </c>
      <c r="H19" s="34" t="inlineStr">
        <is>
          <t>ให้งดฉีดเข็มที่ 2 ไปเลย และให้ไปฉีดเข็มที่ 3 ตอนบุตรชายอายุ 6 เดือน</t>
        </is>
      </c>
      <c r="I19" s="33" t="inlineStr">
        <is>
          <t>4</t>
        </is>
      </c>
      <c r="J19" s="34"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35" t="n"/>
      <c r="L19" s="34" t="inlineStr">
        <is>
          <t>EPI Vaccines</t>
        </is>
      </c>
      <c r="M19" s="35" t="inlineStr">
        <is>
          <t>Clinic</t>
        </is>
      </c>
      <c r="N19" s="34" t="inlineStr">
        <is>
          <t>ข้อ 17 Pharma Plus เล่มม่วง (เฉลยข้อ ง)</t>
        </is>
      </c>
      <c r="O19" s="35" t="inlineStr">
        <is>
          <t>Mock</t>
        </is>
      </c>
      <c r="P19" s="35" t="inlineStr">
        <is>
          <t>Pharma Plus เล่มม่วง</t>
        </is>
      </c>
    </row>
    <row r="20" ht="13.2" customHeight="1" s="49">
      <c r="A20" s="33" t="n">
        <v>18</v>
      </c>
      <c r="B20" s="34" t="inlineStr">
        <is>
          <t>วัคซีนชนิดใดมีวิธีการบริหารโดยให้ทางปาก</t>
        </is>
      </c>
      <c r="C20" s="35" t="n"/>
      <c r="D20" s="34" t="inlineStr">
        <is>
          <t>DTP</t>
        </is>
      </c>
      <c r="E20" s="34" t="inlineStr">
        <is>
          <t>HBV</t>
        </is>
      </c>
      <c r="F20" s="34" t="inlineStr">
        <is>
          <t>Hib</t>
        </is>
      </c>
      <c r="G20" s="34" t="inlineStr">
        <is>
          <t>OPV</t>
        </is>
      </c>
      <c r="H20" s="34" t="inlineStr">
        <is>
          <t>Influenza vaccine</t>
        </is>
      </c>
      <c r="I20" s="33" t="inlineStr">
        <is>
          <t>4</t>
        </is>
      </c>
      <c r="J20" s="34"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5" t="n"/>
      <c r="L20" s="34" t="inlineStr">
        <is>
          <t>EPI Vaccines</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วัคซีนชนิดใดที่เมื่อได้รับแล้วจะมีโอกาสเป็นไข้น้อยที่สุด</t>
        </is>
      </c>
      <c r="C21" s="35" t="n"/>
      <c r="D21" s="34" t="inlineStr">
        <is>
          <t>OPV</t>
        </is>
      </c>
      <c r="E21" s="34" t="inlineStr">
        <is>
          <t>MMR</t>
        </is>
      </c>
      <c r="F21" s="34" t="inlineStr">
        <is>
          <t>Tetanus toxoid</t>
        </is>
      </c>
      <c r="G21" s="34" t="inlineStr">
        <is>
          <t>Rabies vaccines</t>
        </is>
      </c>
      <c r="H21" s="34" t="inlineStr">
        <is>
          <t>Phenol killed typhoid vaccine</t>
        </is>
      </c>
      <c r="I21" s="33" t="inlineStr">
        <is>
          <t>1</t>
        </is>
      </c>
      <c r="J21" s="34"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35" t="n"/>
      <c r="L21" s="34" t="inlineStr">
        <is>
          <t>EPI Vaccines</t>
        </is>
      </c>
      <c r="M21" s="35" t="inlineStr">
        <is>
          <t>Clinic</t>
        </is>
      </c>
      <c r="N21" s="34" t="inlineStr">
        <is>
          <t>ข้อ 19 Pharma Plus เล่มม่วง (เฉลยข้อ ก)</t>
        </is>
      </c>
      <c r="O21" s="35" t="inlineStr">
        <is>
          <t>Mock</t>
        </is>
      </c>
      <c r="P21" s="35" t="inlineStr">
        <is>
          <t>Pharma Plus เล่มม่วง</t>
        </is>
      </c>
    </row>
    <row r="22" ht="13.2" customHeight="1" s="49">
      <c r="A22" s="33" t="n">
        <v>20</v>
      </c>
      <c r="B22" s="34" t="inlineStr">
        <is>
          <t>ผู้ป่วยภูมิคุ้มกันบกพร่องไม่ควรใช้วัคซีนใด</t>
        </is>
      </c>
      <c r="C22" s="35" t="n"/>
      <c r="D22" s="34" t="inlineStr">
        <is>
          <t>MMR</t>
        </is>
      </c>
      <c r="E22" s="34" t="inlineStr">
        <is>
          <t>Tetanus toxoid</t>
        </is>
      </c>
      <c r="F22" s="34" t="inlineStr">
        <is>
          <t>Inactivated polio vaccine</t>
        </is>
      </c>
      <c r="G22" s="34" t="inlineStr">
        <is>
          <t>Acellular pertussis vaccine</t>
        </is>
      </c>
      <c r="H22" s="34" t="inlineStr">
        <is>
          <t>Phenol killed typhoid vaccine</t>
        </is>
      </c>
      <c r="I22" s="33" t="inlineStr">
        <is>
          <t>1</t>
        </is>
      </c>
      <c r="J22" s="34"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5" t="n"/>
      <c r="L22" s="34" t="inlineStr">
        <is>
          <t>EPI Vaccines</t>
        </is>
      </c>
      <c r="M22" s="35" t="inlineStr">
        <is>
          <t>Clinic</t>
        </is>
      </c>
      <c r="N22" s="34" t="inlineStr">
        <is>
          <t>ข้อ 20 Pharma Plus เล่มม่วง (เฉลยข้อ ก)</t>
        </is>
      </c>
      <c r="O22" s="35" t="inlineStr">
        <is>
          <t>Mock</t>
        </is>
      </c>
      <c r="P22" s="35" t="inlineStr">
        <is>
          <t>Pharma Plus เล่มม่วง</t>
        </is>
      </c>
    </row>
    <row r="23" ht="13.2" customHeight="1" s="49">
      <c r="A23" s="33" t="n">
        <v>21</v>
      </c>
      <c r="B23" s="34" t="inlineStr">
        <is>
          <t>วัคซีนส่วนใหญ่ได้มาจากเชื้อไวรัสยกเว้นข้อใด</t>
        </is>
      </c>
      <c r="C23" s="35" t="n"/>
      <c r="D23" s="34" t="inlineStr">
        <is>
          <t>JE</t>
        </is>
      </c>
      <c r="E23" s="34" t="inlineStr">
        <is>
          <t>BCG</t>
        </is>
      </c>
      <c r="F23" s="34" t="inlineStr">
        <is>
          <t>HBV</t>
        </is>
      </c>
      <c r="G23" s="34" t="inlineStr">
        <is>
          <t>MMR</t>
        </is>
      </c>
      <c r="H23" s="34" t="inlineStr">
        <is>
          <t>OPV</t>
        </is>
      </c>
      <c r="I23" s="33" t="inlineStr">
        <is>
          <t>2</t>
        </is>
      </c>
      <c r="J23" s="34"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5" t="n"/>
      <c r="L23" s="34" t="inlineStr">
        <is>
          <t>EPI Vaccines</t>
        </is>
      </c>
      <c r="M23" s="35" t="inlineStr">
        <is>
          <t>Clinic</t>
        </is>
      </c>
      <c r="N23" s="34" t="inlineStr">
        <is>
          <t>ข้อ 21 Pharma Plus เล่มม่วง (เฉลยข้อ ข)</t>
        </is>
      </c>
      <c r="O23" s="35" t="inlineStr">
        <is>
          <t>Mock</t>
        </is>
      </c>
      <c r="P23" s="35" t="inlineStr">
        <is>
          <t>Pharma Plus เล่มม่วง</t>
        </is>
      </c>
    </row>
    <row r="24" ht="13.2" customHeight="1" s="49">
      <c r="A24" s="33" t="n">
        <v>22</v>
      </c>
      <c r="B24" s="34"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35" t="n"/>
      <c r="D24" s="34" t="inlineStr">
        <is>
          <t>สอบถามประวัติการแพ้ยา</t>
        </is>
      </c>
      <c r="E24" s="34" t="inlineStr">
        <is>
          <t>สอบถามโรคประจำตัว</t>
        </is>
      </c>
      <c r="F24" s="34" t="inlineStr">
        <is>
          <t>สอบถามประวัติการได้รับวัคซีน</t>
        </is>
      </c>
      <c r="G24" s="34" t="inlineStr">
        <is>
          <t>สอบถามการได้สัมผัสสัตว์ปีกที่มีชีวิต</t>
        </is>
      </c>
      <c r="H24" s="34" t="inlineStr">
        <is>
          <t>สอบถามเกี่ยวกับใกล้ชิดที่มีอาการผื่นแดง</t>
        </is>
      </c>
      <c r="I24" s="33" t="inlineStr">
        <is>
          <t>1</t>
        </is>
      </c>
      <c r="J24" s="34" t="inlineStr">
        <is>
          <t>✅ คำตอบที่ถูกต้อง: ข้อ ก. สอบถามประวัติการแพ้ยา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35" t="n"/>
      <c r="L24" s="34" t="inlineStr">
        <is>
          <t>Allergic rhinitis</t>
        </is>
      </c>
      <c r="M24" s="35" t="inlineStr">
        <is>
          <t>Clinic</t>
        </is>
      </c>
      <c r="N24" s="34" t="inlineStr">
        <is>
          <t>ข้อ 22 Pharma Plus เล่มม่วง (เฉลยข้อ )</t>
        </is>
      </c>
      <c r="O24" s="35" t="inlineStr">
        <is>
          <t>Mock</t>
        </is>
      </c>
      <c r="P24" s="35" t="inlineStr">
        <is>
          <t>Pharma Plus เล่มม่วง</t>
        </is>
      </c>
    </row>
    <row r="25" ht="13.2" customHeight="1" s="49">
      <c r="A25" s="33" t="n">
        <v>23</v>
      </c>
      <c r="B25" s="34"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35" t="n"/>
      <c r="D25" s="34" t="inlineStr">
        <is>
          <t>หวัดนก</t>
        </is>
      </c>
      <c r="E25" s="34" t="inlineStr">
        <is>
          <t>หัด</t>
        </is>
      </c>
      <c r="F25" s="34" t="inlineStr">
        <is>
          <t>อีสุกอีใส</t>
        </is>
      </c>
      <c r="G25" s="34" t="inlineStr">
        <is>
          <t>โรคภูมิคุ้มกันบกพร่อง</t>
        </is>
      </c>
      <c r="H25" s="34" t="inlineStr">
        <is>
          <t>โรคภูมิแพ้</t>
        </is>
      </c>
      <c r="I25" s="33" t="inlineStr">
        <is>
          <t>2</t>
        </is>
      </c>
      <c r="J25" s="34"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35" t="n"/>
      <c r="L25" s="34" t="inlineStr">
        <is>
          <t>Systemic lupus</t>
        </is>
      </c>
      <c r="M25" s="35" t="inlineStr">
        <is>
          <t>Clinic</t>
        </is>
      </c>
      <c r="N25" s="34" t="inlineStr">
        <is>
          <t>ข้อ 23 Pharma Plus เล่มม่วง (เฉลยข้อ ข)</t>
        </is>
      </c>
      <c r="O25" s="35" t="inlineStr">
        <is>
          <t>Mock</t>
        </is>
      </c>
      <c r="P25" s="35" t="inlineStr">
        <is>
          <t>Pharma Plus เล่มม่วง</t>
        </is>
      </c>
    </row>
    <row r="26" ht="13.2" customHeight="1" s="49">
      <c r="A26" s="33" t="n">
        <v>24</v>
      </c>
      <c r="B26" s="34" t="inlineStr">
        <is>
          <t>ท่านคิดว่า จะแก้ปัญหานี้ได้อย่างไรให้เกิดผลดีที่สุด</t>
        </is>
      </c>
      <c r="C26" s="35" t="n"/>
      <c r="D26" s="34" t="inlineStr">
        <is>
          <t>ไม่ต้องตกใจ เป็นอาการข้างเคียงของวัคซีน</t>
        </is>
      </c>
      <c r="E26" s="34" t="inlineStr">
        <is>
          <t>จ่ายยาลดไข้ ถ้าไข้ไม่ลด ให้มาพบที่ร้านยาอีกครั้ง</t>
        </is>
      </c>
      <c r="F26" s="34" t="inlineStr">
        <is>
          <t>ให้เช็ดตัวเด็กเป็นระยะ ๆ ถ้าไข้ไม่ลดลง นำส่ง ร.พ.</t>
        </is>
      </c>
      <c r="G26" s="34" t="inlineStr">
        <is>
          <t>ให้เช็ดตัวเด็กเป็นระยะ ๆ จ่ายยาลดไข้ และโทรรายงานแพทย์หรือพยาบาล ปรึกษาและบันทึกประวัติการแพ้วัคซีน</t>
        </is>
      </c>
      <c r="H26" s="34" t="inlineStr">
        <is>
          <t>จ่ายยาลดไข้และให้เช็ดตัวเด็กเป็นระยะ ๆ อาการจะดีขึ้น</t>
        </is>
      </c>
      <c r="I26" s="33" t="inlineStr">
        <is>
          <t>5</t>
        </is>
      </c>
      <c r="J26" s="34" t="inlineStr">
        <is>
          <t>✅ คำตอบที่ถูกต้อง: ข้อ จ. จ่ายยาลดไข้และให้เช็ดตัวเด็กเป็นระยะ ๆ อาการจะดีขึ้น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35" t="n"/>
      <c r="L26" s="34" t="inlineStr">
        <is>
          <t>Allergic rhinitis</t>
        </is>
      </c>
      <c r="M26" s="35" t="inlineStr">
        <is>
          <t>Clinic</t>
        </is>
      </c>
      <c r="N26" s="34" t="inlineStr">
        <is>
          <t>ข้อ 24 Pharma Plus เล่มม่วง (เฉลยข้อ จ)</t>
        </is>
      </c>
      <c r="O26" s="35" t="inlineStr">
        <is>
          <t>Mock</t>
        </is>
      </c>
      <c r="P26" s="35" t="inlineStr">
        <is>
          <t>Pharma Plus เล่มม่วง</t>
        </is>
      </c>
    </row>
    <row r="27" ht="13.2" customHeight="1" s="49">
      <c r="A27" s="33" t="n">
        <v>25</v>
      </c>
      <c r="B27" s="34" t="inlineStr">
        <is>
          <t>DTP และ MMR vaccine มีความแตกต่างกันทั้งประเภทของจุลินทรีย์ที่ใช้เตรียม ประเภทของวัคซีน ข้อใดไม่ถูกต้อง</t>
        </is>
      </c>
      <c r="C27" s="35" t="n"/>
      <c r="D27" s="34" t="inlineStr">
        <is>
          <t>DTP vaccine เตรียมจากไวรัส ส่วน MMR vaccine เตรียมจากแบคทีเรีย</t>
        </is>
      </c>
      <c r="E27" s="34"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34" t="inlineStr">
        <is>
          <t>DTP vaccine เป็น inactivated vaccine ส่วน MMR เป็น live-attenuated vaccine</t>
        </is>
      </c>
      <c r="G27" s="34" t="inlineStr">
        <is>
          <t>DTP vaccine เป็น toxoid ทั้งหมด ส่วน MMR vaccine เป็น subunit vaccine ทั้งหมด</t>
        </is>
      </c>
      <c r="H27" s="34" t="inlineStr">
        <is>
          <t>DTP vaccine เป็น subunit vaccine ส่วน MMR vaccine เป็น toxoid</t>
        </is>
      </c>
      <c r="I27" s="33" t="inlineStr">
        <is>
          <t>1</t>
        </is>
      </c>
      <c r="J27" s="34"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35" t="n"/>
      <c r="L27" s="34" t="inlineStr">
        <is>
          <t>EPI Vaccines</t>
        </is>
      </c>
      <c r="M27" s="35" t="inlineStr">
        <is>
          <t>Clinic</t>
        </is>
      </c>
      <c r="N27" s="34" t="inlineStr">
        <is>
          <t>ข้อ 25 Pharma Plus เล่มม่วง (เฉลยข้อ ก ข)</t>
        </is>
      </c>
      <c r="O27" s="35" t="inlineStr">
        <is>
          <t>Mock</t>
        </is>
      </c>
      <c r="P27" s="35" t="inlineStr">
        <is>
          <t>Pharma Plus เล่มม่วง</t>
        </is>
      </c>
    </row>
    <row r="28" ht="13.2" customHeight="1" s="49">
      <c r="A28" s="33" t="n">
        <v>26</v>
      </c>
      <c r="B28" s="34" t="inlineStr">
        <is>
          <t>ในโปรแกรมสร้างภูมิคุ้มกัน วัคซีนบางประเภทเป็น live-attenuated vaccine มีข้อดีกว่าวัคซีนประเภทอื่นอย่างไร</t>
        </is>
      </c>
      <c r="C28" s="35" t="n"/>
      <c r="D28" s="34" t="inlineStr">
        <is>
          <t>ปลอดภัยมากกว่า</t>
        </is>
      </c>
      <c r="E28" s="34" t="inlineStr">
        <is>
          <t>กระตุ้นภูมิคุ้มกันระยะยาว</t>
        </is>
      </c>
      <c r="F28" s="34" t="inlineStr">
        <is>
          <t>อาการข้างเคียงน้อยกว่า</t>
        </is>
      </c>
      <c r="G28" s="34" t="inlineStr">
        <is>
          <t>เป็นภูมิคุ้มกันสำเร็จรูป คือภูมิคุ้มกันทันที</t>
        </is>
      </c>
      <c r="H28" s="34" t="inlineStr">
        <is>
          <t>กระตุ้นภูมิคุ้มกันเร็วกว่า</t>
        </is>
      </c>
      <c r="I28" s="33" t="inlineStr">
        <is>
          <t>2</t>
        </is>
      </c>
      <c r="J28" s="34"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35" t="n"/>
      <c r="L28" s="34" t="inlineStr">
        <is>
          <t>Hypersensitivity</t>
        </is>
      </c>
      <c r="M28" s="35" t="inlineStr">
        <is>
          <t>Clinic</t>
        </is>
      </c>
      <c r="N28" s="34" t="inlineStr">
        <is>
          <t>ข้อ 26 Pharma Plus เล่มม่วง (เฉลยข้อ ข)</t>
        </is>
      </c>
      <c r="O28" s="35" t="inlineStr">
        <is>
          <t>Mock</t>
        </is>
      </c>
      <c r="P28" s="35" t="inlineStr">
        <is>
          <t>Pharma Plus เล่มม่วง</t>
        </is>
      </c>
    </row>
    <row r="29" ht="13.2" customHeight="1" s="49">
      <c r="A29" s="33" t="n">
        <v>27</v>
      </c>
      <c r="B29" s="34" t="inlineStr">
        <is>
          <t>ในโปรแกรมสร้างภูมิคุ้มกันไม่ครอบคลุมวัคซีนป้องกันโรคใด</t>
        </is>
      </c>
      <c r="C29" s="35" t="n"/>
      <c r="D29" s="34" t="inlineStr">
        <is>
          <t>หัด</t>
        </is>
      </c>
      <c r="E29" s="34" t="inlineStr">
        <is>
          <t>โปลิโอ</t>
        </is>
      </c>
      <c r="F29" s="34" t="inlineStr">
        <is>
          <t>อีสุกอีใส</t>
        </is>
      </c>
      <c r="G29" s="34" t="inlineStr">
        <is>
          <t>บาดทะยัก</t>
        </is>
      </c>
      <c r="H29" s="34" t="inlineStr">
        <is>
          <t>คางทูม</t>
        </is>
      </c>
      <c r="I29" s="33" t="inlineStr">
        <is>
          <t>3</t>
        </is>
      </c>
      <c r="J29" s="34"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35" t="n"/>
      <c r="L29" s="34" t="inlineStr">
        <is>
          <t>EPI Vaccines</t>
        </is>
      </c>
      <c r="M29" s="35" t="inlineStr">
        <is>
          <t>Clinic</t>
        </is>
      </c>
      <c r="N29" s="34" t="inlineStr">
        <is>
          <t>ข้อ 27 Pharma Plus เล่มม่วง (เฉลยข้อ ค)</t>
        </is>
      </c>
      <c r="O29" s="35" t="inlineStr">
        <is>
          <t>Mock</t>
        </is>
      </c>
      <c r="P29" s="35" t="inlineStr">
        <is>
          <t>Pharma Plus เล่มม่วง</t>
        </is>
      </c>
    </row>
    <row r="30" ht="13.2" customHeight="1" s="49">
      <c r="A30" s="33" t="n">
        <v>28</v>
      </c>
      <c r="B30" s="34"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35" t="n"/>
      <c r="D30" s="34" t="inlineStr">
        <is>
          <t>Chlorphenamine maleate tablet</t>
        </is>
      </c>
      <c r="E30" s="34" t="inlineStr">
        <is>
          <t>Hydroxyzine HCl tablet</t>
        </is>
      </c>
      <c r="F30" s="34" t="inlineStr">
        <is>
          <t>Neomycin/bacitracin ointment</t>
        </is>
      </c>
      <c r="G30" s="34" t="inlineStr">
        <is>
          <t>Calamine lotion</t>
        </is>
      </c>
      <c r="H30" s="34" t="inlineStr">
        <is>
          <t>Prednisolone cream</t>
        </is>
      </c>
      <c r="I30" s="33" t="inlineStr">
        <is>
          <t>5</t>
        </is>
      </c>
      <c r="J30" s="34" t="inlineStr">
        <is>
          <t>✅ คำตอบที่ถูกต้อง: ข้อ จ. Prednisolone cream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35" t="n"/>
      <c r="L30" s="34" t="inlineStr">
        <is>
          <t>Allergic rhinitis</t>
        </is>
      </c>
      <c r="M30" s="35" t="inlineStr">
        <is>
          <t>Clinic</t>
        </is>
      </c>
      <c r="N30" s="34" t="inlineStr">
        <is>
          <t>ข้อ 28 Pharma Plus เล่มม่วง (เฉลยข้อ จ)</t>
        </is>
      </c>
      <c r="O30" s="35" t="inlineStr">
        <is>
          <t>Mock</t>
        </is>
      </c>
      <c r="P30" s="35" t="inlineStr">
        <is>
          <t>Pharma Plus เล่มม่วง</t>
        </is>
      </c>
    </row>
    <row r="31" ht="13.2" customHeight="1" s="49">
      <c r="A31" s="33" t="n">
        <v>29</v>
      </c>
      <c r="B31" s="34"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35" t="n"/>
      <c r="D31" s="34" t="inlineStr">
        <is>
          <t>ประวัติการสูบบุหรี่เพราะสาร hydrazine ในบุหรี่กระตุ้นอาการ Lupus ได้</t>
        </is>
      </c>
      <c r="E31" s="34" t="inlineStr">
        <is>
          <t>การใช้ sunscreen SPF 15 ขึ้นไปก่อนออกแดด</t>
        </is>
      </c>
      <c r="F31" s="34" t="inlineStr">
        <is>
          <t>ประวัติความเจ็บป่วยด้วยโรคติดเชื้อในอดีต</t>
        </is>
      </c>
      <c r="G31" s="34" t="inlineStr">
        <is>
          <t>ประวัติการใช้ยาเพราะยาบางตัว เช่น hydralazine chlorpropamide หรือยาในกลุ่ม anticonvulsant สามารถกระตุ้นการเกิด lupus ได้</t>
        </is>
      </c>
      <c r="H31" s="34" t="inlineStr">
        <is>
          <t>ประวัติการได้รับเลือดในอดีต</t>
        </is>
      </c>
      <c r="I31" s="33" t="inlineStr">
        <is>
          <t>5</t>
        </is>
      </c>
      <c r="J31" s="34" t="inlineStr">
        <is>
          <t>✅ คำตอบที่ถูกต้อง: ข้อ จ. ประวัติการได้รับเลือดในอดีต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ประวัติการได้รับเลือดในอดีต การทา sunscreen SPF 15 ขึ้นไปช่วยป้องกันรังสี UV ซึ่งเป็นตัวกระตุ้นอาการ SLE (photosensitivity) จึงไม่ใช่ปัจจัยเสี่ยงหรือตัวกระตุ้นการเกิดโรค แต่ข้ออื่นๆ เช่น การสูบบุหรี่ ยาบางชนิด (Drug-induced lupus เช่น hydralazine) และการติดเชื้อ ล้วนเป็นตัวกระตุ้นการกำเริบหรือการเกิดโรคทั้งสิ้น
🔍 ข้ออื่นผิดเพราะอะไร:
• ข้อ ก. (ประวัติการสูบบุหรี่เพราะสาร hydrazine ในบุหรี่กระตุ้นอาการ Lupus ได้): การสูบบุหรี่มีสารไฮดราซีน (hydrazine) และกระตุ้น oxidative stress ซึ่งเป็นปัจจัยกระตุ้นทางสิ่งแวดล้อมที่ทำให้เกิดและกำเริบของโรค SLE ได้จริง จึงเป็นคำถามที่ควรซัก
• ข้อ ข. (การใช้ sunscreen SPF 15 ขึ้นไปก่อนออกแดด): การใช้ sunscreen ช่วยป้องกันรังสีรังสีอัลตราไวโอเลต (UVB/UVA) ซึ่งเป็นตัวการสำคัญที่กระตุ้น apoptosis ของ keratinocytes และปลดปล่อย autoantigens ในผู้ป่วย SLE
• ข้อ ค. (ประวัติความเจ็บป่วยด้วยโรคติดเชื้อในอดีต): ประวัติการติดเชื้อ เช่น ไวรัส Epstein-Barr virus (EBV) เป็นหนึ่งในตัวกระตุ้นทางสิ่งแวดล้อมสำคัญที่เหนี่ยวนำให้ระบบภูมิคุ้มกันสร้าง autoantibodies ผ่านกลไก molecular mimicry
• ข้อ ง. (ประวัติการใช้ยาเพราะยาบางตัว เช่น hydralazine chlorpropamide หรือยาในกลุ่ม anticonvulsant สามารถกระตุ้นการเกิด lupus ได้): ยาหลายชนิดเหนี่ยวนำให้เกิด Drug-induced lupus erythematosus (DILE) ได้ เช่น Hydralazine, Procainamide, Isoniazid, Minocycline และยากันชัก จึงจำเป็นต้องซักประวัติการใช้ยา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35" t="n"/>
      <c r="L31" s="34" t="inlineStr">
        <is>
          <t>Systemic lupus</t>
        </is>
      </c>
      <c r="M31" s="35" t="inlineStr">
        <is>
          <t>Clinic</t>
        </is>
      </c>
      <c r="N31" s="34" t="inlineStr">
        <is>
          <t>ข้อ 29 Pharma Plus เล่มม่วง (เฉลยข้อ จ)</t>
        </is>
      </c>
      <c r="O31" s="35" t="inlineStr">
        <is>
          <t>Mock</t>
        </is>
      </c>
      <c r="P31" s="35" t="inlineStr">
        <is>
          <t>Pharma Plus เล่มม่วง</t>
        </is>
      </c>
    </row>
    <row r="32" ht="13.2" customHeight="1" s="49">
      <c r="A32" s="33" t="n">
        <v>30</v>
      </c>
      <c r="B32" s="34"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35" t="n"/>
      <c r="D32" s="34" t="inlineStr">
        <is>
          <t>Ocular examination</t>
        </is>
      </c>
      <c r="E32" s="34" t="inlineStr">
        <is>
          <t>Chest x-ray</t>
        </is>
      </c>
      <c r="F32" s="34" t="inlineStr">
        <is>
          <t>Liver function test</t>
        </is>
      </c>
      <c r="G32" s="34" t="inlineStr">
        <is>
          <t>Urinalysis</t>
        </is>
      </c>
      <c r="H32" s="34" t="inlineStr">
        <is>
          <t>EKG</t>
        </is>
      </c>
      <c r="I32" s="33" t="inlineStr">
        <is>
          <t>1</t>
        </is>
      </c>
      <c r="J32" s="34" t="inlineStr">
        <is>
          <t>✅ คำตอบที่ถูกต้อง: ข้อ ก. Ocular examination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Ocular examination Hydroxychloroquine มีความเสี่ยงในการเกิดพิษต่อจอประสาทตา (retinopathy) ดังนั้นแนวเวชปฏิบัติจึงแนะนำให้ผู้ป่วยตรวจตา (Ocular examination / Baseline ophthalmologic examination) ก่อนเริ่มยาและตรวจติดตามทุกปี
🔍 ข้ออื่นผิดเพราะอะไร:
• ข้อ ข. (Chest x-ray): Chest x-ray ใช้ตรวจคัดกรองวัณโรคปอดก่อนเริ่มยากลุ่ม Biologic agents (เช่น Anti-TNF) แต่ไม่ได้เป็น baseline test จำเพาะในการเฝ้าระวังพิษของยา Hydroxychloroquine
• ข้อ ค. (Liver function test): Liver function test ใช้ตรวจติดตามยาที่ผ่านการเผาผลาญที่ตับหรือมี hepatotoxicity สูง เช่น Methotrexate และ Leflunomide ไม่ใช่การตรวจที่สำคัญที่สุดของ Hydroxychloroquine
• ข้อ ง. (Urinalysis): Urinalysis ใช้ติดตามภาวะ Lupus nephritis ในผู้ป่วย SLE แต่ไม่ได้ใช้ตรวจคัดกรองพิษทางเภสัชวิทยาโดยตรงของ Hydroxychloroquine
• ข้อ จ. (EKG): EKG ใช้ประเมิน QT prolongation ซึ่งพบได้น้อยในขนาดปกติของ Hydroxychloroquine ใน SLE แต่การตรวจความผิดปกติของจอประสาทตา (retinopathy) เป็นข้อบังคับสำคัญที่สุดตามแนวทางเวชปฏิบัติ
📖 Guideline อ้างอิง:
[NEED_REVIEW]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32" s="35" t="n"/>
      <c r="L32" s="34" t="inlineStr">
        <is>
          <t>Systemic lupus</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35" t="n"/>
      <c r="D33" s="34" t="inlineStr">
        <is>
          <t>Ioniazid</t>
        </is>
      </c>
      <c r="E33" s="34" t="inlineStr">
        <is>
          <t>Rifampicin</t>
        </is>
      </c>
      <c r="F33" s="34" t="inlineStr">
        <is>
          <t>Pyrazinamide</t>
        </is>
      </c>
      <c r="G33" s="34" t="inlineStr">
        <is>
          <t>Ethambutol</t>
        </is>
      </c>
      <c r="H33" s="34" t="inlineStr">
        <is>
          <t>Pyrazinamide ร่วมกับ ethambutol</t>
        </is>
      </c>
      <c r="I33" s="33" t="inlineStr">
        <is>
          <t>1</t>
        </is>
      </c>
      <c r="J33" s="34"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35" t="n"/>
      <c r="L33" s="34" t="inlineStr">
        <is>
          <t>Systemic lupus</t>
        </is>
      </c>
      <c r="M33" s="35" t="inlineStr">
        <is>
          <t>Clinic</t>
        </is>
      </c>
      <c r="N33" s="34" t="inlineStr">
        <is>
          <t>ข้อ 31 Pharma Plus เล่มม่วง (เฉลยข้อ ก)</t>
        </is>
      </c>
      <c r="O33" s="35" t="inlineStr">
        <is>
          <t>Mock</t>
        </is>
      </c>
      <c r="P33" s="35" t="inlineStr">
        <is>
          <t>Pharma Plus เล่มม่วง</t>
        </is>
      </c>
    </row>
    <row r="34" ht="13.2" customHeight="1" s="49">
      <c r="A34" s="33" t="n">
        <v>32</v>
      </c>
      <c r="B34" s="34" t="inlineStr">
        <is>
          <t>แพทย์สั่งจ่าย prednisolone แต่โรงพยาบาลมียา dexamethasone เท่านั้นในฐานะเภสัชกรทำอย่างไร</t>
        </is>
      </c>
      <c r="C34" s="35" t="n"/>
      <c r="D34" s="34" t="inlineStr">
        <is>
          <t>ให้ยา dexamethasone แทนได้เพราะยาทั้งสองตัวเป็น steroid ประเภท short acting steroid เหมือนกัน</t>
        </is>
      </c>
      <c r="E34" s="34" t="inlineStr">
        <is>
          <t>ให้ยา dexamethasone แทนได้เพราะยาทั้งสองตัวเป็น steroid ประเภท long acting steroid เหมือนกัน</t>
        </is>
      </c>
      <c r="F34" s="34" t="inlineStr">
        <is>
          <t>ต้องคำนวณ equivalent dose ของยาทั้งสองตัวก่อนทำการเปลี่ยนยาเนื่องจากยาทั้งสองตัวมี potency ต่างกัน</t>
        </is>
      </c>
      <c r="G34" s="34" t="inlineStr">
        <is>
          <t>ไม่สามารถให้ยาแทนกันได้เพราะ prednisolone เป็น glucocorticoid แต่ dexamethasone เป็น mineralocorticoid</t>
        </is>
      </c>
      <c r="H34" s="34" t="inlineStr">
        <is>
          <t>ไม่สามารถให้ยาแทนกันได้และควรแจ้งให้แพทย์ทราบ</t>
        </is>
      </c>
      <c r="I34" s="33" t="inlineStr">
        <is>
          <t>3</t>
        </is>
      </c>
      <c r="J34" s="34" t="inlineStr">
        <is>
          <t>✅ คำตอบที่ถูกต้อง: ข้อ ค. ต้องคำนวณ equivalent dose ของยาทั้งสองตัวก่อนทำการเปลี่ยนยาเนื่องจากยาทั้งสองตัวมี potency ต่างกัน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ต้องคำนวณ equivalent dose ของยาทั้งสองตัวก่อนทำการเปลี่ยนยาเนื่องจากยาทั้งสองตัวมี potency ต่างกัน Glucocorticoids มีความแรง (potency) และระยะเวลาออกฤทธิ์ที่แตกต่างกัน (Prednisolone เป็น intermediate-acting, Dexamethasone เป็น long-acting และมี potency สูงกว่ามาก) เมื่อจำเป็นต้องเปลี่ยนยาจึงต้องคำนวณขนาดเทียบเท่า (equivalent dose) ให้ถูกต้อง
🔍 ข้ออื่นผิดเพราะอะไร:
• ข้อ ก. (ให้ยา dexamethasone แทนได้เพราะยาทั้งสองตัวเป็น steroid ประเภท short acting steroid เหมือนกัน): Prednisolone เป็น intermediate-acting steroid (half-life 18-36 ชม.) ในขณะที่ Dexamethasone เป็น long-acting steroid (half-life 36-54 ชม.) จึงไม่ใช่ short-acting steroid ทั้งคู่
• ข้อ ข. (ให้ยา dexamethasone แทนได้เพราะยาทั้งสองตัวเป็น steroid ประเภท long acting steroid เหมือนกัน): Prednisolone ไม่จัดเป็น long-acting steroid เนื่องจากมีระยะเวลาออกฤทธิ์ปานกลาง และ Dexamethasone มี potency ทาง glucocorticoid สูงกว่า Prednisolone ถึงประมาณ 5 เท่า (5 mg Prednisolone เทียบเท่า 0.75 mg Dexamethasone)
• ข้อ ง. (ไม่สามารถให้ยาแทนกันได้เพราะ prednisolone เป็น glucocorticoid แต่ dexamethasone เป็น mineralocorticoid): ทั้ง Prednisolone และ Dexamethasone จัดเป็นยากลุ่ม Glucocorticoids ทั้งคู่ โดย Dexamethasone มีฤทธิ์ mineralocorticoid แทบจะเป็นศูนย์ (pure glucocorticoid)
• ข้อ จ. (ไม่สามารถให้ยาแทนกันได้และควรแจ้งให้แพทย์ทราบ): เภสัชกรสามารถคำนวณขนาดยาเทียบเท่า (equivalent dose) และประสานงานปรับเปลี่ยนยากับแพทย์ผู้สั่งใช้ได้ตามบริบทความพร้อมของคลังยา ไม่จำเป็นต้องปฏิเสธการให้ยาทันที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4" s="35" t="n"/>
      <c r="L34" s="34" t="inlineStr">
        <is>
          <t>Systemic lupus</t>
        </is>
      </c>
      <c r="M34" s="35" t="inlineStr">
        <is>
          <t>Clinic</t>
        </is>
      </c>
      <c r="N34" s="34" t="inlineStr">
        <is>
          <t>ข้อ 32 Pharma Plus เล่มม่วง (เฉลยข้อ ค)</t>
        </is>
      </c>
      <c r="O34" s="35" t="inlineStr">
        <is>
          <t>Mock</t>
        </is>
      </c>
      <c r="P34" s="35" t="inlineStr">
        <is>
          <t>Pharma Plus เล่มม่วง</t>
        </is>
      </c>
    </row>
    <row r="35" ht="13.2" customHeight="1" s="49">
      <c r="A35" s="33" t="n">
        <v>33</v>
      </c>
      <c r="B35" s="34" t="inlineStr">
        <is>
          <t>ยากดภูมิคุ้มกัน (immunosuppression) มีประโยชน์กับภาวะยกเว้น</t>
        </is>
      </c>
      <c r="C35" s="35" t="n"/>
      <c r="D35" s="34" t="inlineStr">
        <is>
          <t>การเปลี่ยนถ่ายอวัยวะ</t>
        </is>
      </c>
      <c r="E35" s="34" t="inlineStr">
        <is>
          <t>Rh hemolytic disease ในเด็กแรกเกิด</t>
        </is>
      </c>
      <c r="F35" s="34" t="inlineStr">
        <is>
          <t>Rheumatoid arthritis</t>
        </is>
      </c>
      <c r="G35" s="34" t="inlineStr">
        <is>
          <t>มะเร็ง</t>
        </is>
      </c>
      <c r="H35" s="34" t="inlineStr">
        <is>
          <t>SLE</t>
        </is>
      </c>
      <c r="I35" s="33" t="inlineStr">
        <is>
          <t>2</t>
        </is>
      </c>
      <c r="J35" s="34" t="inlineStr">
        <is>
          <t>✅ คำตอบที่ถูกต้อง: ข้อ ข. Rh hemolytic disease ในเด็กแรกเกิด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35" t="n"/>
      <c r="L35" s="34" t="inlineStr">
        <is>
          <t>Allergic rhinitis</t>
        </is>
      </c>
      <c r="M35" s="35" t="inlineStr">
        <is>
          <t>Clinic</t>
        </is>
      </c>
      <c r="N35" s="34" t="inlineStr">
        <is>
          <t>ข้อ 33 Pharma Plus เล่มม่วง (เฉลยข้อ ข)</t>
        </is>
      </c>
      <c r="O35" s="35" t="inlineStr">
        <is>
          <t>Mock</t>
        </is>
      </c>
      <c r="P35" s="35" t="inlineStr">
        <is>
          <t>Pharma Plus เล่มม่วง</t>
        </is>
      </c>
    </row>
    <row r="36" ht="13.2" customHeight="1" s="49">
      <c r="A36" s="33" t="n">
        <v>34</v>
      </c>
      <c r="B36" s="34"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35" t="n"/>
      <c r="D36" s="34" t="inlineStr">
        <is>
          <t>ให้ยาขนาด 24 ชม. ทุกวัน วันละครั้ง</t>
        </is>
      </c>
      <c r="E36" s="34" t="inlineStr">
        <is>
          <t>ให้ยาขนาด 24 ชม. แบ่งให้ 2 ครั้ง ทุกวัน</t>
        </is>
      </c>
      <c r="F36" s="34" t="inlineStr">
        <is>
          <t>ให้ยาขนาด 24 ชม. วันเว้นวัน วันละครั้ง</t>
        </is>
      </c>
      <c r="G36" s="34" t="inlineStr">
        <is>
          <t>ให้ยาขนาด 48 ชม. วันเว้นวัน วันละครั้ง</t>
        </is>
      </c>
      <c r="H36" s="34" t="inlineStr">
        <is>
          <t>ให้ยาขนาด 48 ชม. วันเว้นวัน แบ่งให้ 2 ครั้ง</t>
        </is>
      </c>
      <c r="I36" s="33" t="inlineStr">
        <is>
          <t>1</t>
        </is>
      </c>
      <c r="J36" s="34" t="inlineStr">
        <is>
          <t>✅ คำตอบที่ถูกต้อง: ข้อ ก. ให้ยาขนาด 24 ชม. ทุกวัน วันละครั้ง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ให้ยาขนาด 24 ชม. ทุกวัน วันละครั้ง การให้ยา corticosteroid ขนาดสูงต่อเนื่องเป็นเวลานานจะกดแกน HPA การปรับลดหรือใช้ในรูปแบบวันเว้นวัน (alternate-day therapy) ขนาด 48 ชั่วโมง วันเว้นวัน วันละครั้ง ช่วยลดผลข้างเคียงจากการกดต่อมหมวกไต
🔍 ข้ออื่นผิดเพราะอะไร:
• ข้อ ข. (ให้ยาขนาด 24 ชม. แบ่งให้ 2 ครั้ง ทุกวัน): การแบ่งให้วันละ 2 ครั้ง (divided dose) จะรบกวนจังหวะ diurnal rhythm ของ cortisol และเพิ่มอัตราการกดแกน HPA axis มากกว่าการให้ยาวันละครั้งในตอนเช้า
• ข้อ ค. (ให้ยาขนาด 24 ชม. วันเว้นวัน วันละครั้ง): การให้ยาขนาด 24 ชม. วันเว้นวัน จะทำให้ผู้ป่วยได้รับขนาดยารวมต่อสัปดาห์ลดลงครึ่งหนึ่ง ซึ่งอาจไม่เพียงพอในการควบคุมการอักเสบของ SLE ที่ยังต้องการขนาดยาเต็มที่
• ข้อ ง. (ให้ยาขนาด 48 ชม. วันเว้นวัน วันละครั้ง): การให้ยาแบบ Alternate-day therapy (ขนาด 48 ชม. วันเว้นวัน) เหมาะสำหรับระยะ maintenance phase หลังจากควบคุมโรคได้สงบดีแล้ว ไม่เหมาะกับช่วงที่เพิ่งฟื้นตัวจากภาวะกำเริบ
• ข้อ จ. (ให้ยาขนาด 48 ชม. วันเว้นวัน แบ่งให้ 2 ครั้ง): การให้ยาขนาด 48 ชม. วันเว้นวันและยังแบ่งให้ 2 ครั้ง จะสูญเสียข้อดีของการเลียนแบบ circadian rhythm และยังคงกดการทำงานของต่อมหมวกไตอย่างต่อเนื่อง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6" s="35" t="n"/>
      <c r="L36" s="34" t="inlineStr">
        <is>
          <t>Systemic lupus</t>
        </is>
      </c>
      <c r="M36" s="35" t="inlineStr">
        <is>
          <t>Clinic</t>
        </is>
      </c>
      <c r="N36" s="34" t="inlineStr">
        <is>
          <t>ข้อ 34 Pharma Plus เล่มม่วง (เฉลยข้อ )</t>
        </is>
      </c>
      <c r="O36" s="35" t="inlineStr">
        <is>
          <t>Mock</t>
        </is>
      </c>
      <c r="P36" s="35" t="inlineStr">
        <is>
          <t>Pharma Plus เล่มม่วง</t>
        </is>
      </c>
    </row>
    <row r="37" ht="13.2" customHeight="1" s="49">
      <c r="A37" s="33" t="n">
        <v>35</v>
      </c>
      <c r="B37" s="34" t="inlineStr">
        <is>
          <t>การให้ prednisolone ให้ผู้ป่วย SLE เพื่ออะไร</t>
        </is>
      </c>
      <c r="C37" s="35" t="n"/>
      <c r="D37" s="34" t="inlineStr">
        <is>
          <t>ลดปฏิกิริยา antibody immune complex</t>
        </is>
      </c>
      <c r="E37" s="34" t="inlineStr">
        <is>
          <t>ลดการทำลายของ LE cell</t>
        </is>
      </c>
      <c r="F37" s="34" t="inlineStr">
        <is>
          <t>ยับยั้งการจับ antigen กับ antibody</t>
        </is>
      </c>
      <c r="G37" s="34" t="inlineStr">
        <is>
          <t>ลดการสร้าง antibody</t>
        </is>
      </c>
      <c r="H37" s="34" t="inlineStr">
        <is>
          <t>ยับยั้ง histamine กับ bradykinin</t>
        </is>
      </c>
      <c r="I37" s="33" t="inlineStr">
        <is>
          <t>4</t>
        </is>
      </c>
      <c r="J37" s="34" t="inlineStr">
        <is>
          <t>✅ คำตอบที่ถูกต้อง: ข้อ ง. ลดการสร้าง antibody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ลดการสร้าง antibody Corticosteroids มีฤทธิ์กดภูมิคุ้มกันและต้านการอักเสบ ช่วยลดกระบวนการสร้าง autoantibodies และลดปฏิกิริยาของ immune complex ในผู้ป่วย systemic lupus erythematosus (SLE)
🔍 ข้ออื่นผิดเพราะอะไร:
• ข้อ ก. (ลดปฏิกิริยา antibody immune complex): Prednisolone ไม่ได้ออกฤทธิ์โดยตรงในการทำลายหรือยับยั้ง circulating immune complexes ที่เกิดขึ้นแล้ว แต่ลดการอักเสบและการสร้างคอมเพล็กซ์ใหม่
• ข้อ ข. (ลดการทำลายของ LE cell): LE cell เป็นเซลล์ neutrophil ที่กลืนนิวเคลียสของเซลล์อื่นที่ถูกทำลายโดย antinuclear antibodies ซึ่งสเตียรอยด์ไม่ได้มีกลไกเจาะจงเพื่อลดการทำลาย LE cell โดยตรง
• ข้อ ค. (ยับยั้งการจับ antigen กับ antibody): สเตียรอยด์ไม่มีผลในการขัดขวางการเข้าจับกันระหว่างแอนติเจนและแอนติบอดี (antigen-antibody binding) ในเชิงเคมีกายภาพ แต่กดการแสดงออกของยีนไซโตไคน์และแอนติบอดี
• ข้อ จ. (ยับยั้ง histamine กับ bradykinin): การยับยั้งผลของ histamine และ bradykinin เป็นหน้าที่หลักของ Antihistamines และยาต้านการอักเสบเฉพาะที่ ไม่ใช่กลไกหลักของ Corticosteroids ในการรักษา SLE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35" t="n"/>
      <c r="L37" s="34" t="inlineStr">
        <is>
          <t>Systemic lupus</t>
        </is>
      </c>
      <c r="M37" s="35" t="inlineStr">
        <is>
          <t>Clinic</t>
        </is>
      </c>
      <c r="N37" s="34" t="inlineStr">
        <is>
          <t>ข้อ 35 Pharma Plus เล่มม่วง (เฉลยข้อ ง)</t>
        </is>
      </c>
      <c r="O37" s="35" t="inlineStr">
        <is>
          <t>Mock</t>
        </is>
      </c>
      <c r="P37" s="35" t="inlineStr">
        <is>
          <t>Pharma Plus เล่มม่วง</t>
        </is>
      </c>
    </row>
    <row r="38" ht="13.2" customHeight="1" s="49">
      <c r="A38" s="33" t="n">
        <v>36</v>
      </c>
      <c r="B38" s="34" t="inlineStr">
        <is>
          <t>ยากดภูมิคุ้มกัน (immunosuppressive) สามารถนำมาใช้ประโยชน์ในด้านใด</t>
        </is>
      </c>
      <c r="C38" s="35" t="n"/>
      <c r="D38" s="34" t="inlineStr">
        <is>
          <t>AIDs</t>
        </is>
      </c>
      <c r="E38" s="34" t="inlineStr">
        <is>
          <t>COPD</t>
        </is>
      </c>
      <c r="F38" s="34" t="inlineStr">
        <is>
          <t>TB</t>
        </is>
      </c>
      <c r="G38" s="34" t="inlineStr">
        <is>
          <t>Leprosy</t>
        </is>
      </c>
      <c r="H38" s="34" t="inlineStr">
        <is>
          <t>Organ tissue transplantation</t>
        </is>
      </c>
      <c r="I38" s="33" t="inlineStr">
        <is>
          <t>5</t>
        </is>
      </c>
      <c r="J38" s="34" t="inlineStr">
        <is>
          <t>✅ คำตอบที่ถูกต้อง: ข้อ จ. Organ tissue transplantation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35" t="n"/>
      <c r="L38" s="34" t="inlineStr">
        <is>
          <t>Allergic rhinitis</t>
        </is>
      </c>
      <c r="M38" s="35" t="inlineStr">
        <is>
          <t>Clinic</t>
        </is>
      </c>
      <c r="N38" s="34" t="inlineStr">
        <is>
          <t>ข้อ 36 Pharma Plus เล่มม่วง (เฉลยข้อ จ)</t>
        </is>
      </c>
      <c r="O38" s="35" t="inlineStr">
        <is>
          <t>Mock</t>
        </is>
      </c>
      <c r="P38" s="35" t="inlineStr">
        <is>
          <t>Pharma Plus เล่มม่วง</t>
        </is>
      </c>
    </row>
    <row r="39" ht="13.2" customHeight="1" s="49">
      <c r="A39" s="33" t="n">
        <v>37</v>
      </c>
      <c r="B39" s="34" t="inlineStr">
        <is>
          <t>Cyclosporine ยากดภูมิคุ้มกันข้อใดถูกต้อง</t>
        </is>
      </c>
      <c r="C39" s="35" t="n"/>
      <c r="D39" s="34" t="inlineStr">
        <is>
          <t>ออกฤทธิ์กดการทำงานของ B-cell อย่างเฉพาะเจาะจง</t>
        </is>
      </c>
      <c r="E39" s="34" t="inlineStr">
        <is>
          <t>ค่าของ pharmacokinetic profile สม่ำเสมอในผู้ป่วยทุกราย</t>
        </is>
      </c>
      <c r="F39" s="34" t="inlineStr">
        <is>
          <t>มีฤทธิ์ต่อตับและไตน้อย</t>
        </is>
      </c>
      <c r="G39" s="34" t="inlineStr">
        <is>
          <t>ประสิทธิภาพในการปลูกถ่ายอวัยวะ</t>
        </is>
      </c>
      <c r="H39" s="34" t="inlineStr">
        <is>
          <t>ถูกทุกข้อ</t>
        </is>
      </c>
      <c r="I39" s="33" t="inlineStr">
        <is>
          <t>4</t>
        </is>
      </c>
      <c r="J39" s="34" t="inlineStr">
        <is>
          <t>✅ คำตอบที่ถูกต้อง: ข้อ ง. ประสิทธิภาพในการปลูกถ่ายอวัยวะ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35" t="n"/>
      <c r="L39" s="34" t="inlineStr">
        <is>
          <t>Allergic rhinitis</t>
        </is>
      </c>
      <c r="M39" s="35" t="inlineStr">
        <is>
          <t>Clinic</t>
        </is>
      </c>
      <c r="N39" s="34" t="inlineStr">
        <is>
          <t>ข้อ 37 Pharma Plus เล่มม่วง (เฉลยข้อ ง)</t>
        </is>
      </c>
      <c r="O39" s="35" t="inlineStr">
        <is>
          <t>Mock</t>
        </is>
      </c>
      <c r="P39" s="35" t="inlineStr">
        <is>
          <t>Pharma Plus เล่มม่วง</t>
        </is>
      </c>
    </row>
    <row r="40" ht="13.2" customHeight="1" s="49">
      <c r="A40" s="33" t="n">
        <v>38</v>
      </c>
      <c r="B40" s="34" t="inlineStr">
        <is>
          <t>ข้อใดเป็นผลข้างเคียงของ corticosteroid ยกเว้น</t>
        </is>
      </c>
      <c r="C40" s="35" t="n"/>
      <c r="D40" s="34" t="inlineStr">
        <is>
          <t>Suppression of pituitary-adrenaline</t>
        </is>
      </c>
      <c r="E40" s="34" t="inlineStr">
        <is>
          <t>Increase susceptibility to infection</t>
        </is>
      </c>
      <c r="F40" s="34" t="inlineStr">
        <is>
          <t>Peptic ulceration</t>
        </is>
      </c>
      <c r="G40" s="34" t="inlineStr">
        <is>
          <t>Muscle hypertrophy</t>
        </is>
      </c>
      <c r="H40" s="34" t="inlineStr">
        <is>
          <t>Physiological disturbances</t>
        </is>
      </c>
      <c r="I40" s="33" t="inlineStr">
        <is>
          <t>4</t>
        </is>
      </c>
      <c r="J40" s="34" t="inlineStr">
        <is>
          <t>✅ คำตอบที่ถูกต้อง: ข้อ ง. Muscle hypertrophy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35" t="n"/>
      <c r="L40" s="34" t="inlineStr">
        <is>
          <t>Allergic rhinitis</t>
        </is>
      </c>
      <c r="M40" s="35" t="inlineStr">
        <is>
          <t>Clinic</t>
        </is>
      </c>
      <c r="N40" s="34" t="inlineStr">
        <is>
          <t>ข้อ 38 Pharma Plus เล่มม่วง (เฉลยข้อ ง)</t>
        </is>
      </c>
      <c r="O40" s="35" t="inlineStr">
        <is>
          <t>Mock</t>
        </is>
      </c>
      <c r="P40" s="35" t="inlineStr">
        <is>
          <t>Pharma Plus เล่มม่วง</t>
        </is>
      </c>
    </row>
    <row r="41" ht="13.2" customHeight="1" s="49">
      <c r="A41" s="33" t="n">
        <v>39</v>
      </c>
      <c r="B41" s="34"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35" t="n"/>
      <c r="D41" s="34" t="inlineStr">
        <is>
          <t>มีน้ำมูก</t>
        </is>
      </c>
      <c r="E41" s="34" t="inlineStr">
        <is>
          <t>ปวดข้อ</t>
        </is>
      </c>
      <c r="F41" s="34" t="inlineStr">
        <is>
          <t>มีไข้</t>
        </is>
      </c>
      <c r="G41" s="34" t="inlineStr">
        <is>
          <t>น้ำหนักลด</t>
        </is>
      </c>
      <c r="H41" s="34" t="inlineStr">
        <is>
          <t>ผีเสื้อที่หน้า</t>
        </is>
      </c>
      <c r="I41" s="33" t="inlineStr">
        <is>
          <t>1</t>
        </is>
      </c>
      <c r="J41" s="34" t="inlineStr">
        <is>
          <t>✅ คำตอบที่ถูกต้อง: ข้อ ก. มีน้ำมูก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35" t="n"/>
      <c r="L41" s="34" t="inlineStr">
        <is>
          <t>Allergic rhinitis</t>
        </is>
      </c>
      <c r="M41" s="35" t="inlineStr">
        <is>
          <t>Clinic</t>
        </is>
      </c>
      <c r="N41" s="34" t="inlineStr">
        <is>
          <t>ข้อ 39 Pharma Plus เล่มม่วง (เฉลยข้อ ก)</t>
        </is>
      </c>
      <c r="O41" s="35" t="inlineStr">
        <is>
          <t>Mock</t>
        </is>
      </c>
      <c r="P41" s="35" t="inlineStr">
        <is>
          <t>Pharma Plus เล่มม่วง</t>
        </is>
      </c>
    </row>
    <row r="42" ht="13.2" customHeight="1" s="49">
      <c r="A42" s="33" t="n">
        <v>40</v>
      </c>
      <c r="B42" s="34" t="inlineStr">
        <is>
          <t>ถ้าต้องการใช้ยารักษาโรคในกรณีเฉียบพลันใช้ยา</t>
        </is>
      </c>
      <c r="C42" s="35" t="n"/>
      <c r="D42" s="34" t="inlineStr">
        <is>
          <t>Indomethacin</t>
        </is>
      </c>
      <c r="E42" s="34" t="inlineStr">
        <is>
          <t>Ibuprofen</t>
        </is>
      </c>
      <c r="F42" s="34" t="inlineStr">
        <is>
          <t>Diclofenac or Piroxicam</t>
        </is>
      </c>
      <c r="G42" s="34" t="inlineStr">
        <is>
          <t>Aspirin</t>
        </is>
      </c>
      <c r="H42" s="34" t="inlineStr">
        <is>
          <t>Methylprednisolone</t>
        </is>
      </c>
      <c r="I42" s="33" t="inlineStr">
        <is>
          <t>5</t>
        </is>
      </c>
      <c r="J42" s="34" t="inlineStr">
        <is>
          <t>✅ คำตอบที่ถูกต้อง: ข้อ จ. Methylprednisolone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Methylprednisolone ในกรณีที่โรค SLE กำเริบรุนแรงหรือเป็นกรณีเฉียบพลัน (acute severe flare) จำเป็นต้องใช้ยาต้านการอักเสบที่มีฤทธิ์แรงและกดภูมิได้เร็ว เช่น corticosteroid ขนาดสูง (เช่น methylprednisolone pulse therapy) มากกว่า NSAIDs ทั่วไป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(Diclofenac or Piroxicam): เป็น oxicam NSAID ที่มี half-life ยาวนานมาก (~50 ชม.) แต่มีความเสี่ยงต่อ severe GI bleed และ skin reactions สูงที่สุดในกลุ่ม NSAIDs
• ข้อ ง. (Aspirin): เป็น irreversible COX-1 inhibitor ยับยั้ง Thromboxane A2 เป็นแกนหลักใน antiplatelet secondary prevention ของ CVD (ขนาดยา 75-100 mg/day)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2" s="35" t="n"/>
      <c r="L42" s="34" t="inlineStr">
        <is>
          <t>Systemic lupus</t>
        </is>
      </c>
      <c r="M42" s="35" t="inlineStr">
        <is>
          <t>Clinic</t>
        </is>
      </c>
      <c r="N42" s="34" t="inlineStr">
        <is>
          <t>ข้อ 40 Pharma Plus เล่มม่วง (เฉลยข้อ จ)</t>
        </is>
      </c>
      <c r="O42" s="35" t="inlineStr">
        <is>
          <t>Mock</t>
        </is>
      </c>
      <c r="P42" s="35" t="inlineStr">
        <is>
          <t>Pharma Plus เล่มม่วง</t>
        </is>
      </c>
    </row>
    <row r="43" ht="13.2" customHeight="1" s="49">
      <c r="A43" s="33" t="n">
        <v>41</v>
      </c>
      <c r="B43" s="34"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35" t="n"/>
      <c r="D43" s="34" t="inlineStr">
        <is>
          <t>Allergic rhinitis-mild intermittent</t>
        </is>
      </c>
      <c r="E43" s="34" t="inlineStr">
        <is>
          <t>Allergic rhinitis-mod-severe intermittent</t>
        </is>
      </c>
      <c r="F43" s="34" t="inlineStr">
        <is>
          <t>Allergic rhinitis-mod-severe persistent</t>
        </is>
      </c>
      <c r="G43" s="34" t="inlineStr">
        <is>
          <t>Allergic Asthma-mild persistent</t>
        </is>
      </c>
      <c r="H43" s="34" t="inlineStr">
        <is>
          <t>Allergic asthma-mod-severe intermittent</t>
        </is>
      </c>
      <c r="I43" s="33" t="inlineStr">
        <is>
          <t>1</t>
        </is>
      </c>
      <c r="J43" s="34" t="inlineStr">
        <is>
          <t>✅ คำตอบที่ถูกต้อง: ข้อ ก. Allergic rhinitis-mild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สากล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35" t="n"/>
      <c r="L43" s="34" t="inlineStr">
        <is>
          <t>Allergic rhinitis</t>
        </is>
      </c>
      <c r="M43" s="35" t="inlineStr">
        <is>
          <t>Clinic</t>
        </is>
      </c>
      <c r="N43" s="34" t="inlineStr">
        <is>
          <t>Mock PLE-CC 1 ข้อ 41</t>
        </is>
      </c>
      <c r="O43" s="35" t="inlineStr">
        <is>
          <t>Mock</t>
        </is>
      </c>
      <c r="P43" s="35" t="inlineStr">
        <is>
          <t>Mock RxCU83</t>
        </is>
      </c>
      <c r="Q43" s="2" t="n"/>
    </row>
    <row r="44" ht="13.2" customHeight="1" s="49">
      <c r="A44" s="33" t="n">
        <v>42</v>
      </c>
      <c r="B44" s="34" t="inlineStr">
        <is>
          <t>ควรให้ยาอะไรตามการรักษาอาการภูมิแพ้กำเริบในประเทศไทย พ.ศ.2565</t>
        </is>
      </c>
      <c r="C44" s="35" t="n"/>
      <c r="D44" s="34" t="inlineStr">
        <is>
          <t>CPM 4 mg ตามเดิม</t>
        </is>
      </c>
      <c r="E44" s="34" t="inlineStr">
        <is>
          <t>หยุด CPM และใช้ Fexofenadine 180 mg 1 เม็ดก่อน เมื่อมีอาการ</t>
        </is>
      </c>
      <c r="F44" s="34" t="inlineStr">
        <is>
          <t>Fexo 180 mg 1 เม็ดก่อนนอน ต่อเนื่อง 2 สัปดาห์</t>
        </is>
      </c>
      <c r="G44" s="34" t="inlineStr">
        <is>
          <t>Montelukast 10 mg วันละ 1 เม็ด ประเมินอีกครั้ง 2 สัปดาห์</t>
        </is>
      </c>
      <c r="H44" s="34" t="inlineStr">
        <is>
          <t>Mometasone พ่นจมูกเช้า-เย็น ประเมินอีกครั้ง 2 สัปดาห๋"</t>
        </is>
      </c>
      <c r="I44" s="33" t="inlineStr">
        <is>
          <t>3</t>
        </is>
      </c>
      <c r="J44" s="34" t="inlineStr">
        <is>
          <t>✅ คำตอบที่ถูกต้อง: ข้อ ค. Fexo 180 mg 1 เม็ดก่อนนอน ต่อเนื่อง 2 สัปดาห์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35" t="n"/>
      <c r="L44" s="34" t="inlineStr">
        <is>
          <t>Allergic rhinitis</t>
        </is>
      </c>
      <c r="M44" s="35" t="inlineStr">
        <is>
          <t>Clinic</t>
        </is>
      </c>
      <c r="N44" s="34" t="inlineStr">
        <is>
          <t>Mock PLE-CC 1 ข้อ 42</t>
        </is>
      </c>
      <c r="O44" s="35" t="inlineStr">
        <is>
          <t>Mock</t>
        </is>
      </c>
      <c r="P44" s="35" t="inlineStr">
        <is>
          <t>Mock RxCU83</t>
        </is>
      </c>
      <c r="Q44" s="2" t="n"/>
    </row>
    <row r="45" ht="13.2" customHeight="1" s="49">
      <c r="A45" s="33" t="n">
        <v>43</v>
      </c>
      <c r="B45" s="34" t="inlineStr">
        <is>
          <t>ผลข้างเคียงของการใช้ยา oxymetazoline ติดต่อกันหลายวัน</t>
        </is>
      </c>
      <c r="C45" s="35" t="n"/>
      <c r="D45" s="34" t="inlineStr">
        <is>
          <t>Glaucoma</t>
        </is>
      </c>
      <c r="E45" s="34" t="inlineStr">
        <is>
          <t>Epistaxis</t>
        </is>
      </c>
      <c r="F45" s="34" t="inlineStr">
        <is>
          <t>Rebound congestion</t>
        </is>
      </c>
      <c r="G45" s="34" t="inlineStr">
        <is>
          <t>HPA axis suppression</t>
        </is>
      </c>
      <c r="H45" s="34" t="inlineStr">
        <is>
          <t>nasal septal perforation</t>
        </is>
      </c>
      <c r="I45" s="33" t="inlineStr">
        <is>
          <t>1</t>
        </is>
      </c>
      <c r="J45" s="34" t="inlineStr">
        <is>
          <t>✅ คำตอบที่ถูกต้อง: ข้อ ก. Glaucoma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35" t="n"/>
      <c r="L45" s="34" t="inlineStr">
        <is>
          <t>Allergic rhinitis</t>
        </is>
      </c>
      <c r="M45" s="35" t="inlineStr">
        <is>
          <t>Clinic</t>
        </is>
      </c>
      <c r="N45" s="34" t="inlineStr">
        <is>
          <t>Mock PLE-CC 1 ข้อ 43</t>
        </is>
      </c>
      <c r="O45" s="35" t="inlineStr">
        <is>
          <t>Mock</t>
        </is>
      </c>
      <c r="P45" s="35" t="inlineStr">
        <is>
          <t>Mock RxCU83</t>
        </is>
      </c>
      <c r="Q45" s="2" t="n"/>
    </row>
    <row r="46" ht="13.2" customHeight="1" s="49">
      <c r="A46" s="33" t="n">
        <v>44</v>
      </c>
      <c r="B46" s="34" t="inlineStr">
        <is>
          <t>กลไกการออกฤทธิ์ของยาแก้คัดจมูก oxymetazoline</t>
        </is>
      </c>
      <c r="C46" s="35" t="n"/>
      <c r="D46" s="34" t="inlineStr">
        <is>
          <t>Alpha1,Alpha2 agonist</t>
        </is>
      </c>
      <c r="E46" s="34" t="inlineStr">
        <is>
          <t>Beta1 agonist</t>
        </is>
      </c>
      <c r="F46" s="34" t="inlineStr">
        <is>
          <t>Muscarinic agonist</t>
        </is>
      </c>
      <c r="G46" s="34" t="inlineStr">
        <is>
          <t>Acetylcholinesterase inhibitor</t>
        </is>
      </c>
      <c r="H46" s="34" t="inlineStr">
        <is>
          <t>Neuromuscular blocker</t>
        </is>
      </c>
      <c r="I46" s="33" t="inlineStr">
        <is>
          <t>1</t>
        </is>
      </c>
      <c r="J46" s="34" t="inlineStr">
        <is>
          <t>✅ คำตอบที่ถูกต้อง: ข้อ ก. Alpha1,Alpha2 agonist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35" t="n"/>
      <c r="L46" s="34" t="inlineStr">
        <is>
          <t>Allergic rhinitis</t>
        </is>
      </c>
      <c r="M46" s="35" t="inlineStr">
        <is>
          <t>Clinic</t>
        </is>
      </c>
      <c r="N46" s="34" t="inlineStr">
        <is>
          <t>Mock PLE-CC 1 ข้อ 44</t>
        </is>
      </c>
      <c r="O46" s="35" t="inlineStr">
        <is>
          <t>Mock</t>
        </is>
      </c>
      <c r="P46" s="35" t="inlineStr">
        <is>
          <t>Mock RxCU83</t>
        </is>
      </c>
      <c r="Q46" s="2" t="n"/>
    </row>
    <row r="47" ht="13.2" customHeight="1" s="49">
      <c r="A47" s="33" t="n">
        <v>45</v>
      </c>
      <c r="B47" s="34" t="inlineStr">
        <is>
          <t>CPM เป็น first gen antihistamine ห้ามใช้ในผู้ป่วยโรคใด</t>
        </is>
      </c>
      <c r="C47" s="35" t="n"/>
      <c r="D47" s="34" t="inlineStr">
        <is>
          <t>กลั้นปัสสาวะไม่อยู่</t>
        </is>
      </c>
      <c r="E47" s="34" t="inlineStr">
        <is>
          <t>หอบหืด</t>
        </is>
      </c>
      <c r="F47" s="34" t="inlineStr">
        <is>
          <t>ต่อมลูกหมากโต</t>
        </is>
      </c>
      <c r="G47" s="34" t="inlineStr">
        <is>
          <t>หัวใจเต้นผิดจังหวะ</t>
        </is>
      </c>
      <c r="H47" s="34" t="inlineStr">
        <is>
          <t>ใช้ยาปฏิชีวนะ (erythromycin,fluconazole)</t>
        </is>
      </c>
      <c r="I47" s="33" t="inlineStr">
        <is>
          <t>1</t>
        </is>
      </c>
      <c r="J47" s="34" t="inlineStr">
        <is>
          <t>✅ คำตอบที่ถูกต้อง: ข้อ ก. กลั้นปัสสาวะไม่อยู่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35" t="n"/>
      <c r="L47" s="34" t="inlineStr">
        <is>
          <t>Allergic rhinitis</t>
        </is>
      </c>
      <c r="M47" s="35" t="inlineStr">
        <is>
          <t>Clinic</t>
        </is>
      </c>
      <c r="N47" s="34" t="inlineStr">
        <is>
          <t>Mock PLE-CC 1 ข้อ 45</t>
        </is>
      </c>
      <c r="O47" s="35" t="inlineStr">
        <is>
          <t>Mock</t>
        </is>
      </c>
      <c r="P47" s="35" t="inlineStr">
        <is>
          <t>Mock RxCU83</t>
        </is>
      </c>
      <c r="Q47" s="2" t="n"/>
    </row>
    <row r="48" ht="13.2" customHeight="1" s="49">
      <c r="A48" s="33" t="n">
        <v>46</v>
      </c>
      <c r="B48" s="34" t="inlineStr">
        <is>
          <t>อาหารหรือปัจจัยใดกระตุ้นให้เกิด allergic rhinitis ได้</t>
        </is>
      </c>
      <c r="C48" s="35" t="n"/>
      <c r="D48" s="34" t="inlineStr">
        <is>
          <t>เครื่องดื่มแอลกอฮอล์</t>
        </is>
      </c>
      <c r="E48" s="34" t="inlineStr">
        <is>
          <t>อาหารที่มีสารกันบูด sulfite เช่น ไวน์ อาหารแปรรูป</t>
        </is>
      </c>
      <c r="F48" s="34" t="inlineStr">
        <is>
          <t>อาหารที่มีรสจัดหรือเผ็ดที่กระตุ้นอาการคัดจมูก</t>
        </is>
      </c>
      <c r="G48" s="34" t="inlineStr">
        <is>
          <t>สูบบุหรี่และควันบุหรี่</t>
        </is>
      </c>
      <c r="H48" s="34" t="inlineStr">
        <is>
          <t>ถูกทุกข้อ</t>
        </is>
      </c>
      <c r="I48" s="33" t="inlineStr">
        <is>
          <t>3</t>
        </is>
      </c>
      <c r="J48" s="34" t="inlineStr">
        <is>
          <t>✅ คำตอบที่ถูกต้อง: ข้อ ค. อาหารที่มีรสจัดหรือเผ็ดที่กระตุ้นอาการคัดจมูก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35" t="n"/>
      <c r="L48" s="34" t="inlineStr">
        <is>
          <t>Allergic rhinitis</t>
        </is>
      </c>
      <c r="M48" s="35" t="inlineStr">
        <is>
          <t>Clinic</t>
        </is>
      </c>
      <c r="N48" s="34" t="inlineStr">
        <is>
          <t>Mock PLE-CC 1 ข้อ 50</t>
        </is>
      </c>
      <c r="O48" s="35" t="inlineStr">
        <is>
          <t>Mock</t>
        </is>
      </c>
      <c r="P48" s="35" t="inlineStr">
        <is>
          <t>Mock RxCU83</t>
        </is>
      </c>
      <c r="Q48" s="2" t="n"/>
    </row>
    <row r="49" ht="13.2" customHeight="1" s="49">
      <c r="A49" s="33" t="n">
        <v>47</v>
      </c>
      <c r="B49" s="34"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35" t="n"/>
      <c r="D49" s="34" t="inlineStr">
        <is>
          <t>[NEED_REVIEW]</t>
        </is>
      </c>
      <c r="E49" s="34" t="inlineStr">
        <is>
          <t>ขายได้เพราะเป็นยาอันตรายตามกฎหมาย</t>
        </is>
      </c>
      <c r="F49" s="34" t="inlineStr">
        <is>
          <t>ขายไม่ได้เพราะปริมาณเกินกฎหมายกำหนดไว้</t>
        </is>
      </c>
      <c r="G49" s="34" t="inlineStr">
        <is>
          <t>ขายไม่ได้เพราะไม่ได้คำนึงถึงความปลอดภัยผู้มาซื้อ</t>
        </is>
      </c>
      <c r="H49" s="34" t="inlineStr">
        <is>
          <t>ขายไม่ได้เพราะไม่มีใบสั่งซื้อจากแพทย์</t>
        </is>
      </c>
      <c r="I49" s="33" t="inlineStr">
        <is>
          <t>1</t>
        </is>
      </c>
      <c r="J49" s="34" t="inlineStr">
        <is>
          <t>✅ คำตอบที่ถูกต้อง: ข้อ ก. ขายได้เพราะเป็นยาสามัญประจำบ้าน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35" t="n"/>
      <c r="L49" s="34" t="inlineStr">
        <is>
          <t>Allergic rhinitis</t>
        </is>
      </c>
      <c r="M49" s="35" t="inlineStr">
        <is>
          <t>Clinic</t>
        </is>
      </c>
      <c r="N49" s="34" t="inlineStr">
        <is>
          <t>PLE_CC1_2567_Key ข้อ 11</t>
        </is>
      </c>
      <c r="O49" s="35" t="inlineStr">
        <is>
          <t>ข้อสอบจริง</t>
        </is>
      </c>
      <c r="P49" s="35" t="inlineStr">
        <is>
          <t>ปี 2567</t>
        </is>
      </c>
      <c r="Q49" s="2" t="n"/>
    </row>
    <row r="50" ht="13.2" customHeight="1" s="49">
      <c r="A50" s="33" t="n">
        <v>48</v>
      </c>
      <c r="B50" s="34"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35" t="n"/>
      <c r="D50" s="34" t="inlineStr">
        <is>
          <t>[NEED_REVIEW]</t>
        </is>
      </c>
      <c r="E50" s="34" t="inlineStr">
        <is>
          <t>ขายได้เพราะเป็นยาอันตรายตามกฎหมาย</t>
        </is>
      </c>
      <c r="F50" s="34" t="inlineStr">
        <is>
          <t>ขายไม่ได้เพราะปริมาณเกินกฎหมายกำหนดไว้</t>
        </is>
      </c>
      <c r="G50" s="34" t="inlineStr">
        <is>
          <t>ขายไม่ได้เพราะไม่ได้คำนึงถึงความปลอดภัยผู้มาซื้อ</t>
        </is>
      </c>
      <c r="H50" s="34" t="inlineStr">
        <is>
          <t>ขายไม่ได้เพราะไม่มีใบสั่งซื้อจากแพทย์</t>
        </is>
      </c>
      <c r="I50" s="33" t="inlineStr">
        <is>
          <t>1</t>
        </is>
      </c>
      <c r="J50" s="34"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35" t="n"/>
      <c r="L50" s="34" t="inlineStr">
        <is>
          <t>Allergic rhinitis</t>
        </is>
      </c>
      <c r="M50" s="35" t="inlineStr">
        <is>
          <t>Clinic</t>
        </is>
      </c>
      <c r="N50" s="34" t="inlineStr">
        <is>
          <t>PLE_CC1_2567_Set1_Key ข้อ 11</t>
        </is>
      </c>
      <c r="O50" s="35" t="inlineStr">
        <is>
          <t>ข้อสอบจริง</t>
        </is>
      </c>
      <c r="P50" s="35" t="inlineStr">
        <is>
          <t>ปี 2567</t>
        </is>
      </c>
      <c r="Q50" s="2" t="n"/>
    </row>
    <row r="51" ht="13.2" customHeight="1" s="49">
      <c r="A51" s="33" t="n">
        <v>49</v>
      </c>
      <c r="B51" s="34"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35" t="n"/>
      <c r="D51" s="34" t="inlineStr">
        <is>
          <t>Fluticasone furoate nasal spray</t>
        </is>
      </c>
      <c r="E51" s="34" t="inlineStr">
        <is>
          <t>Budesonide nasal spray</t>
        </is>
      </c>
      <c r="F51" s="34" t="inlineStr">
        <is>
          <t>Epinephrine 0.3 mg IM stat</t>
        </is>
      </c>
      <c r="G51" s="34" t="inlineStr">
        <is>
          <t>Dexamethasone 4 mg IV</t>
        </is>
      </c>
      <c r="H51" s="34" t="inlineStr">
        <is>
          <t>Bromocriptine</t>
        </is>
      </c>
      <c r="I51" s="33" t="inlineStr">
        <is>
          <t>1</t>
        </is>
      </c>
      <c r="J51" s="34" t="inlineStr">
        <is>
          <t>✅ คำตอบที่ถูกต้อง: ข้อ ก.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35" t="n"/>
      <c r="L51" s="34" t="inlineStr">
        <is>
          <t>Allergic rhinitis</t>
        </is>
      </c>
      <c r="M51" s="35" t="inlineStr">
        <is>
          <t>Clinic</t>
        </is>
      </c>
      <c r="N51" s="34" t="inlineStr">
        <is>
          <t>PLE_CC1_2567_Set1_Key ข้อ 14</t>
        </is>
      </c>
      <c r="O51" s="35" t="inlineStr">
        <is>
          <t>ข้อสอบจริง</t>
        </is>
      </c>
      <c r="P51" s="35" t="inlineStr">
        <is>
          <t>ปี 2567</t>
        </is>
      </c>
      <c r="Q51" s="2" t="n"/>
    </row>
    <row r="52" ht="13.2" customHeight="1" s="49">
      <c r="A52" s="33" t="n">
        <v>50</v>
      </c>
      <c r="B52" s="34" t="inlineStr">
        <is>
          <t>คุณครูมาขอซื้อ CPM 4 มก. 5 กระปุก กระปุกละ 100 เม็ด เนื่องจากกำลังจะเปิดเรียน เภสัชกรขายให้ เภสัช กรผิดหรือไม่</t>
        </is>
      </c>
      <c r="C52" s="35" t="n"/>
      <c r="D52" s="34" t="inlineStr">
        <is>
          <t>Allergic rhinitis</t>
        </is>
      </c>
      <c r="E52" s="34" t="inlineStr">
        <is>
          <t>Dexamethasone 4 mg IV</t>
        </is>
      </c>
      <c r="F52" s="34" t="inlineStr">
        <is>
          <t>Prednisolone 20 mg OD</t>
        </is>
      </c>
      <c r="G52" s="34" t="inlineStr">
        <is>
          <t>Montelukast 10 mg HS</t>
        </is>
      </c>
      <c r="H52" s="34" t="inlineStr">
        <is>
          <t>Hydroxyzine 25 mg HS</t>
        </is>
      </c>
      <c r="I52" s="33" t="inlineStr">
        <is>
          <t>1</t>
        </is>
      </c>
      <c r="J52"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35" t="n"/>
      <c r="L52" s="34" t="inlineStr">
        <is>
          <t>Allergic rhinitis</t>
        </is>
      </c>
      <c r="M52" s="35" t="inlineStr">
        <is>
          <t>Clinic</t>
        </is>
      </c>
      <c r="N52" s="34" t="inlineStr">
        <is>
          <t>PLE_CC1_2567_Set1_Key ข้อ 47</t>
        </is>
      </c>
      <c r="O52" s="35" t="inlineStr">
        <is>
          <t>ข้อสอบจริง</t>
        </is>
      </c>
      <c r="P52" s="35" t="inlineStr">
        <is>
          <t>ปี 2567</t>
        </is>
      </c>
    </row>
    <row r="53" ht="13.2" customHeight="1" s="49">
      <c r="A53" s="33" t="n">
        <v>51</v>
      </c>
      <c r="B53" s="34" t="inlineStr">
        <is>
          <t>ข้อใดเป็นเกณฑ์ในการวินิจฉัยว่าผู้ป่วยคนนี้เป็นโรคไตเรื้อรัง CPM UACR = 282 ☆</t>
        </is>
      </c>
      <c r="C53" s="35" t="n"/>
      <c r="D53" s="34" t="inlineStr">
        <is>
          <t>Allergic rhinitis</t>
        </is>
      </c>
      <c r="E53" s="34" t="inlineStr">
        <is>
          <t>Hydroxyzine 25 mg HS</t>
        </is>
      </c>
      <c r="F53" s="34" t="inlineStr">
        <is>
          <t>Diphenhydramine 25 mg IV</t>
        </is>
      </c>
      <c r="G53" s="34" t="inlineStr">
        <is>
          <t>Cetirizine 10 mg OD</t>
        </is>
      </c>
      <c r="H53" s="34" t="inlineStr">
        <is>
          <t>Loratadine 10 mg OD</t>
        </is>
      </c>
      <c r="I53" s="33" t="inlineStr">
        <is>
          <t>1</t>
        </is>
      </c>
      <c r="J53"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35" t="n"/>
      <c r="L53" s="34" t="inlineStr">
        <is>
          <t>Allergic rhinitis</t>
        </is>
      </c>
      <c r="M53" s="35" t="inlineStr">
        <is>
          <t>Clinic</t>
        </is>
      </c>
      <c r="N53" s="34" t="inlineStr">
        <is>
          <t>PLE_CC1_2567_Set1_Key ข้อ 50</t>
        </is>
      </c>
      <c r="O53" s="35" t="inlineStr">
        <is>
          <t>ข้อสอบจริง</t>
        </is>
      </c>
      <c r="P53" s="35" t="inlineStr">
        <is>
          <t>ปี 2567</t>
        </is>
      </c>
    </row>
    <row r="54" ht="13.2" customHeight="1" s="49">
      <c r="A54" s="33" t="n">
        <v>52</v>
      </c>
      <c r="B54" s="34"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35" t="n"/>
      <c r="D54" s="34" t="inlineStr">
        <is>
          <t>Sildenafil</t>
        </is>
      </c>
      <c r="E54" s="34" t="inlineStr">
        <is>
          <t>Alprazolam</t>
        </is>
      </c>
      <c r="F54" s="34" t="inlineStr">
        <is>
          <t>Tramadol</t>
        </is>
      </c>
      <c r="G54" s="34" t="inlineStr">
        <is>
          <t>Dexamethasone</t>
        </is>
      </c>
      <c r="H54" s="34" t="inlineStr">
        <is>
          <t>Prednisolone eดfา combine 3นเอา synergistic effect เลยHกfา gก เหhผลjงkอ:lวยR Na mUงไnอยากเ^มขนาด HCTZ</t>
        </is>
      </c>
      <c r="I54" s="33" t="inlineStr">
        <is>
          <t>1</t>
        </is>
      </c>
      <c r="J54" s="34" t="inlineStr">
        <is>
          <t>✅ คำตอบที่ถูกต้อง: ข้อ ก. Sildenafil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35" t="n"/>
      <c r="L54" s="34" t="inlineStr">
        <is>
          <t>Hypersensitivity</t>
        </is>
      </c>
      <c r="M54" s="35" t="inlineStr">
        <is>
          <t>Clinic</t>
        </is>
      </c>
      <c r="N54" s="34" t="inlineStr">
        <is>
          <t>PLE_CC1_2567_Set1_Key ข้อ 81</t>
        </is>
      </c>
      <c r="O54" s="35" t="inlineStr">
        <is>
          <t>ข้อสอบจริง</t>
        </is>
      </c>
      <c r="P54" s="35" t="inlineStr">
        <is>
          <t>ปี 2567</t>
        </is>
      </c>
      <c r="Q54" s="2" t="n"/>
    </row>
    <row r="55" ht="13.2" customHeight="1" s="49">
      <c r="A55" s="33" t="n">
        <v>53</v>
      </c>
      <c r="B55" s="34" t="inlineStr">
        <is>
          <t>CPM 10 เม็ด?????</t>
        </is>
      </c>
      <c r="C55" s="35" t="n"/>
      <c r="D55" s="34" t="inlineStr">
        <is>
          <t>Allergic rhinitis</t>
        </is>
      </c>
      <c r="E55" s="34" t="inlineStr">
        <is>
          <t>Fluticasone furoate nasal spray</t>
        </is>
      </c>
      <c r="F55" s="34" t="inlineStr">
        <is>
          <t>Budesonide nasal spray</t>
        </is>
      </c>
      <c r="G55" s="34" t="inlineStr">
        <is>
          <t>Epinephrine 0.3 mg IM stat</t>
        </is>
      </c>
      <c r="H55" s="34" t="inlineStr">
        <is>
          <t>Dexamethasone 4 mg IV</t>
        </is>
      </c>
      <c r="I55" s="33" t="inlineStr">
        <is>
          <t>1</t>
        </is>
      </c>
      <c r="J55"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35" t="n"/>
      <c r="L55" s="34" t="inlineStr">
        <is>
          <t>Allergic rhinitis</t>
        </is>
      </c>
      <c r="M55" s="35" t="inlineStr">
        <is>
          <t>Clinic</t>
        </is>
      </c>
      <c r="N55" s="34" t="inlineStr">
        <is>
          <t>PLE-CC1 ปี 2566 Day 2 ข้อ 2</t>
        </is>
      </c>
      <c r="O55" s="35" t="inlineStr">
        <is>
          <t>ข้อสอบจริง</t>
        </is>
      </c>
      <c r="P55" s="35" t="inlineStr">
        <is>
          <t>ปี 2566</t>
        </is>
      </c>
    </row>
    <row r="56" ht="13.2" customHeight="1" s="49">
      <c r="A56" s="33" t="n">
        <v>54</v>
      </c>
      <c r="B56" s="34"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35" t="n"/>
      <c r="D56" s="34" t="inlineStr">
        <is>
          <t>Allergic rhinitis</t>
        </is>
      </c>
      <c r="E56" s="34" t="inlineStr">
        <is>
          <t>Dexamethasone 4 mg IV</t>
        </is>
      </c>
      <c r="F56" s="34" t="inlineStr">
        <is>
          <t>Prednisolone 20 mg OD</t>
        </is>
      </c>
      <c r="G56" s="34" t="inlineStr">
        <is>
          <t>Montelukast 10 mg HS</t>
        </is>
      </c>
      <c r="H56" s="34" t="inlineStr">
        <is>
          <t>Hydroxyzine 25 mg HS</t>
        </is>
      </c>
      <c r="I56" s="33" t="inlineStr">
        <is>
          <t>1</t>
        </is>
      </c>
      <c r="J56"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35" t="n"/>
      <c r="L56" s="34" t="inlineStr">
        <is>
          <t>Allergic rhinitis</t>
        </is>
      </c>
      <c r="M56" s="35" t="inlineStr">
        <is>
          <t>Clinic</t>
        </is>
      </c>
      <c r="N56" s="34" t="inlineStr">
        <is>
          <t>PLE-CC1 ปี 2566 Day 2 ข้อ 68</t>
        </is>
      </c>
      <c r="O56" s="35" t="inlineStr">
        <is>
          <t>ข้อสอบจริง</t>
        </is>
      </c>
      <c r="P56" s="35" t="inlineStr">
        <is>
          <t>ปี 2566</t>
        </is>
      </c>
    </row>
    <row r="57" ht="13.2" customHeight="1" s="49">
      <c r="A57" s="33" t="n">
        <v>55</v>
      </c>
      <c r="B57" s="34" t="inlineStr">
        <is>
          <t>มารดาเป็นภูมิแพ้</t>
        </is>
      </c>
      <c r="C57" s="35" t="n"/>
      <c r="D57" s="34" t="inlineStr">
        <is>
          <t>Allergic rhinitis</t>
        </is>
      </c>
      <c r="E57" s="34" t="inlineStr">
        <is>
          <t>Hydroxyzine 25 mg HS</t>
        </is>
      </c>
      <c r="F57" s="34" t="inlineStr">
        <is>
          <t>Diphenhydramine 25 mg IV</t>
        </is>
      </c>
      <c r="G57" s="34" t="inlineStr">
        <is>
          <t>Cetirizine 10 mg OD</t>
        </is>
      </c>
      <c r="H57" s="34" t="inlineStr">
        <is>
          <t>Loratadine 10 mg OD</t>
        </is>
      </c>
      <c r="I57" s="33" t="inlineStr">
        <is>
          <t>1</t>
        </is>
      </c>
      <c r="J57"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35" t="n"/>
      <c r="L57" s="34" t="inlineStr">
        <is>
          <t>Allergic rhinitis</t>
        </is>
      </c>
      <c r="M57" s="35" t="inlineStr">
        <is>
          <t>Clinic</t>
        </is>
      </c>
      <c r="N57" s="34" t="inlineStr">
        <is>
          <t>PLE-CC1 ปี 2566 Day 2 ข้อ 5</t>
        </is>
      </c>
      <c r="O57" s="35" t="inlineStr">
        <is>
          <t>ข้อสอบจริง</t>
        </is>
      </c>
      <c r="P57" s="35" t="inlineStr">
        <is>
          <t>ปี 2566</t>
        </is>
      </c>
    </row>
    <row r="58" ht="13.2" customHeight="1" s="49">
      <c r="A58" s="33" t="n">
        <v>56</v>
      </c>
      <c r="B58" s="34" t="inlineStr">
        <is>
          <t>(ชื่อยาantihistamine) nasal spray</t>
        </is>
      </c>
      <c r="C58" s="35" t="n"/>
      <c r="D58" s="34" t="inlineStr">
        <is>
          <t>Allergic rhinitis</t>
        </is>
      </c>
      <c r="E58" s="34" t="inlineStr">
        <is>
          <t>Loratadine 10 mg OD</t>
        </is>
      </c>
      <c r="F58" s="34" t="inlineStr">
        <is>
          <t>Fexofenadine 180 mg OD</t>
        </is>
      </c>
      <c r="G58" s="34" t="inlineStr">
        <is>
          <t>Chlorpheniramine 4 mg TID</t>
        </is>
      </c>
      <c r="H58" s="34" t="inlineStr">
        <is>
          <t>Fluticasone furoate nasal spray</t>
        </is>
      </c>
      <c r="I58" s="33" t="inlineStr">
        <is>
          <t>1</t>
        </is>
      </c>
      <c r="J58"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35" t="n"/>
      <c r="L58" s="34" t="inlineStr">
        <is>
          <t>Allergic rhinitis</t>
        </is>
      </c>
      <c r="M58" s="35" t="inlineStr">
        <is>
          <t>Clinic</t>
        </is>
      </c>
      <c r="N58" s="34" t="inlineStr">
        <is>
          <t>PLE-CC1 ปี 2566 Day 2 ข้อ 2</t>
        </is>
      </c>
      <c r="O58" s="35" t="inlineStr">
        <is>
          <t>ข้อสอบจริง</t>
        </is>
      </c>
      <c r="P58" s="35" t="inlineStr">
        <is>
          <t>ปี 2566</t>
        </is>
      </c>
    </row>
    <row r="59" ht="13.2" customHeight="1" s="49">
      <c r="A59" s="33" t="n">
        <v>57</v>
      </c>
      <c r="B59" s="34" t="inlineStr">
        <is>
          <t>Antihistamine =ง&gt;ตรเ?ยวและ&gt;ตรผสม เฉพาะFปแบบยาH รายการยา antihistamine ตามแนบIายประกาศJKงL</t>
        </is>
      </c>
      <c r="C59" s="35" t="n"/>
      <c r="D59" s="34" t="inlineStr">
        <is>
          <t>Tramadol เดี่ยวและผสม</t>
        </is>
      </c>
      <c r="E59" s="34" t="inlineStr">
        <is>
          <t>Dextromethorphan เดี่ยวและผสม</t>
        </is>
      </c>
      <c r="F59" s="34" t="inlineStr">
        <is>
          <t>CPM เดี่ยวและผสม เฉพาะยาน้ำ</t>
        </is>
      </c>
      <c r="G59" s="34" t="inlineStr">
        <is>
          <t>Cetirizine เดี่ยวและผสม เฉพาะยาน้ำ</t>
        </is>
      </c>
      <c r="H59" s="34" t="inlineStr">
        <is>
          <t>Diphenhydramine เดี่ยวและผสม เฉพาะยาน้ำ</t>
        </is>
      </c>
      <c r="I59" s="33" t="inlineStr">
        <is>
          <t>1</t>
        </is>
      </c>
      <c r="J59" s="34" t="inlineStr">
        <is>
          <t>✅ คำตอบที่ถูกต้อง: ข้อ ก. Tramadol เดี่ยวและผสม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(Dextromethorphan เดี่ยวและผสม): Dextromethorphan เดี่ยวและสูตรผสมถูกควบคุมการจำหน่ายเพื่อป้องกันการนำไปใช้ในทางที่ผิดสำหรับวัตถุประสงค์เสพติด แต่เป็นยากดศูนย์ควบคุมการไอไม่ใช่ยากลุ่ม antihistamine
• ข้อ ค. (CPM เดี่ยวและผสม เฉพาะยาน้ำ): ยาน้ำ CPM สูตรเดี่ยวและสูตรผสมเป็นรายการยาแก้แพ้ที่ต้องจัดทำบัญชีรายงานการขายตามประกาศ อย. เพื่อเฝ้าระวังการนำไปผสมสารเสพติดสี่คูณร้อย
• ข้อ ง. (Cetirizine เดี่ยวและผสม เฉพาะยาน้ำ): Cetirizine ชนิดยาน้ำไม่ได้ถูกจัดเป็นรายการ antihistamine ที่เสี่ยงต่อการนำไปใช้ในทางที่ผิดเหมือน first-generation antihistamines กลุ่มที่มีฤทธิ์ sedating เด่น
• ข้อ จ. (Diphenhydramine เดี่ยวและผสม เฉพาะยาน้ำ): Diphenhydramine ชนิดยาน้ำเป็น first-generation antihistamine ที่มีการนำไปใช้เป็นส่วนผสมในสารเสพติดสี่คูณร้อยและถูกเฝ้าระวังเข้มงวดตามประกาศกระทรวงสาธารณสุข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35" t="n"/>
      <c r="L59" s="34" t="inlineStr">
        <is>
          <t>Allergic rhinitis</t>
        </is>
      </c>
      <c r="M59" s="35" t="inlineStr">
        <is>
          <t>Clinic</t>
        </is>
      </c>
      <c r="N59" s="34" t="inlineStr">
        <is>
          <t>PLE_CC1_2565_Day1_Key ข้อ 3</t>
        </is>
      </c>
      <c r="O59" s="35" t="inlineStr">
        <is>
          <t>ข้อสอบจริง</t>
        </is>
      </c>
      <c r="P59" s="35" t="inlineStr">
        <is>
          <t>ปี 2565</t>
        </is>
      </c>
      <c r="Q59" s="2" t="n"/>
    </row>
    <row r="60" ht="13.2" customHeight="1" s="49">
      <c r="A60" s="33" t="n">
        <v>58</v>
      </c>
      <c r="B60" s="34"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35" t="n"/>
      <c r="D60" s="34" t="inlineStr">
        <is>
          <t>Dexamethasone 4 mg IV</t>
        </is>
      </c>
      <c r="E60" s="34" t="inlineStr">
        <is>
          <t>Prednisolone 20 mg OD</t>
        </is>
      </c>
      <c r="F60" s="34" t="inlineStr">
        <is>
          <t>Montelukast 10 mg HS</t>
        </is>
      </c>
      <c r="G60" s="34" t="inlineStr">
        <is>
          <t>Hydroxyzine 25 mg HS</t>
        </is>
      </c>
      <c r="H60" s="34" t="inlineStr">
        <is>
          <t>A และ C C เ"น Pyridine ring ไAใC imidazole แD EดGา;าจะเ"น8แห;ง4บ HางIงจากKป7 (เส=ม) ?ห@บ H2 receptor (Slide medchem)</t>
        </is>
      </c>
      <c r="I60" s="33" t="inlineStr">
        <is>
          <t>2</t>
        </is>
      </c>
      <c r="J60" s="34" t="inlineStr">
        <is>
          <t>✅ คำตอบที่ถูกต้อง: ข้อ ข. Prednisolone 20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(Dexamethasone 4 mg IV): Dexamethasone เป็น fluorinated glucocorticoid ที่มีโครงสร้าง cyclopentanoperhydrophenanthrene ring ไม่เกี่ยวข้องกับ receptor selectivity ของสารกลุ่ม antihistamine
• ข้อ ค. (Montelukast 10 mg HS): Montelukast เป็น quinoline derivative ที่มี hydrophilic carboxylic side chain ออกฤทธิ์จำเพาะต่อ CysLT1 receptor
• ข้อ ง. (Hydroxyzine 25 mg HS): Hydroxyzine มีโครงสร้าง diphenylmethylpiperazine ที่สามารถข้าม blood-brain barrier ได้ดี ทำให้ขาด peripheral selectivity และก่อให้เกิด sedation สูง
• ข้อ จ. (A และ C C เ"น Pyridine ring ไAใC imidazole แD EดGา;าจะเ"น8แห;ง4บ HางIงจากKป7 (เส=ม) ?ห@บ H2 receptor (Slide medchem)): ทางเลือกนี้ระบุโครงสร้างที่ไม่เกี่ยวข้องกับการจับ H1-receptor อย่างจำเพาะของ loratadine ซึ่งอาศัย tertiary amine chain และ pyridine ring ร่วมกับ piperidine nitrogen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35" t="n"/>
      <c r="L60" s="34" t="inlineStr">
        <is>
          <t>Allergic rhinitis</t>
        </is>
      </c>
      <c r="M60" s="35" t="inlineStr">
        <is>
          <t>Clinic</t>
        </is>
      </c>
      <c r="N60" s="34" t="inlineStr">
        <is>
          <t>PLE_CC1_2565_Day1_Key ข้อ 88</t>
        </is>
      </c>
      <c r="O60" s="35" t="inlineStr">
        <is>
          <t>ข้อสอบจริง</t>
        </is>
      </c>
      <c r="P60" s="35" t="inlineStr">
        <is>
          <t>ปี 2565</t>
        </is>
      </c>
      <c r="Q60" s="2" t="n"/>
    </row>
    <row r="61" ht="13.2" customHeight="1" s="49">
      <c r="A61" s="33" t="n">
        <v>59</v>
      </c>
      <c r="B61" s="34" t="inlineStr">
        <is>
          <t>Allergic rhinitis</t>
        </is>
      </c>
      <c r="C61" s="35" t="n"/>
      <c r="D61" s="34" t="inlineStr">
        <is>
          <t>Allergic rhinitis</t>
        </is>
      </c>
      <c r="E61" s="34" t="inlineStr">
        <is>
          <t>Hydroxyzine 25 mg HS</t>
        </is>
      </c>
      <c r="F61" s="34" t="inlineStr">
        <is>
          <t>Diphenhydramine 25 mg IV</t>
        </is>
      </c>
      <c r="G61" s="34" t="inlineStr">
        <is>
          <t>Cetirizine 10 mg OD</t>
        </is>
      </c>
      <c r="H61" s="34" t="inlineStr">
        <is>
          <t>Loratadine 10 mg OD</t>
        </is>
      </c>
      <c r="I61" s="33" t="inlineStr">
        <is>
          <t>1</t>
        </is>
      </c>
      <c r="J61"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มีผลกดระบบประสาทส่วนกลางและรบกวน sleep architecture ผ่านการยับยั้ง central H1 และ muscarinic receptors จึงไม่เหมาะในการรักษา allergic rhinitis เรื้อรัง
• ข้อ ค. (Diphenhydramine 25 mg IV): Diphenhydramine 25 mg IV มีข้อบ่งใช้ในการจัดการ acute hypersensitivity reactions หรือ dystonic reaction จากยารักษาโรคจิต ไม่ใช่ยาควบคุมโรคจมูกอักเสบภูมิแพ้
• ข้อ ง. (Cetirizine 10 mg OD): Cetirizine 10 mg OD แม้จะบรรเทาอาการจาม คัน น้ำมูกไหลได้ดี แต่ไม่สามารถบรรเทาอาการคัดแน่นจมูกได้สมบูรณ์เท่ากลุ่ม intranasal corticosteroids
• ข้อ จ. (Loratadine 10 mg OD): Loratadine 10 mg OD มีความปลอดภัยสูง ไม่ทำให้ง่วง แต่มี onset of action ช้ากว่า cetirizine และ fexofenadine 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5" t="n"/>
      <c r="L61" s="34" t="inlineStr">
        <is>
          <t>Allergic rhinitis</t>
        </is>
      </c>
      <c r="M61" s="35" t="inlineStr">
        <is>
          <t>Clinic</t>
        </is>
      </c>
      <c r="N61" s="34" t="inlineStr">
        <is>
          <t>PLE_CC1_2565_Day1_Key ข้อ 10</t>
        </is>
      </c>
      <c r="O61" s="35" t="inlineStr">
        <is>
          <t>ข้อสอบจริง</t>
        </is>
      </c>
      <c r="P61" s="35" t="inlineStr">
        <is>
          <t>ปี 2565</t>
        </is>
      </c>
    </row>
    <row r="62" ht="13.2" customHeight="1" s="49">
      <c r="A62" s="33" t="n">
        <v>60</v>
      </c>
      <c r="B62" s="34" t="inlineStr">
        <is>
          <t>common cold คัดจมูก จะให้ใช้อะไรดี</t>
        </is>
      </c>
      <c r="C62" s="35" t="n"/>
      <c r="D62" s="34" t="inlineStr">
        <is>
          <t>Allergic rhinitis</t>
        </is>
      </c>
      <c r="E62" s="34" t="inlineStr">
        <is>
          <t>oxymetazoline / b) CPM tablet / c) loratadine tablet</t>
        </is>
      </c>
      <c r="F62" s="34" t="inlineStr">
        <is>
          <t>Fexofenadine 180 mg OD</t>
        </is>
      </c>
      <c r="G62" s="34" t="inlineStr">
        <is>
          <t>Chlorpheniramine 4 mg TID</t>
        </is>
      </c>
      <c r="H62" s="34" t="inlineStr">
        <is>
          <t>Fluticasone furoate nasal spray</t>
        </is>
      </c>
      <c r="I62" s="33" t="inlineStr">
        <is>
          <t>1</t>
        </is>
      </c>
      <c r="J62"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35" t="n"/>
      <c r="L62" s="34" t="inlineStr">
        <is>
          <t>Allergic rhinitis</t>
        </is>
      </c>
      <c r="M62" s="35" t="inlineStr">
        <is>
          <t>Clinic</t>
        </is>
      </c>
      <c r="N62" s="34" t="inlineStr">
        <is>
          <t>PLE_CC1_2564_All_Key ข้อ 10</t>
        </is>
      </c>
      <c r="O62" s="35" t="inlineStr">
        <is>
          <t>ข้อสอบจริง</t>
        </is>
      </c>
      <c r="P62" s="35" t="inlineStr">
        <is>
          <t>ปี 2564</t>
        </is>
      </c>
    </row>
    <row r="63" ht="13.2" customHeight="1" s="49">
      <c r="A63" s="33" t="n">
        <v>61</v>
      </c>
      <c r="B63" s="34" t="inlineStr">
        <is>
          <t>common cold จะแนะนำยังไงดี</t>
        </is>
      </c>
      <c r="C63" s="35" t="n"/>
      <c r="D63" s="34" t="inlineStr">
        <is>
          <t>Allergic rhinitis</t>
        </is>
      </c>
      <c r="E63" s="34" t="inlineStr">
        <is>
          <t>พักผ่อนให้เพียงพอ ร่วมกับการใช้ยาบรรเทาอาการ เช่น การใช้ยาลดไข้แก้ปวด</t>
        </is>
      </c>
      <c r="F63" s="34" t="inlineStr">
        <is>
          <t>Budesonide nasal spray</t>
        </is>
      </c>
      <c r="G63" s="34" t="inlineStr">
        <is>
          <t>Epinephrine 0.3 mg IM stat</t>
        </is>
      </c>
      <c r="H63" s="34" t="inlineStr">
        <is>
          <t>Dexamethasone 4 mg IV</t>
        </is>
      </c>
      <c r="I63" s="33" t="inlineStr">
        <is>
          <t>1</t>
        </is>
      </c>
      <c r="J63"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การพักผ่อน ดื่มน้ำอุ่น และการรักษาตามอาการด้วยยาแก้ปวดลดไข้หรือยาหดหลอดเลือดระยะสั้นเป็นแนวทางมาตรฐานที่ถูกต้องตามหลัก supportive care ของโรคหวัดธรรมดา
• ข้อ ค. (Budesonide nasal spray): Budesonide nasal spray ไม่มีข้อบ่งใช้ใน common cold เนื่องจากเป็นการติดเชื้อไวรัสเฉียบพลัน และ topical steroid อาจกดการตอบสนองของภูมิคุ้มกันเฉพาะที่ในเยื่อบุโพรงจมูก
• ข้อ ง. (Epinephrine 0.3 mg IM stat): Epinephrine 0.3 mg IM stat เป็นยาช่วยชีวิตสำหรับภาวะ anaphylaxis หรือ upper airway obstruction รุนแรง ไม่มีบทบาทในการรักษา common cold
• ข้อ จ. (Dexamethasone 4 mg IV): Dexamethasone 4 mg IV เป็น systemic corticosteroid ที่ไม่มีข้อบ่งใช้ในโรคหวัดทั่วไป และอาจเพิ่มความเสี่ยงต่อการติดเชื้อซ้ำซ้อนหรือภาวะ hyperglycemia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35" t="n"/>
      <c r="L63" s="34" t="inlineStr">
        <is>
          <t>Allergic rhinitis</t>
        </is>
      </c>
      <c r="M63" s="35" t="inlineStr">
        <is>
          <t>Clinic</t>
        </is>
      </c>
      <c r="N63" s="34" t="inlineStr">
        <is>
          <t>PLE_CC1_2564_All_Key ข้อ 11</t>
        </is>
      </c>
      <c r="O63" s="35" t="inlineStr">
        <is>
          <t>ข้อสอบจริง</t>
        </is>
      </c>
      <c r="P63" s="35" t="inlineStr">
        <is>
          <t>ปี 2564</t>
        </is>
      </c>
    </row>
    <row r="64" ht="13.2" customHeight="1" s="49">
      <c r="A64" s="33" t="n">
        <v>62</v>
      </c>
      <c r="B64" s="34" t="inlineStr">
        <is>
          <t>จากอาการดังกล.าวผู(ปcวยเป5น allergic rhinitis แบบใดและมีความ รุนแรงระดับใด</t>
        </is>
      </c>
      <c r="C64" s="35" t="n"/>
      <c r="D64" s="34" t="inlineStr">
        <is>
          <t>Persistent, mild</t>
        </is>
      </c>
      <c r="E64" s="34" t="inlineStr">
        <is>
          <t>Intermittent, mild</t>
        </is>
      </c>
      <c r="F64" s="34" t="inlineStr">
        <is>
          <t>Intermittent, very severe</t>
        </is>
      </c>
      <c r="G64" s="34" t="inlineStr">
        <is>
          <t>Persistent, moderate-severe</t>
        </is>
      </c>
      <c r="H64" s="34" t="inlineStr">
        <is>
          <t>Intermittent, moderate-severe</t>
        </is>
      </c>
      <c r="I64" s="33" t="inlineStr">
        <is>
          <t>1</t>
        </is>
      </c>
      <c r="J64" s="34" t="inlineStr">
        <is>
          <t>✅ คำตอบที่ถูกต้อง: ข้อ ก. Persistent, mild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35" t="n"/>
      <c r="L64" s="34" t="inlineStr">
        <is>
          <t>Allergic rhinitis</t>
        </is>
      </c>
      <c r="M64" s="35" t="inlineStr">
        <is>
          <t>Clinic</t>
        </is>
      </c>
      <c r="N64" s="34" t="inlineStr">
        <is>
          <t>ข้อ 70 (PLE_CC1_2561_Key.md)</t>
        </is>
      </c>
      <c r="O64" s="35" t="inlineStr">
        <is>
          <t>ข้อสอบจริง</t>
        </is>
      </c>
      <c r="P64" s="35" t="inlineStr">
        <is>
          <t>ปี 2561</t>
        </is>
      </c>
    </row>
    <row r="65" ht="13.2" customHeight="1" s="49">
      <c r="A65" s="33" t="n">
        <v>63</v>
      </c>
      <c r="B65" s="34" t="inlineStr">
        <is>
          <t>การใช(ยา pseudoephedrine nasal drop ติดต.อกันนานเกิน 10 วัน มีผลทำให(เกิดผลข(างเคียงใด</t>
        </is>
      </c>
      <c r="C65" s="35" t="n"/>
      <c r="D65" s="34" t="inlineStr">
        <is>
          <t>นอนไม.หลับ</t>
        </is>
      </c>
      <c r="E65" s="34" t="inlineStr">
        <is>
          <t>เกิดฝqาขาวที่ลิ้น</t>
        </is>
      </c>
      <c r="F65" s="34" t="inlineStr">
        <is>
          <t>เลือดกำเดาไหล</t>
        </is>
      </c>
      <c r="G65" s="34" t="inlineStr">
        <is>
          <t>คัดจมูกมาก หายใจไม.ออก</t>
        </is>
      </c>
      <c r="H65" s="34" t="inlineStr">
        <is>
          <t>เลือดออกในทางเดินอาหาร</t>
        </is>
      </c>
      <c r="I65" s="33" t="inlineStr">
        <is>
          <t>1</t>
        </is>
      </c>
      <c r="J65" s="34" t="inlineStr">
        <is>
          <t>✅ คำตอบที่ถูกต้อง: ข้อ ก. นอนไม.หลับ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Allergic rhinitis</t>
        </is>
      </c>
      <c r="M65" s="35" t="inlineStr">
        <is>
          <t>Clinic</t>
        </is>
      </c>
      <c r="N65" s="34" t="inlineStr">
        <is>
          <t>ข้อ 72 (PLE_CC1_2561_Key.md)</t>
        </is>
      </c>
      <c r="O65" s="35" t="inlineStr">
        <is>
          <t>ข้อสอบจริง</t>
        </is>
      </c>
      <c r="P65" s="35" t="inlineStr">
        <is>
          <t>ปี 2561</t>
        </is>
      </c>
    </row>
    <row r="66" ht="13.2" customHeight="1" s="49">
      <c r="A66" s="33" t="n">
        <v>64</v>
      </c>
      <c r="B66" s="34" t="inlineStr">
        <is>
          <t>Allergic rhinitis with Asthma</t>
        </is>
      </c>
      <c r="C66" s="35" t="n"/>
      <c r="D66" s="34" t="inlineStr">
        <is>
          <t>Cetirizine 10 mg OD</t>
        </is>
      </c>
      <c r="E66" s="34" t="inlineStr">
        <is>
          <t>Loratadine 10 mg OD</t>
        </is>
      </c>
      <c r="F66" s="34" t="inlineStr">
        <is>
          <t>Fexofenadine 180 mg OD</t>
        </is>
      </c>
      <c r="G66" s="34" t="inlineStr">
        <is>
          <t>Chlorpheniramine 4 mg TID</t>
        </is>
      </c>
      <c r="H66" s="34" t="inlineStr">
        <is>
          <t>Fluticasone furoate nasal spray</t>
        </is>
      </c>
      <c r="I66" s="33" t="inlineStr">
        <is>
          <t>1</t>
        </is>
      </c>
      <c r="J66" s="34"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35" t="n"/>
      <c r="L66" s="34" t="inlineStr">
        <is>
          <t>Allergic rhinitis</t>
        </is>
      </c>
      <c r="M66" s="35" t="inlineStr">
        <is>
          <t>Clinic</t>
        </is>
      </c>
      <c r="N66" s="34" t="inlineStr">
        <is>
          <t>ข้อ 1 (PLE_CC1_2560 22 April Set 1.md)</t>
        </is>
      </c>
      <c r="O66" s="35" t="inlineStr">
        <is>
          <t>ข้อสอบจริง</t>
        </is>
      </c>
      <c r="P66" s="35" t="inlineStr">
        <is>
          <t>ปี 2560</t>
        </is>
      </c>
    </row>
    <row r="67" ht="13.2" customHeight="1" s="49">
      <c r="A67" s="33" t="n">
        <v>65</v>
      </c>
      <c r="B67" s="34"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35" t="n"/>
      <c r="D67" s="34" t="inlineStr">
        <is>
          <t>Chlorpheniramine 4 mg TID</t>
        </is>
      </c>
      <c r="E67" s="34" t="inlineStr">
        <is>
          <t>Fluticasone furoate nasal spray</t>
        </is>
      </c>
      <c r="F67" s="34" t="inlineStr">
        <is>
          <t>Budesonide nasal spray</t>
        </is>
      </c>
      <c r="G67" s="34" t="inlineStr">
        <is>
          <t>Epinephrine 0.3 mg IM stat</t>
        </is>
      </c>
      <c r="H67" s="34" t="inlineStr">
        <is>
          <t>Dexamethasone 4 mg IV</t>
        </is>
      </c>
      <c r="I67" s="33" t="inlineStr">
        <is>
          <t>1</t>
        </is>
      </c>
      <c r="J67" s="34"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35" t="n"/>
      <c r="L67" s="34" t="inlineStr">
        <is>
          <t>Allergic rhinitis</t>
        </is>
      </c>
      <c r="M67" s="35" t="inlineStr">
        <is>
          <t>Clinic</t>
        </is>
      </c>
      <c r="N67" s="34" t="inlineStr">
        <is>
          <t>ข้อ 13 (PLE_CC1_2560 22 April Set 1.md)</t>
        </is>
      </c>
      <c r="O67" s="35" t="inlineStr">
        <is>
          <t>ข้อสอบจริง</t>
        </is>
      </c>
      <c r="P67" s="35" t="inlineStr">
        <is>
          <t>ปี 2560</t>
        </is>
      </c>
    </row>
    <row r="68" ht="13.2" customHeight="1" s="49">
      <c r="A68" s="33" t="n">
        <v>66</v>
      </c>
      <c r="B68" s="34" t="inlineStr">
        <is>
          <t>Fexofenadine 60 mg bid</t>
        </is>
      </c>
      <c r="C68" s="35" t="n"/>
      <c r="D68" s="34" t="inlineStr">
        <is>
          <t>Epinephrine 0.3 mg IM stat</t>
        </is>
      </c>
      <c r="E68" s="34" t="inlineStr">
        <is>
          <t>Dexamethasone 4 mg IV</t>
        </is>
      </c>
      <c r="F68" s="34" t="inlineStr">
        <is>
          <t>Prednisolone 20 mg OD</t>
        </is>
      </c>
      <c r="G68" s="34" t="inlineStr">
        <is>
          <t>Montelukast 10 mg HS</t>
        </is>
      </c>
      <c r="H68" s="34" t="inlineStr">
        <is>
          <t>Hydroxyzine 25 mg HS</t>
        </is>
      </c>
      <c r="I68" s="33" t="inlineStr">
        <is>
          <t>1</t>
        </is>
      </c>
      <c r="J68"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35" t="n"/>
      <c r="L68" s="34" t="inlineStr">
        <is>
          <t>Allergic rhinitis</t>
        </is>
      </c>
      <c r="M68" s="35" t="inlineStr">
        <is>
          <t>Clinic</t>
        </is>
      </c>
      <c r="N68" s="34" t="inlineStr">
        <is>
          <t>ข้อ 2 (PLE_CC1_2560 22 April Set 1.md)</t>
        </is>
      </c>
      <c r="O68" s="35" t="inlineStr">
        <is>
          <t>ข้อสอบจริง</t>
        </is>
      </c>
      <c r="P68" s="35" t="inlineStr">
        <is>
          <t>ปี 2560</t>
        </is>
      </c>
    </row>
    <row r="69" ht="13.2" customHeight="1" s="49">
      <c r="A69" s="33" t="n">
        <v>67</v>
      </c>
      <c r="B69" s="34" t="inlineStr">
        <is>
          <t>Oxymetazoline intranasal prn (at night 1-2 times/week)</t>
        </is>
      </c>
      <c r="C69" s="35" t="n"/>
      <c r="D69" s="34" t="inlineStr">
        <is>
          <t>Montelukast 10 mg HS</t>
        </is>
      </c>
      <c r="E69" s="34" t="inlineStr">
        <is>
          <t>Hydroxyzine 25 mg HS</t>
        </is>
      </c>
      <c r="F69" s="34" t="inlineStr">
        <is>
          <t>Diphenhydramine 25 mg IV</t>
        </is>
      </c>
      <c r="G69" s="34" t="inlineStr">
        <is>
          <t>Cetirizine 10 mg OD</t>
        </is>
      </c>
      <c r="H69" s="34" t="inlineStr">
        <is>
          <t>Loratadine 10 mg OD</t>
        </is>
      </c>
      <c r="I69" s="33" t="inlineStr">
        <is>
          <t>1</t>
        </is>
      </c>
      <c r="J69"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35" t="n"/>
      <c r="L69" s="34" t="inlineStr">
        <is>
          <t>Allergic rhinitis</t>
        </is>
      </c>
      <c r="M69" s="35" t="inlineStr">
        <is>
          <t>Clinic</t>
        </is>
      </c>
      <c r="N69" s="34" t="inlineStr">
        <is>
          <t>ข้อ 3 (PLE_CC1_2560 22 April Set 1.md)</t>
        </is>
      </c>
      <c r="O69" s="35" t="inlineStr">
        <is>
          <t>ข้อสอบจริง</t>
        </is>
      </c>
      <c r="P69" s="35" t="inlineStr">
        <is>
          <t>ปี 2560</t>
        </is>
      </c>
    </row>
    <row r="70" ht="13.2" customHeight="1" s="49">
      <c r="A70" s="33" t="n">
        <v>68</v>
      </c>
      <c r="B70" s="34" t="inlineStr">
        <is>
          <t>กลไกของการเกิด Allergic rhinitis เกี่ยวข้องกับ Antibody ตัวใด</t>
        </is>
      </c>
      <c r="C70" s="35" t="n"/>
      <c r="D70" s="34" t="inlineStr">
        <is>
          <t>IgA</t>
        </is>
      </c>
      <c r="E70" s="34" t="inlineStr">
        <is>
          <t>IgE</t>
        </is>
      </c>
      <c r="F70" s="34" t="inlineStr">
        <is>
          <t>IgD</t>
        </is>
      </c>
      <c r="G70" s="34" t="inlineStr">
        <is>
          <t>IgM</t>
        </is>
      </c>
      <c r="H70" s="34" t="inlineStr">
        <is>
          <t>IgG</t>
        </is>
      </c>
      <c r="I70" s="33" t="inlineStr">
        <is>
          <t>1</t>
        </is>
      </c>
      <c r="J70" s="34" t="inlineStr">
        <is>
          <t>✅ คำตอบที่ถูกต้อง: ข้อ ก. IgA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35" t="n"/>
      <c r="L70" s="34" t="inlineStr">
        <is>
          <t>Allergic rhinitis</t>
        </is>
      </c>
      <c r="M70" s="35" t="inlineStr">
        <is>
          <t>Clinic</t>
        </is>
      </c>
      <c r="N70" s="34" t="inlineStr">
        <is>
          <t>ข้อ 1 (PLE_CC1_2560 22 April Set 1.md)</t>
        </is>
      </c>
      <c r="O70" s="35" t="inlineStr">
        <is>
          <t>ข้อสอบจริง</t>
        </is>
      </c>
      <c r="P70" s="35" t="inlineStr">
        <is>
          <t>ปี 2560</t>
        </is>
      </c>
    </row>
    <row r="71" ht="13.2" customHeight="1" s="49">
      <c r="A71" s="33" t="n">
        <v>69</v>
      </c>
      <c r="B71" s="34" t="inlineStr">
        <is>
          <t>Allergic rhinitis จัดเป็นแบบใด</t>
        </is>
      </c>
      <c r="C71" s="35" t="n"/>
      <c r="D71" s="34" t="inlineStr">
        <is>
          <t>Mild intermittent</t>
        </is>
      </c>
      <c r="E71" s="34" t="inlineStr">
        <is>
          <t>Mild persistent</t>
        </is>
      </c>
      <c r="F71" s="34" t="inlineStr">
        <is>
          <t>Mild-moderate intermittent</t>
        </is>
      </c>
      <c r="G71" s="34" t="inlineStr">
        <is>
          <t>Moderate persistent</t>
        </is>
      </c>
      <c r="H71" s="34" t="inlineStr">
        <is>
          <t>Moderate-severe intermittent</t>
        </is>
      </c>
      <c r="I71" s="33" t="inlineStr">
        <is>
          <t>1</t>
        </is>
      </c>
      <c r="J71" s="34"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35" t="n"/>
      <c r="L71" s="34" t="inlineStr">
        <is>
          <t>Allergic rhinitis</t>
        </is>
      </c>
      <c r="M71" s="35" t="inlineStr">
        <is>
          <t>Clinic</t>
        </is>
      </c>
      <c r="N71" s="34" t="inlineStr">
        <is>
          <t>ข้อ 2 (PLE_CC1_2560 22 April Set 1.md)</t>
        </is>
      </c>
      <c r="O71" s="35" t="inlineStr">
        <is>
          <t>ข้อสอบจริง</t>
        </is>
      </c>
      <c r="P71" s="35" t="inlineStr">
        <is>
          <t>ปี 2560</t>
        </is>
      </c>
    </row>
    <row r="72" ht="13.2" customHeight="1" s="49">
      <c r="A72" s="33" t="n">
        <v>70</v>
      </c>
      <c r="B72" s="34" t="inlineStr">
        <is>
          <t>Oxymetazoline ออกฤทธิ์เหมือนกับยาใด</t>
        </is>
      </c>
      <c r="C72" s="35" t="n"/>
      <c r="D72" s="34" t="inlineStr">
        <is>
          <t>Phenylephrine</t>
        </is>
      </c>
      <c r="E72" s="34" t="inlineStr">
        <is>
          <t>Loratadine</t>
        </is>
      </c>
      <c r="F72" s="34" t="inlineStr">
        <is>
          <t>Ipratopium</t>
        </is>
      </c>
      <c r="G72" s="34" t="inlineStr">
        <is>
          <t>Cromolyn</t>
        </is>
      </c>
      <c r="H72" s="34" t="inlineStr">
        <is>
          <t>Theophylline</t>
        </is>
      </c>
      <c r="I72" s="33" t="inlineStr">
        <is>
          <t>1</t>
        </is>
      </c>
      <c r="J72" s="34" t="inlineStr">
        <is>
          <t>✅ คำตอบที่ถูกต้อง: ข้อ ก. Phenylephrine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35" t="n"/>
      <c r="L72" s="34" t="inlineStr">
        <is>
          <t>Allergic rhinitis</t>
        </is>
      </c>
      <c r="M72" s="35" t="inlineStr">
        <is>
          <t>Clinic</t>
        </is>
      </c>
      <c r="N72" s="34" t="inlineStr">
        <is>
          <t>ข้อ 3 (PLE_CC1_2560 22 April Set 1.md)</t>
        </is>
      </c>
      <c r="O72" s="35" t="inlineStr">
        <is>
          <t>ข้อสอบจริง</t>
        </is>
      </c>
      <c r="P72" s="35" t="inlineStr">
        <is>
          <t>ปี 2560</t>
        </is>
      </c>
    </row>
    <row r="73" ht="13.2" customHeight="1" s="49">
      <c r="A73" s="33" t="n">
        <v>71</v>
      </c>
      <c r="B73" s="34" t="inlineStr">
        <is>
          <t>ยาใดสามารถรักษาได้ทั ง Allergic rhinitis และ Asthma</t>
        </is>
      </c>
      <c r="C73" s="35" t="n"/>
      <c r="D73" s="34" t="inlineStr">
        <is>
          <t>Budesonide</t>
        </is>
      </c>
      <c r="E73" s="34" t="inlineStr">
        <is>
          <t>Montelukast</t>
        </is>
      </c>
      <c r="F73" s="34" t="inlineStr">
        <is>
          <t>Ipratopium</t>
        </is>
      </c>
      <c r="G73" s="34" t="inlineStr">
        <is>
          <t>Loratadine</t>
        </is>
      </c>
      <c r="H73" s="34" t="inlineStr">
        <is>
          <t>Leukotriene</t>
        </is>
      </c>
      <c r="I73" s="33" t="inlineStr">
        <is>
          <t>1</t>
        </is>
      </c>
      <c r="J73" s="34"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35" t="n"/>
      <c r="L73" s="34" t="inlineStr">
        <is>
          <t>Allergic rhinitis</t>
        </is>
      </c>
      <c r="M73" s="35" t="inlineStr">
        <is>
          <t>Clinic</t>
        </is>
      </c>
      <c r="N73" s="34" t="inlineStr">
        <is>
          <t>ข้อ 5 (PLE_CC1_2560 22 April Set 1.md)</t>
        </is>
      </c>
      <c r="O73" s="35" t="inlineStr">
        <is>
          <t>ข้อสอบจริง</t>
        </is>
      </c>
      <c r="P73" s="35" t="inlineStr">
        <is>
          <t>ปี 2560</t>
        </is>
      </c>
    </row>
    <row r="74" ht="13.2" customHeight="1" s="49">
      <c r="A74" s="33" t="n">
        <v>72</v>
      </c>
      <c r="B74" s="34"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35" t="n"/>
      <c r="D74" s="34" t="inlineStr">
        <is>
          <t>Fluticasone MDI</t>
        </is>
      </c>
      <c r="E74" s="34" t="inlineStr">
        <is>
          <t>Salbutamol MDI</t>
        </is>
      </c>
      <c r="F74" s="34" t="inlineStr">
        <is>
          <t>Fluticasone + Salmeterol DPI</t>
        </is>
      </c>
      <c r="G74" s="34" t="inlineStr">
        <is>
          <t>Ipratropium + Fenoterol DPI</t>
        </is>
      </c>
      <c r="H74" s="34" t="inlineStr">
        <is>
          <t>Fluticasone + Formoterol DPI</t>
        </is>
      </c>
      <c r="I74" s="33" t="inlineStr">
        <is>
          <t>1</t>
        </is>
      </c>
      <c r="J74" s="34"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35" t="n"/>
      <c r="L74" s="34" t="inlineStr">
        <is>
          <t>Allergic rhinitis</t>
        </is>
      </c>
      <c r="M74" s="35" t="inlineStr">
        <is>
          <t>Clinic</t>
        </is>
      </c>
      <c r="N74" s="34" t="inlineStr">
        <is>
          <t>ข้อ 62 (Pharmtutor_2024_Set2.md)</t>
        </is>
      </c>
      <c r="O74" s="35" t="inlineStr">
        <is>
          <t>Mock</t>
        </is>
      </c>
      <c r="P74" s="35" t="inlineStr">
        <is>
          <t>Mock Pharmtutor 2024</t>
        </is>
      </c>
    </row>
    <row r="75" ht="13.2" customHeight="1" s="49">
      <c r="A75" s="33" t="n">
        <v>73</v>
      </c>
      <c r="B75" s="34"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35" t="n"/>
      <c r="D75" s="34" t="inlineStr">
        <is>
          <t>การก่อสร้าง</t>
        </is>
      </c>
      <c r="E75" s="34" t="inlineStr">
        <is>
          <t>ประวัติทางพันธุกรรม</t>
        </is>
      </c>
      <c r="F75" s="34" t="inlineStr">
        <is>
          <t>ขนแมว</t>
        </is>
      </c>
      <c r="G75" s="34" t="inlineStr">
        <is>
          <t>สภาพอากาศ</t>
        </is>
      </c>
      <c r="H75" s="34" t="inlineStr">
        <is>
          <t>ปัจจัยภายใน เช่น โรคประจำตัว</t>
        </is>
      </c>
      <c r="I75" s="33" t="inlineStr">
        <is>
          <t>1</t>
        </is>
      </c>
      <c r="J75" s="34" t="inlineStr">
        <is>
          <t>✅ คำตอบที่ถูกต้อง: ข้อ ก. การก่อสร้าง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35" t="n"/>
      <c r="L75" s="34" t="inlineStr">
        <is>
          <t>Allergic rhinitis</t>
        </is>
      </c>
      <c r="M75" s="35" t="inlineStr">
        <is>
          <t>Clinic</t>
        </is>
      </c>
      <c r="N75" s="34" t="inlineStr">
        <is>
          <t>ข้อ 76 (Pharmtutor_2024_Set2.md)</t>
        </is>
      </c>
      <c r="O75" s="35" t="inlineStr">
        <is>
          <t>Mock</t>
        </is>
      </c>
      <c r="P75" s="35" t="inlineStr">
        <is>
          <t>Mock Pharmtutor 2024</t>
        </is>
      </c>
    </row>
    <row r="76" ht="13.2" customHeight="1" s="49">
      <c r="A76" s="33" t="n">
        <v>74</v>
      </c>
      <c r="B76" s="34" t="inlineStr">
        <is>
          <t>ยาในข้อใดไม่เหมาะสมสำหรับผู้ป่วยรายนี%มากที_x001E_สุด (1) Loratadine (2) Amoxicillin (3) Ibuprofen (4) Phenylephrine (5) Chlorpheniramine maleate</t>
        </is>
      </c>
      <c r="C76" s="35" t="n"/>
      <c r="D76" s="34" t="inlineStr">
        <is>
          <t>Epinephrine 0.3 mg IM stat</t>
        </is>
      </c>
      <c r="E76" s="34" t="inlineStr">
        <is>
          <t>Dexamethasone 4 mg IV</t>
        </is>
      </c>
      <c r="F76" s="34" t="inlineStr">
        <is>
          <t>Prednisolone 20 mg OD</t>
        </is>
      </c>
      <c r="G76" s="34" t="inlineStr">
        <is>
          <t>Montelukast 10 mg HS</t>
        </is>
      </c>
      <c r="H76" s="34" t="inlineStr">
        <is>
          <t>Hydroxyzine 25 mg HS</t>
        </is>
      </c>
      <c r="I76" s="33" t="inlineStr">
        <is>
          <t>1</t>
        </is>
      </c>
      <c r="J76"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35" t="n"/>
      <c r="L76" s="34" t="inlineStr">
        <is>
          <t>Allergic rhinitis</t>
        </is>
      </c>
      <c r="M76" s="35" t="inlineStr">
        <is>
          <t>Clinic</t>
        </is>
      </c>
      <c r="N76" s="34" t="inlineStr">
        <is>
          <t>ข้อ 1 (PLE_CC1_2557.md)</t>
        </is>
      </c>
      <c r="O76" s="35" t="inlineStr">
        <is>
          <t>ข้อสอบจริง</t>
        </is>
      </c>
      <c r="P76" s="35" t="inlineStr">
        <is>
          <t>ปี 2557</t>
        </is>
      </c>
    </row>
    <row r="77" ht="13.2" customHeight="1" s="49">
      <c r="A77" s="33" t="n">
        <v>75</v>
      </c>
      <c r="B77" s="34"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35" t="n"/>
      <c r="D77" s="34" t="inlineStr">
        <is>
          <t>Montelukast 10 mg HS</t>
        </is>
      </c>
      <c r="E77" s="34" t="inlineStr">
        <is>
          <t>Hydroxyzine 25 mg HS</t>
        </is>
      </c>
      <c r="F77" s="34" t="inlineStr">
        <is>
          <t>Diphenhydramine 25 mg IV</t>
        </is>
      </c>
      <c r="G77" s="34" t="inlineStr">
        <is>
          <t>Cetirizine 10 mg OD</t>
        </is>
      </c>
      <c r="H77" s="34" t="inlineStr">
        <is>
          <t>Loratadine 10 mg OD</t>
        </is>
      </c>
      <c r="I77" s="33" t="inlineStr">
        <is>
          <t>1</t>
        </is>
      </c>
      <c r="J77" s="34"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35" t="n"/>
      <c r="L77" s="34" t="inlineStr">
        <is>
          <t>Allergic rhinitis</t>
        </is>
      </c>
      <c r="M77" s="35" t="inlineStr">
        <is>
          <t>Clinic</t>
        </is>
      </c>
      <c r="N77" s="34" t="inlineStr">
        <is>
          <t>ข้อ 16 (PLE_CC1_2557.md)</t>
        </is>
      </c>
      <c r="O77" s="35" t="inlineStr">
        <is>
          <t>ข้อสอบจริง</t>
        </is>
      </c>
      <c r="P77" s="35" t="inlineStr">
        <is>
          <t>ปี 2557</t>
        </is>
      </c>
    </row>
    <row r="78" ht="13.2" customHeight="1" s="49">
      <c r="A78" s="33" t="n">
        <v>76</v>
      </c>
      <c r="B78" s="34"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35" t="n"/>
      <c r="D78" s="34" t="inlineStr">
        <is>
          <t>0.60 ml</t>
        </is>
      </c>
      <c r="E78" s="34" t="inlineStr">
        <is>
          <t>0.67 ml</t>
        </is>
      </c>
      <c r="F78" s="34" t="inlineStr">
        <is>
          <t>0.80 ml</t>
        </is>
      </c>
      <c r="G78" s="34" t="inlineStr">
        <is>
          <t>0.87 ml</t>
        </is>
      </c>
      <c r="H78" s="34" t="inlineStr">
        <is>
          <t>0.90 ml คณะเภสัชศาสตร์</t>
        </is>
      </c>
      <c r="I78" s="33" t="inlineStr">
        <is>
          <t>1</t>
        </is>
      </c>
      <c r="J78" s="34" t="inlineStr">
        <is>
          <t>✅ คำตอบที่ถูกต้อง: ข้อ ก. 0.60 ml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t>
        </is>
      </c>
      <c r="K78" s="35" t="n"/>
      <c r="L78" s="34" t="inlineStr">
        <is>
          <t>Allergic rhinitis</t>
        </is>
      </c>
      <c r="M78" s="35" t="inlineStr">
        <is>
          <t>Clinic</t>
        </is>
      </c>
      <c r="N78" s="34" t="inlineStr">
        <is>
          <t>ข้อ 49 (PLE_CC1_2555 Day 1.md)</t>
        </is>
      </c>
      <c r="O78" s="35" t="inlineStr">
        <is>
          <t>ข้อสอบจริง</t>
        </is>
      </c>
      <c r="P78" s="35" t="inlineStr">
        <is>
          <t>ปี 2555</t>
        </is>
      </c>
    </row>
    <row r="79" ht="13.2" customHeight="1" s="49">
      <c r="A79" s="33" t="n">
        <v>77</v>
      </c>
      <c r="B79" s="34" t="inlineStr">
        <is>
          <t>Antihistamine ตัวไหนทำให้เกิดอาการง่วงที่สุด</t>
        </is>
      </c>
      <c r="C79" s="35" t="n"/>
      <c r="D79" s="34" t="inlineStr">
        <is>
          <t>Hydroxyzine</t>
        </is>
      </c>
      <c r="E79" s="34" t="inlineStr">
        <is>
          <t>Chlorphenhydramine</t>
        </is>
      </c>
      <c r="F79" s="34" t="inlineStr">
        <is>
          <t>Brompheniramine</t>
        </is>
      </c>
      <c r="G79" s="34" t="inlineStr">
        <is>
          <t>Triprolidine</t>
        </is>
      </c>
      <c r="H79" s="34" t="inlineStr">
        <is>
          <t>Cyproheptadine</t>
        </is>
      </c>
      <c r="I79" s="33" t="inlineStr">
        <is>
          <t>1</t>
        </is>
      </c>
      <c r="J79" s="34" t="inlineStr">
        <is>
          <t>✅ คำตอบที่ถูกต้อง: ข้อ ก. Hydroxyzine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35" t="n"/>
      <c r="L79" s="34" t="inlineStr">
        <is>
          <t>Allergic rhinitis</t>
        </is>
      </c>
      <c r="M79" s="35" t="inlineStr">
        <is>
          <t>Clinic</t>
        </is>
      </c>
      <c r="N79" s="34" t="inlineStr">
        <is>
          <t>ข้อ 67 (PLE_CC1_2555 Day 1.md)</t>
        </is>
      </c>
      <c r="O79" s="35" t="inlineStr">
        <is>
          <t>ข้อสอบจริง</t>
        </is>
      </c>
      <c r="P79" s="35" t="inlineStr">
        <is>
          <t>ปี 2555</t>
        </is>
      </c>
    </row>
    <row r="80" ht="13.2" customHeight="1" s="49">
      <c r="A80" s="33" t="n">
        <v>78</v>
      </c>
      <c r="B80" s="34"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35" t="n"/>
      <c r="D80" s="34" t="inlineStr">
        <is>
          <t>Epinephrine 0.3 mg IM stat</t>
        </is>
      </c>
      <c r="E80" s="34" t="inlineStr">
        <is>
          <t>Dexamethasone 4 mg IV</t>
        </is>
      </c>
      <c r="F80" s="34" t="inlineStr">
        <is>
          <t>Prednisolone 20 mg OD</t>
        </is>
      </c>
      <c r="G80" s="34" t="inlineStr">
        <is>
          <t>Montelukast 10 mg HS</t>
        </is>
      </c>
      <c r="H80" s="34" t="inlineStr">
        <is>
          <t>Hydroxyzine 25 mg HS</t>
        </is>
      </c>
      <c r="I80" s="33" t="inlineStr">
        <is>
          <t>1</t>
        </is>
      </c>
      <c r="J80" s="34"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35" t="n"/>
      <c r="L80" s="34" t="inlineStr">
        <is>
          <t>Allergic rhinitis</t>
        </is>
      </c>
      <c r="M80" s="35" t="inlineStr">
        <is>
          <t>Clinic</t>
        </is>
      </c>
      <c r="N80" s="34" t="inlineStr">
        <is>
          <t>ข้อ 5 (PLE_CC1_2555 Day 2.md)</t>
        </is>
      </c>
      <c r="O80" s="35" t="inlineStr">
        <is>
          <t>ข้อสอบจริง</t>
        </is>
      </c>
      <c r="P80" s="35" t="inlineStr">
        <is>
          <t>ปี 2555</t>
        </is>
      </c>
    </row>
    <row r="81" ht="13.2" customHeight="1" s="49">
      <c r="A81" s="33" t="n">
        <v>79</v>
      </c>
      <c r="B81" s="34" t="inlineStr">
        <is>
          <t>Pseudoephedrine</t>
        </is>
      </c>
      <c r="C81" s="35" t="n"/>
      <c r="D81" s="34" t="inlineStr">
        <is>
          <t>Montelukast 10 mg HS</t>
        </is>
      </c>
      <c r="E81" s="34" t="inlineStr">
        <is>
          <t>Hydroxyzine 25 mg HS</t>
        </is>
      </c>
      <c r="F81" s="34" t="inlineStr">
        <is>
          <t>Diphenhydramine 25 mg IV</t>
        </is>
      </c>
      <c r="G81" s="34" t="inlineStr">
        <is>
          <t>Cetirizine 10 mg OD</t>
        </is>
      </c>
      <c r="H81" s="34" t="inlineStr">
        <is>
          <t>Loratadine 10 mg OD</t>
        </is>
      </c>
      <c r="I81" s="33" t="inlineStr">
        <is>
          <t>1</t>
        </is>
      </c>
      <c r="J81"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Allergic rhinitis</t>
        </is>
      </c>
      <c r="M81" s="35" t="inlineStr">
        <is>
          <t>Clinic</t>
        </is>
      </c>
      <c r="N81" s="34" t="inlineStr">
        <is>
          <t>ข้อ 1 (PLE_CC1_2555 Day 2.md)</t>
        </is>
      </c>
      <c r="O81" s="35" t="inlineStr">
        <is>
          <t>ข้อสอบจริง</t>
        </is>
      </c>
      <c r="P81" s="35" t="inlineStr">
        <is>
          <t>ปี 2555</t>
        </is>
      </c>
    </row>
    <row r="82" ht="13.2" customHeight="1" s="49">
      <c r="A82" s="33" t="n">
        <v>80</v>
      </c>
      <c r="B82" s="34" t="inlineStr">
        <is>
          <t>ชื่อผู้ผลิต และ จังหวัดที่ผลิต</t>
        </is>
      </c>
      <c r="C82" s="35" t="n"/>
      <c r="D82" s="34" t="inlineStr">
        <is>
          <t>Cetirizine 10 mg OD</t>
        </is>
      </c>
      <c r="E82" s="34" t="inlineStr">
        <is>
          <t>Loratadine 10 mg OD</t>
        </is>
      </c>
      <c r="F82" s="34" t="inlineStr">
        <is>
          <t>Fexofenadine 180 mg OD</t>
        </is>
      </c>
      <c r="G82" s="34" t="inlineStr">
        <is>
          <t>Chlorpheniramine 4 mg TID</t>
        </is>
      </c>
      <c r="H82" s="34" t="inlineStr">
        <is>
          <t>Fluticasone furoate nasal spray</t>
        </is>
      </c>
      <c r="I82" s="33" t="inlineStr">
        <is>
          <t>1</t>
        </is>
      </c>
      <c r="J82"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35" t="n"/>
      <c r="L82" s="34" t="inlineStr">
        <is>
          <t>Allergic rhinitis</t>
        </is>
      </c>
      <c r="M82" s="35" t="inlineStr">
        <is>
          <t>Clinic</t>
        </is>
      </c>
      <c r="N82" s="34" t="inlineStr">
        <is>
          <t>ข้อ 1 (PLE_CC1_2555 Day 2.md)</t>
        </is>
      </c>
      <c r="O82" s="35" t="inlineStr">
        <is>
          <t>ข้อสอบจริง</t>
        </is>
      </c>
      <c r="P82" s="35" t="inlineStr">
        <is>
          <t>ปี 2555</t>
        </is>
      </c>
    </row>
    <row r="83" ht="13.2" customHeight="1" s="49">
      <c r="A83" s="33" t="n">
        <v>81</v>
      </c>
      <c r="B83" s="34" t="inlineStr">
        <is>
          <t>ต่อมลูกหมากโต 8.ยา Antihistamine ตัวใดที่ทำให้ง่วงมากที่สุด</t>
        </is>
      </c>
      <c r="C83" s="35" t="n"/>
      <c r="D83" s="34" t="inlineStr">
        <is>
          <t>Chlorpheniramine 4 mg TID</t>
        </is>
      </c>
      <c r="E83" s="34" t="inlineStr">
        <is>
          <t>Fluticasone furoate nasal spray</t>
        </is>
      </c>
      <c r="F83" s="34" t="inlineStr">
        <is>
          <t>Budesonide nasal spray</t>
        </is>
      </c>
      <c r="G83" s="34" t="inlineStr">
        <is>
          <t>Epinephrine 0.3 mg IM stat</t>
        </is>
      </c>
      <c r="H83" s="34" t="inlineStr">
        <is>
          <t>Dexamethasone 4 mg IV</t>
        </is>
      </c>
      <c r="I83" s="33" t="inlineStr">
        <is>
          <t>1</t>
        </is>
      </c>
      <c r="J83"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35" t="n"/>
      <c r="L83" s="34" t="inlineStr">
        <is>
          <t>Allergic rhinitis</t>
        </is>
      </c>
      <c r="M83" s="35" t="inlineStr">
        <is>
          <t>Clinic</t>
        </is>
      </c>
      <c r="N83" s="34" t="inlineStr">
        <is>
          <t>ข้อ 3 (PLE_CC1_2555 Day 2.md)</t>
        </is>
      </c>
      <c r="O83" s="35" t="inlineStr">
        <is>
          <t>ข้อสอบจริง</t>
        </is>
      </c>
      <c r="P83" s="35" t="inlineStr">
        <is>
          <t>ปี 2555</t>
        </is>
      </c>
    </row>
    <row r="84" ht="13.2" customHeight="1" s="49">
      <c r="A84" s="33" t="n">
        <v>82</v>
      </c>
      <c r="B84" s="34" t="inlineStr">
        <is>
          <t>ผู้ป่วยมีอาการเลือดออกตามไรฟัน เลือดกำเดาไหล เป็นหวัดง่าย สามารถช่วยได้โดยอาศัย</t>
        </is>
      </c>
      <c r="C84" s="35" t="n"/>
      <c r="D84" s="34" t="inlineStr">
        <is>
          <t>Vitamin C</t>
        </is>
      </c>
      <c r="E84" s="34" t="inlineStr">
        <is>
          <t>Vitamin E</t>
        </is>
      </c>
      <c r="F84" s="34" t="inlineStr">
        <is>
          <t>Vitamin K</t>
        </is>
      </c>
      <c r="G84" s="34" t="inlineStr">
        <is>
          <t>Folic acid</t>
        </is>
      </c>
      <c r="H84" s="34" t="inlineStr">
        <is>
          <t>Ferrus sulfate ตอบ a</t>
        </is>
      </c>
      <c r="I84" s="33" t="inlineStr">
        <is>
          <t>1</t>
        </is>
      </c>
      <c r="J84" s="34" t="inlineStr">
        <is>
          <t>✅ คำตอบที่ถูกต้อง: ข้อ ก. Vitamin C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35" t="n"/>
      <c r="L84" s="34" t="inlineStr">
        <is>
          <t>Allergic rhinitis</t>
        </is>
      </c>
      <c r="M84" s="35" t="inlineStr">
        <is>
          <t>Clinic</t>
        </is>
      </c>
      <c r="N84" s="34" t="inlineStr">
        <is>
          <t>ข้อ 4 (PLE_CC1_2533.md)</t>
        </is>
      </c>
      <c r="O84" s="35" t="inlineStr">
        <is>
          <t>ข้อสอบจริง</t>
        </is>
      </c>
      <c r="P84" s="35" t="inlineStr">
        <is>
          <t>ปี 2533</t>
        </is>
      </c>
    </row>
    <row r="85" ht="13.2" customHeight="1" s="49">
      <c r="A85" s="33" t="n">
        <v>83</v>
      </c>
      <c r="B85" s="34"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35" t="n"/>
      <c r="D85" s="34" t="inlineStr">
        <is>
          <t>Montelukast 10 mg HS</t>
        </is>
      </c>
      <c r="E85" s="34" t="inlineStr">
        <is>
          <t>Hydroxyzine 25 mg HS</t>
        </is>
      </c>
      <c r="F85" s="34" t="inlineStr">
        <is>
          <t>Diphenhydramine 25 mg IV</t>
        </is>
      </c>
      <c r="G85" s="34" t="inlineStr">
        <is>
          <t>Cetirizine 10 mg OD</t>
        </is>
      </c>
      <c r="H85" s="34" t="inlineStr">
        <is>
          <t>Loratadine 10 mg OD</t>
        </is>
      </c>
      <c r="I85" s="33" t="inlineStr">
        <is>
          <t>1</t>
        </is>
      </c>
      <c r="J85"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35" t="n"/>
      <c r="L85" s="34" t="inlineStr">
        <is>
          <t>Allergic rhinitis</t>
        </is>
      </c>
      <c r="M85" s="35" t="inlineStr">
        <is>
          <t>Clinic</t>
        </is>
      </c>
      <c r="N85" s="34" t="inlineStr">
        <is>
          <t>ข้อ 2 (PLE_CC1_Practice_Exam.md)</t>
        </is>
      </c>
      <c r="O85" s="35" t="inlineStr">
        <is>
          <t>Mock</t>
        </is>
      </c>
      <c r="P85" s="35" t="inlineStr">
        <is>
          <t>Mock สภาเภสัชฯ Practice</t>
        </is>
      </c>
    </row>
    <row r="86" ht="13.2" customHeight="1" s="49">
      <c r="A86" s="33" t="n">
        <v>84</v>
      </c>
      <c r="B86" s="34" t="inlineStr">
        <is>
          <t>ข้อใดผิดเกี่ยวกับยากลุ่ม anti-leukotrienes กับการรักษาโรค allergic rhinitis</t>
        </is>
      </c>
      <c r="C86" s="35" t="n"/>
      <c r="D86" s="34" t="inlineStr">
        <is>
          <t>เมื่อใช้เป็นยาเดี่ยวมีฤทธิ์เทียบเท่ากับ second generation antihistamines</t>
        </is>
      </c>
      <c r="E86" s="34" t="inlineStr">
        <is>
          <t>ใช้ได้ผลดีกับคนที่มีโรคหืดร่วมด้วย</t>
        </is>
      </c>
      <c r="F86" s="34" t="inlineStr">
        <is>
          <t>มีประสิทธิภาพด้อยกว่า INCS</t>
        </is>
      </c>
      <c r="G86" s="34" t="inlineStr">
        <is>
          <t>ถ้าใช้ anti-leukotrienes ร่วมกับ antihistamines จะมีประสิทธิภาพด้อยกว่ายาเดี่ยว</t>
        </is>
      </c>
      <c r="H86" s="34" t="inlineStr">
        <is>
          <t>สำหรับอาการคัดจมูกได้ผลดีเทียบเท่ากับ pseudoephrine 20 โรคระบบหายใจ นักศึกษาเภสัชศาสตร์ชั้นปีที่ 4 รุ่นที่ 28</t>
        </is>
      </c>
      <c r="I86" s="33" t="inlineStr">
        <is>
          <t>1</t>
        </is>
      </c>
      <c r="J86" s="34" t="inlineStr">
        <is>
          <t>✅ คำตอบที่ถูกต้อง: ข้อ ก. เมื่อใช้เป็นยาเดี่ยวมีฤทธิ์เทียบเท่ากับ second generation antihistamines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t>
        </is>
      </c>
      <c r="K86" s="35" t="n"/>
      <c r="L86" s="34" t="inlineStr">
        <is>
          <t>Allergic rhinitis</t>
        </is>
      </c>
      <c r="M86" s="35" t="inlineStr">
        <is>
          <t>Clinic</t>
        </is>
      </c>
      <c r="N86" s="34" t="inlineStr">
        <is>
          <t>ข้อ 7 (PLE_CC1_Practice_Exam.md)</t>
        </is>
      </c>
      <c r="O86" s="35" t="inlineStr">
        <is>
          <t>Mock</t>
        </is>
      </c>
      <c r="P86" s="35" t="inlineStr">
        <is>
          <t>Mock สภาเภสัชฯ Practice</t>
        </is>
      </c>
    </row>
    <row r="87" ht="13.2" customHeight="1" s="49">
      <c r="A87" s="33" t="n">
        <v>85</v>
      </c>
      <c r="B87" s="34" t="inlineStr">
        <is>
          <t>การปฏิบัติตนในข้อใดสามารถลดอาการทางจมูกอักเสบภูมิแพ้ได้</t>
        </is>
      </c>
      <c r="C87" s="35" t="n"/>
      <c r="D87" s="34" t="inlineStr">
        <is>
          <t>การใช้ผ้าปูที่นอน ปลอกหมอนกันไรฝุ่น</t>
        </is>
      </c>
      <c r="E87" s="34" t="inlineStr">
        <is>
          <t>ซักผ้าในน้ำร้อน 55-60 องศาเซลเซียสเป็นประจำ</t>
        </is>
      </c>
      <c r="F87" s="34" t="inlineStr">
        <is>
          <t>กำจัด หรือหลีกเลี่ยงสารก่อภูมิแพ้ที่ตนเองแพ้</t>
        </is>
      </c>
      <c r="G87" s="34" t="inlineStr">
        <is>
          <t>อาบน้ำอุ่นเป็นประจำทุกวัน</t>
        </is>
      </c>
      <c r="H87" s="34" t="inlineStr">
        <is>
          <t>ถูกทั้งข้อ ก. ข. และ ค.</t>
        </is>
      </c>
      <c r="I87" s="33" t="inlineStr">
        <is>
          <t>1</t>
        </is>
      </c>
      <c r="J87" s="34" t="inlineStr">
        <is>
          <t>✅ คำตอบที่ถูกต้อง: ข้อ ก. การใช้ผ้าปูที่นอน ปลอกหมอนกันไรฝุ่น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35" t="n"/>
      <c r="L87" s="34" t="inlineStr">
        <is>
          <t>Allergic rhinitis</t>
        </is>
      </c>
      <c r="M87" s="35" t="inlineStr">
        <is>
          <t>Clinic</t>
        </is>
      </c>
      <c r="N87" s="34" t="inlineStr">
        <is>
          <t>ข้อ 10 (PLE_CC1_Practice_Exam.md)</t>
        </is>
      </c>
      <c r="O87" s="35" t="inlineStr">
        <is>
          <t>Mock</t>
        </is>
      </c>
      <c r="P87" s="35" t="inlineStr">
        <is>
          <t>Mock สภาเภสัชฯ Practice</t>
        </is>
      </c>
    </row>
    <row r="88" ht="13.2" customHeight="1" s="49">
      <c r="A88" s="33" t="n">
        <v>86</v>
      </c>
      <c r="B88" s="34" t="inlineStr">
        <is>
          <t>อาการใดไม่เข้ากับโรคจมูกอักเสบภูมิแพ้</t>
        </is>
      </c>
      <c r="C88" s="35" t="n"/>
      <c r="D88" s="34" t="inlineStr">
        <is>
          <t>คันจมูก จามติดๆกัน</t>
        </is>
      </c>
      <c r="E88" s="34" t="inlineStr">
        <is>
          <t>น้ำมูกไหลลงคอ ไอเรื้อรัง</t>
        </is>
      </c>
      <c r="F88" s="34" t="inlineStr">
        <is>
          <t>น้ำมูกใส และคัดแน่นจมูก</t>
        </is>
      </c>
      <c r="G88" s="34" t="inlineStr">
        <is>
          <t>ไอเป็นเลือด</t>
        </is>
      </c>
      <c r="H88" s="34" t="inlineStr">
        <is>
          <t>การรับกลิ่นลดลง 21 โรคระบบหายใจ นักศึกษาเภสัชศาสตร์ชั้นปีที่ 4 รุ่นที่ 28</t>
        </is>
      </c>
      <c r="I88" s="33" t="inlineStr">
        <is>
          <t>1</t>
        </is>
      </c>
      <c r="J88" s="34" t="inlineStr">
        <is>
          <t>✅ คำตอบที่ถูกต้อง: ข้อ ก. คันจมูก จามติดๆกัน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t>
        </is>
      </c>
      <c r="K88" s="35" t="n"/>
      <c r="L88" s="34" t="inlineStr">
        <is>
          <t>Allergic rhinitis</t>
        </is>
      </c>
      <c r="M88" s="35" t="inlineStr">
        <is>
          <t>Clinic</t>
        </is>
      </c>
      <c r="N88" s="34" t="inlineStr">
        <is>
          <t>ข้อ 11 (PLE_CC1_Practice_Exam.md)</t>
        </is>
      </c>
      <c r="O88" s="35" t="inlineStr">
        <is>
          <t>Mock</t>
        </is>
      </c>
      <c r="P88" s="35" t="inlineStr">
        <is>
          <t>Mock สภาเภสัชฯ Practice</t>
        </is>
      </c>
    </row>
    <row r="89" ht="13.2" customHeight="1" s="49">
      <c r="A89" s="33" t="n">
        <v>87</v>
      </c>
      <c r="B89" s="34" t="inlineStr">
        <is>
          <t>ลักษณะที่สามารถพบได้ในผู้ป่วยโรคจมูกอักเสบภูมิแพ้ ยกเว้นข้อใด</t>
        </is>
      </c>
      <c r="C89" s="35" t="n"/>
      <c r="D89" s="34" t="inlineStr">
        <is>
          <t>Long face syndrome</t>
        </is>
      </c>
      <c r="E89" s="34" t="inlineStr">
        <is>
          <t>Allergic shiner</t>
        </is>
      </c>
      <c r="F89" s="34" t="inlineStr">
        <is>
          <t>Allergic nasal crease/line</t>
        </is>
      </c>
      <c r="G89" s="34" t="inlineStr">
        <is>
          <t>Allergic salute</t>
        </is>
      </c>
      <c r="H89" s="34" t="inlineStr">
        <is>
          <t>Butterfly rash</t>
        </is>
      </c>
      <c r="I89" s="33" t="inlineStr">
        <is>
          <t>1</t>
        </is>
      </c>
      <c r="J89" s="34" t="inlineStr">
        <is>
          <t>✅ คำตอบที่ถูกต้อง: ข้อ ก. Long face syndrome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35" t="n"/>
      <c r="L89" s="34" t="inlineStr">
        <is>
          <t>Allergic rhinitis</t>
        </is>
      </c>
      <c r="M89" s="35" t="inlineStr">
        <is>
          <t>Clinic</t>
        </is>
      </c>
      <c r="N89" s="34" t="inlineStr">
        <is>
          <t>ข้อ 12 (PLE_CC1_Practice_Exam.md)</t>
        </is>
      </c>
      <c r="O89" s="35" t="inlineStr">
        <is>
          <t>Mock</t>
        </is>
      </c>
      <c r="P89" s="35" t="inlineStr">
        <is>
          <t>Mock สภาเภสัชฯ Practice</t>
        </is>
      </c>
    </row>
    <row r="90" ht="13.2" customHeight="1" s="49">
      <c r="A90" s="33" t="n">
        <v>88</v>
      </c>
      <c r="B90" s="34" t="inlineStr">
        <is>
          <t>ยาในข้อใดที่ได้ผลดีกับผู้ป่วยที่เป็นโรคหืดร่วมกับโรคจมูกอักเสบภูมิแพ้</t>
        </is>
      </c>
      <c r="C90" s="35" t="n"/>
      <c r="D90" s="34" t="inlineStr">
        <is>
          <t>Cromolyn sodium</t>
        </is>
      </c>
      <c r="E90" s="34" t="inlineStr">
        <is>
          <t>Montelukast</t>
        </is>
      </c>
      <c r="F90" s="34" t="inlineStr">
        <is>
          <t>Phenylephrine</t>
        </is>
      </c>
      <c r="G90" s="34" t="inlineStr">
        <is>
          <t>Oxymetazoline</t>
        </is>
      </c>
      <c r="H90" s="34" t="inlineStr">
        <is>
          <t>Levocetirizine</t>
        </is>
      </c>
      <c r="I90" s="33" t="inlineStr">
        <is>
          <t>1</t>
        </is>
      </c>
      <c r="J90" s="34" t="inlineStr">
        <is>
          <t>✅ คำตอบที่ถูกต้อง: ข้อ ก. Cromolyn sodium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35" t="n"/>
      <c r="L90" s="34" t="inlineStr">
        <is>
          <t>Allergic rhinitis</t>
        </is>
      </c>
      <c r="M90" s="35" t="inlineStr">
        <is>
          <t>Clinic</t>
        </is>
      </c>
      <c r="N90" s="34" t="inlineStr">
        <is>
          <t>ข้อ 13 (PLE_CC1_Practice_Exam.md)</t>
        </is>
      </c>
      <c r="O90" s="35" t="inlineStr">
        <is>
          <t>Mock</t>
        </is>
      </c>
      <c r="P90" s="35" t="inlineStr">
        <is>
          <t>Mock สภาเภสัชฯ Practice</t>
        </is>
      </c>
    </row>
    <row r="91" ht="13.2" customHeight="1" s="49">
      <c r="A91" s="33" t="n">
        <v>89</v>
      </c>
      <c r="B91" s="34" t="inlineStr">
        <is>
          <t>ก่อนหน้านี้ผู้ป่วยหญิงรายนี้ได้รับประทานยา oral antihistamine มาก่อน จากโครงสร้าง Oral antihistamine ตัวใด ออกฤทธิ์ได้ยาวนานที่สุด</t>
        </is>
      </c>
      <c r="C91" s="35" t="n"/>
      <c r="D91" s="34" t="inlineStr">
        <is>
          <t>Chlorpheniramine 4 mg TID</t>
        </is>
      </c>
      <c r="E91" s="34" t="inlineStr">
        <is>
          <t>Fluticasone furoate nasal spray</t>
        </is>
      </c>
      <c r="F91" s="34" t="inlineStr">
        <is>
          <t>Budesonide nasal spray</t>
        </is>
      </c>
      <c r="G91" s="34" t="inlineStr">
        <is>
          <t>Epinephrine 0.3 mg IM stat</t>
        </is>
      </c>
      <c r="H91" s="34" t="inlineStr">
        <is>
          <t>132 โรคผิวหนัง ฝ่ายวิชาการ</t>
        </is>
      </c>
      <c r="I91" s="33" t="inlineStr">
        <is>
          <t>1</t>
        </is>
      </c>
      <c r="J91"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t>
        </is>
      </c>
      <c r="K91" s="35" t="n"/>
      <c r="L91" s="34" t="inlineStr">
        <is>
          <t>Allergic rhinitis</t>
        </is>
      </c>
      <c r="M91" s="35" t="inlineStr">
        <is>
          <t>Clinic</t>
        </is>
      </c>
      <c r="N91" s="34" t="inlineStr">
        <is>
          <t>ข้อ 17 (PLE_CC1_Practice_Exam.md)</t>
        </is>
      </c>
      <c r="O91" s="35" t="inlineStr">
        <is>
          <t>Mock</t>
        </is>
      </c>
      <c r="P91" s="35" t="inlineStr">
        <is>
          <t>Mock สภาเภสัชฯ Practice</t>
        </is>
      </c>
    </row>
    <row r="92" ht="13.2" customHeight="1" s="49">
      <c r="A92" s="33" t="n">
        <v>90</v>
      </c>
      <c r="B92" s="34"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35" t="n"/>
      <c r="D92" s="34" t="inlineStr">
        <is>
          <t>แนะนำให้ผู้ป่วยเปลี่ยนไปใช้ยาพ่นยี่ห่ออื่น</t>
        </is>
      </c>
      <c r="E92" s="34" t="inlineStr">
        <is>
          <t>แนะนำให้ผู้ป่วยใช้ยาพ่นจมูกที่มีตัวยา ephedrine ร่วมด้วย</t>
        </is>
      </c>
      <c r="F92" s="34" t="inlineStr">
        <is>
          <t>แนะนำให้ผู้ป่วยเพิ่มขนาดยาพ่นจมูกเป็น 2 spray วันละ 3 ครั้ง</t>
        </is>
      </c>
      <c r="G92" s="34" t="inlineStr">
        <is>
          <t>แนะนำให้ผู้ป่วยรับประทานยาที่บรรเทาอาการคัดจมูกร่วมด้วย</t>
        </is>
      </c>
      <c r="H92" s="34" t="inlineStr">
        <is>
          <t>แนะนำให้ผู้ป่วยหยุดใช้ยาพ่นชั่วคราว</t>
        </is>
      </c>
      <c r="I92" s="33" t="inlineStr">
        <is>
          <t>1</t>
        </is>
      </c>
      <c r="J92" s="34" t="inlineStr">
        <is>
          <t>✅ คำตอบที่ถูกต้อง: ข้อ ก. แนะนำให้ผู้ป่วยเปลี่ยนไปใช้ยาพ่นยี่ห่ออื่น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35" t="n"/>
      <c r="L92" s="34" t="inlineStr">
        <is>
          <t>Allergic rhinitis</t>
        </is>
      </c>
      <c r="M92" s="35" t="inlineStr">
        <is>
          <t>Clinic</t>
        </is>
      </c>
      <c r="N92" s="34" t="inlineStr">
        <is>
          <t>ข้อ 31 (PLE_CC1_Practice_Exam.md)</t>
        </is>
      </c>
      <c r="O92" s="35" t="inlineStr">
        <is>
          <t>Mock</t>
        </is>
      </c>
      <c r="P92" s="35" t="inlineStr">
        <is>
          <t>Mock สภาเภสัชฯ Practice</t>
        </is>
      </c>
    </row>
    <row r="93" ht="13.2" customHeight="1" s="49">
      <c r="A93" s="33" t="n">
        <v>91</v>
      </c>
      <c r="B93" s="34"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35" t="n"/>
      <c r="D93" s="34"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E93" s="34" t="inlineStr">
        <is>
          <t>ควรได้รับ เนื่องจากโรคที่ผู้ป่วยเป็นคือ Acute pharyngitis จึงควรได้รับยาปฏิชีวนะคือ Amoxicillin dry syrup (125 mg/5 ml) ปริมาณ 30 ml/day นาน 10 วัน</t>
        </is>
      </c>
      <c r="F93" s="34"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34" t="inlineStr">
        <is>
          <t>ควรได้รับ เนื่องจากโรคที่ผู้ป่วยเป็นคือ common cold จึงควรได้รับยา Carbocysteine (100 mg/5 ml) ปริมาณ 15 ml/day</t>
        </is>
      </c>
      <c r="H93" s="34" t="inlineStr">
        <is>
          <t>ควรได้รับ เนื่องจากโรคที่ผู้ป่วยเป็นคือ common cold จึงควรได้รับยา Carbocysteine (100 mg/5 ml) ปริมาณ 15 ml/day และยา Cetirizine (1 mg/ml) ปริมาณ 4 ml/day</t>
        </is>
      </c>
      <c r="I93" s="33" t="inlineStr">
        <is>
          <t>1</t>
        </is>
      </c>
      <c r="J93" s="34" t="inlineStr">
        <is>
          <t>✅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K93" s="35" t="n"/>
      <c r="L93" s="34" t="inlineStr">
        <is>
          <t>Allergic rhinitis</t>
        </is>
      </c>
      <c r="M93" s="35" t="inlineStr">
        <is>
          <t>Clinic</t>
        </is>
      </c>
      <c r="N93" s="34" t="inlineStr">
        <is>
          <t>ข้อ 32 (PLE_CC1_Practice_Exam.md)</t>
        </is>
      </c>
      <c r="O93" s="35" t="inlineStr">
        <is>
          <t>Mock</t>
        </is>
      </c>
      <c r="P93" s="35" t="inlineStr">
        <is>
          <t>Mock สภาเภสัชฯ Practice</t>
        </is>
      </c>
    </row>
    <row r="94" ht="13.2" customHeight="1" s="49">
      <c r="A94" s="33" t="n">
        <v>92</v>
      </c>
      <c r="B94" s="34" t="inlineStr">
        <is>
          <t>ทุกโครงสร้างยาออกฤทธิ์แบบ non-sedative antihistamine ข้อใดต่อไปนี้ถูกต้อง</t>
        </is>
      </c>
      <c r="C94" s="35" t="n"/>
      <c r="D94" s="34" t="inlineStr">
        <is>
          <t>เฉพาะ ข้อความ 1</t>
        </is>
      </c>
      <c r="E94" s="34" t="inlineStr">
        <is>
          <t>เฉพาะข้อความ 2</t>
        </is>
      </c>
      <c r="F94" s="34" t="inlineStr">
        <is>
          <t>ข้อความ 1 และ 2</t>
        </is>
      </c>
      <c r="G94" s="34" t="inlineStr">
        <is>
          <t>ข้อความ 1 และ 3</t>
        </is>
      </c>
      <c r="H94" s="34" t="inlineStr">
        <is>
          <t>ถูกทั้ง 1 2 และ 3</t>
        </is>
      </c>
      <c r="I94" s="33" t="inlineStr">
        <is>
          <t>1</t>
        </is>
      </c>
      <c r="J94" s="34" t="inlineStr">
        <is>
          <t>✅ คำตอบที่ถูกต้อง: ข้อ ก. เฉพาะ ข้อความ 1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35" t="n"/>
      <c r="L94" s="34" t="inlineStr">
        <is>
          <t>Allergic rhinitis</t>
        </is>
      </c>
      <c r="M94" s="35" t="inlineStr">
        <is>
          <t>Clinic</t>
        </is>
      </c>
      <c r="N94" s="34" t="inlineStr">
        <is>
          <t>ข้อ 3 (PLE_CC1_Practice_Exam.md)</t>
        </is>
      </c>
      <c r="O94" s="35" t="inlineStr">
        <is>
          <t>Mock</t>
        </is>
      </c>
      <c r="P94" s="35" t="inlineStr">
        <is>
          <t>Mock สภาเภสัชฯ Practice</t>
        </is>
      </c>
    </row>
    <row r="95" ht="13.2" customHeight="1" s="49">
      <c r="A95" s="33" t="n">
        <v>93</v>
      </c>
      <c r="B95" s="34"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35" t="n"/>
      <c r="D95" s="34" t="inlineStr">
        <is>
          <t>Fluticasone furoate</t>
        </is>
      </c>
      <c r="E95" s="34" t="inlineStr">
        <is>
          <t>Loratadine</t>
        </is>
      </c>
      <c r="F95" s="34" t="inlineStr">
        <is>
          <t>montelukast</t>
        </is>
      </c>
      <c r="G95" s="34" t="inlineStr">
        <is>
          <t>Phenylephrine</t>
        </is>
      </c>
      <c r="H95" s="34" t="inlineStr">
        <is>
          <t>0.025% oxymetazoline</t>
        </is>
      </c>
      <c r="I95" s="33" t="inlineStr">
        <is>
          <t>1</t>
        </is>
      </c>
      <c r="J95" s="34" t="inlineStr">
        <is>
          <t>✅ คำตอบที่ถูกต้อง: ข้อ ก. Fluticasone furoate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35" t="n"/>
      <c r="L95" s="34" t="inlineStr">
        <is>
          <t>Allergic rhinitis</t>
        </is>
      </c>
      <c r="M95" s="35" t="inlineStr">
        <is>
          <t>Clinic</t>
        </is>
      </c>
      <c r="N95" s="34" t="inlineStr">
        <is>
          <t>ข้อ 30 (PLE_CC1_Practice_Exam.md)</t>
        </is>
      </c>
      <c r="O95" s="35" t="inlineStr">
        <is>
          <t>Mock</t>
        </is>
      </c>
      <c r="P95" s="35" t="inlineStr">
        <is>
          <t>Mock สภาเภสัชฯ Practice</t>
        </is>
      </c>
    </row>
    <row r="96" ht="13.2" customHeight="1" s="49">
      <c r="A96" s="33" t="n">
        <v>94</v>
      </c>
      <c r="B96" s="34"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t>
        </is>
      </c>
      <c r="C96" s="35" t="n"/>
      <c r="D96" s="34" t="inlineStr">
        <is>
          <t>Epinephrine 0.3 mg IM stat</t>
        </is>
      </c>
      <c r="E96" s="34" t="inlineStr">
        <is>
          <t>Dexamethasone 4 mg IV</t>
        </is>
      </c>
      <c r="F96" s="34" t="inlineStr">
        <is>
          <t>Prednisolone 20 mg OD</t>
        </is>
      </c>
      <c r="G96" s="34" t="inlineStr">
        <is>
          <t>Montelukast 10 mg HS</t>
        </is>
      </c>
      <c r="H96" s="34" t="inlineStr">
        <is>
          <t>Hydroxyzine 25 mg HS</t>
        </is>
      </c>
      <c r="I96" s="33" t="inlineStr">
        <is>
          <t>2</t>
        </is>
      </c>
      <c r="J96" s="34"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35" t="n"/>
      <c r="L96" s="34" t="inlineStr">
        <is>
          <t>Allergic rhinitis</t>
        </is>
      </c>
      <c r="M96" s="35" t="inlineStr">
        <is>
          <t>Clinic</t>
        </is>
      </c>
      <c r="N96" s="34" t="inlineStr">
        <is>
          <t>ข้อ 22 (PLE_CC1_Practice_Exam.md)</t>
        </is>
      </c>
      <c r="O96" s="35" t="inlineStr">
        <is>
          <t>Mock</t>
        </is>
      </c>
      <c r="P96" s="35" t="inlineStr">
        <is>
          <t>Mock สภาเภสัชฯ Practice</t>
        </is>
      </c>
    </row>
    <row r="97" ht="13.2" customHeight="1" s="49">
      <c r="A97" s="33" t="n">
        <v>95</v>
      </c>
      <c r="B97" s="34"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t>
        </is>
      </c>
      <c r="C97" s="35" t="n"/>
      <c r="D97" s="34" t="inlineStr">
        <is>
          <t>Montelukast 10 mg HS</t>
        </is>
      </c>
      <c r="E97" s="34" t="inlineStr">
        <is>
          <t>Hydroxyzine 25 mg HS</t>
        </is>
      </c>
      <c r="F97" s="34" t="inlineStr">
        <is>
          <t>Diphenhydramine 25 mg IV</t>
        </is>
      </c>
      <c r="G97" s="34" t="inlineStr">
        <is>
          <t>Cetirizine 10 mg OD</t>
        </is>
      </c>
      <c r="H97" s="34" t="inlineStr">
        <is>
          <t>Loratadine 10 mg OD</t>
        </is>
      </c>
      <c r="I97" s="33" t="inlineStr">
        <is>
          <t>2</t>
        </is>
      </c>
      <c r="J97" s="34"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35" t="n"/>
      <c r="L97" s="34" t="inlineStr">
        <is>
          <t>Allergic rhinitis</t>
        </is>
      </c>
      <c r="M97" s="35" t="inlineStr">
        <is>
          <t>Clinic</t>
        </is>
      </c>
      <c r="N97" s="34" t="inlineStr">
        <is>
          <t>ข้อ 2 (PLE_CC1_Practice_Exam.md)</t>
        </is>
      </c>
      <c r="O97" s="35" t="inlineStr">
        <is>
          <t>Mock</t>
        </is>
      </c>
      <c r="P97" s="35" t="inlineStr">
        <is>
          <t>Mock สภาเภสัชฯ Practice</t>
        </is>
      </c>
    </row>
    <row r="98" ht="13.2" customHeight="1" s="49">
      <c r="A98" s="33" t="n">
        <v>96</v>
      </c>
      <c r="B98" s="34"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35" t="n"/>
      <c r="D98" s="34" t="inlineStr">
        <is>
          <t>Dimenhydrinateเป็นanti histamineมีข้อบ่งใช้ใน motion sickness</t>
        </is>
      </c>
      <c r="E98" s="34"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F98" s="34"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34"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t>
        </is>
      </c>
      <c r="H98" s="34" t="inlineStr">
        <is>
          <t>Fluticasone furoate nasal spray</t>
        </is>
      </c>
      <c r="I98" s="33" t="inlineStr">
        <is>
          <t>5</t>
        </is>
      </c>
      <c r="J98" s="34" t="inlineStr">
        <is>
          <t>✅ คำตอบที่ถูกต้อง: ข้อ จ.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K98" s="35" t="n"/>
      <c r="L98" s="34" t="inlineStr">
        <is>
          <t>Allergic rhinitis</t>
        </is>
      </c>
      <c r="M98" s="35" t="inlineStr">
        <is>
          <t>Clinic</t>
        </is>
      </c>
      <c r="N98" s="34" t="inlineStr">
        <is>
          <t>ข้อ 26 (PLE_CC1_Practice_Exam.md)</t>
        </is>
      </c>
      <c r="O98" s="35" t="inlineStr">
        <is>
          <t>Mock</t>
        </is>
      </c>
      <c r="P98" s="35" t="inlineStr">
        <is>
          <t>Mock สภาเภสัชฯ Practice</t>
        </is>
      </c>
    </row>
    <row r="99" ht="13.2" customHeight="1" s="49">
      <c r="A99" s="33" t="n">
        <v>97</v>
      </c>
      <c r="B99" s="34"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35" t="n"/>
      <c r="D99" s="34" t="inlineStr">
        <is>
          <t>Chlorpheniramine 4 mg TID</t>
        </is>
      </c>
      <c r="E99" s="34" t="inlineStr">
        <is>
          <t>Fluticasone furoate nasal spray</t>
        </is>
      </c>
      <c r="F99" s="34" t="inlineStr">
        <is>
          <t>Budesonide nasal spray</t>
        </is>
      </c>
      <c r="G99" s="34" t="inlineStr">
        <is>
          <t>Epinephrine 0.3 mg IM stat</t>
        </is>
      </c>
      <c r="H99" s="34" t="inlineStr">
        <is>
          <t>Dexamethasone 4 mg IV</t>
        </is>
      </c>
      <c r="I99" s="33" t="inlineStr">
        <is>
          <t>2</t>
        </is>
      </c>
      <c r="J99" s="34" t="inlineStr">
        <is>
          <t>✅ คำตอบที่ถูกต้อง: ข้อ ข.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35" t="n"/>
      <c r="L99" s="34" t="inlineStr">
        <is>
          <t>Allergic rhinitis</t>
        </is>
      </c>
      <c r="M99" s="35" t="inlineStr">
        <is>
          <t>Clinic</t>
        </is>
      </c>
      <c r="N99" s="34" t="inlineStr">
        <is>
          <t>ข้อ 27 (PLE_CC1_Practice_Exam.md)</t>
        </is>
      </c>
      <c r="O99" s="35" t="inlineStr">
        <is>
          <t>Mock</t>
        </is>
      </c>
      <c r="P99" s="35" t="inlineStr">
        <is>
          <t>Mock สภาเภสัชฯ Practice</t>
        </is>
      </c>
    </row>
    <row r="100" ht="13.2" customHeight="1" s="49">
      <c r="A100" s="33" t="n">
        <v>98</v>
      </c>
      <c r="B100" s="34"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35" t="n"/>
      <c r="D100" s="34" t="inlineStr">
        <is>
          <t>Epinephrine 0.3 mg IM stat</t>
        </is>
      </c>
      <c r="E100" s="34" t="inlineStr">
        <is>
          <t>Dexamethasone 4 mg IV</t>
        </is>
      </c>
      <c r="F100" s="34" t="inlineStr">
        <is>
          <t>Prednisolone 20 mg OD</t>
        </is>
      </c>
      <c r="G100" s="34" t="inlineStr">
        <is>
          <t>Montelukast 10 mg HS</t>
        </is>
      </c>
      <c r="H100" s="34" t="inlineStr">
        <is>
          <t>Hydroxyzine 25 mg HS</t>
        </is>
      </c>
      <c r="I100" s="33" t="inlineStr">
        <is>
          <t>2</t>
        </is>
      </c>
      <c r="J100" s="34"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35" t="n"/>
      <c r="L100" s="34" t="inlineStr">
        <is>
          <t>Allergic rhinitis</t>
        </is>
      </c>
      <c r="M100" s="35" t="inlineStr">
        <is>
          <t>Clinic</t>
        </is>
      </c>
      <c r="N100" s="34" t="inlineStr">
        <is>
          <t>ข้อ 28 (PLE_CC1_Practice_Exam.md)</t>
        </is>
      </c>
      <c r="O100" s="35" t="inlineStr">
        <is>
          <t>Mock</t>
        </is>
      </c>
      <c r="P100" s="35" t="inlineStr">
        <is>
          <t>Mock สภาเภสัชฯ Practice</t>
        </is>
      </c>
    </row>
    <row r="101" ht="13.2" customHeight="1" s="49">
      <c r="A101" s="33" t="n">
        <v>99</v>
      </c>
      <c r="B101" s="34"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35" t="n"/>
      <c r="D101" s="34" t="inlineStr">
        <is>
          <t>Montelukast 10 mg HS</t>
        </is>
      </c>
      <c r="E101" s="34" t="inlineStr">
        <is>
          <t>Hydroxyzine 25 mg HS</t>
        </is>
      </c>
      <c r="F101" s="34" t="inlineStr">
        <is>
          <t>Diphenhydramine 25 mg IV</t>
        </is>
      </c>
      <c r="G101" s="34" t="inlineStr">
        <is>
          <t>Cetirizine 10 mg OD</t>
        </is>
      </c>
      <c r="H101" s="34" t="inlineStr">
        <is>
          <t>Loratadine 10 mg OD</t>
        </is>
      </c>
      <c r="I101" s="33" t="inlineStr">
        <is>
          <t>2</t>
        </is>
      </c>
      <c r="J101" s="34"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35" t="n"/>
      <c r="L101" s="34" t="inlineStr">
        <is>
          <t>Allergic rhinitis</t>
        </is>
      </c>
      <c r="M101" s="35" t="inlineStr">
        <is>
          <t>Clinic</t>
        </is>
      </c>
      <c r="N101" s="34" t="inlineStr">
        <is>
          <t>ข้อ 30 (PLE_CC1_Practice_Exam.md)</t>
        </is>
      </c>
      <c r="O101" s="35" t="inlineStr">
        <is>
          <t>Mock</t>
        </is>
      </c>
      <c r="P101" s="35" t="inlineStr">
        <is>
          <t>Mock สภาเภสัชฯ Practice</t>
        </is>
      </c>
    </row>
    <row r="102" ht="13.2" customHeight="1" s="49">
      <c r="A102" s="33" t="n">
        <v>100</v>
      </c>
      <c r="B102" s="34"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35" t="n"/>
      <c r="D102" s="34"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34" t="inlineStr">
        <is>
          <t>ถูกต้อง เพราะการอนุญาตสำหรับการขายยาผู้อนุญาตอาจเป็นเลขาธิการ หรือผู้ว่าราชการจังหวัดก็ ได้</t>
        </is>
      </c>
      <c r="F102" s="34" t="inlineStr">
        <is>
          <t>ไม่ถูกต้อง เพราะผู้อนุญาตสำหรับการขายยาในต่างจังหวัดต้องเป็นผู้ว่าราชการจังหวัดที่อยู่ในเขต จังหวัดนั้น</t>
        </is>
      </c>
      <c r="G102" s="34"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34" t="inlineStr">
        <is>
          <t>ไม่สามารถตัดสินใจได้จากข้อมูลที่ให้มา</t>
        </is>
      </c>
      <c r="I102" s="33" t="inlineStr">
        <is>
          <t>1</t>
        </is>
      </c>
      <c r="J102" s="34"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35" t="n"/>
      <c r="L102" s="34" t="inlineStr">
        <is>
          <t>Allergic rhinitis</t>
        </is>
      </c>
      <c r="M102" s="35" t="inlineStr">
        <is>
          <t>Clinic</t>
        </is>
      </c>
      <c r="N102" s="34" t="inlineStr">
        <is>
          <t>ข้อ 11 (PLE_CC1_Practice_Exam.md)</t>
        </is>
      </c>
      <c r="O102" s="35" t="inlineStr">
        <is>
          <t>Mock</t>
        </is>
      </c>
      <c r="P102" s="35" t="inlineStr">
        <is>
          <t>Mock สภาเภสัชฯ Practice</t>
        </is>
      </c>
    </row>
    <row r="103" ht="13.2" customHeight="1" s="49">
      <c r="A103" s="33" t="n">
        <v>101</v>
      </c>
      <c r="B103" s="34"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35" t="n"/>
      <c r="D103" s="34" t="inlineStr">
        <is>
          <t>เนื่องจากเป็นยาอันตราย</t>
        </is>
      </c>
      <c r="E103" s="34" t="inlineStr">
        <is>
          <t>เนื่องจากเป็นยาควบคุมพิเศษ</t>
        </is>
      </c>
      <c r="F103" s="34" t="inlineStr">
        <is>
          <t>เนื่องจากเป็นยาเสพติดให้โทษ ประเภทที่ 2</t>
        </is>
      </c>
      <c r="G103" s="34" t="inlineStr">
        <is>
          <t>เนื่องจากเป็นวัตถุออกฤทธิ์ต่อจิตและประสาท ประเภทที่ 2</t>
        </is>
      </c>
      <c r="H103" s="34" t="inlineStr">
        <is>
          <t>เนื่องจากไม่มียานี้จำหน่ายในประเทศไทย</t>
        </is>
      </c>
      <c r="I103" s="33" t="inlineStr">
        <is>
          <t>1</t>
        </is>
      </c>
      <c r="J103" s="34" t="inlineStr">
        <is>
          <t>✅ คำตอบที่ถูกต้อง: ข้อ ก. เนื่องจากเป็นยาอันตราย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35" t="n"/>
      <c r="L103" s="34" t="inlineStr">
        <is>
          <t>Allergic rhinitis</t>
        </is>
      </c>
      <c r="M103" s="35" t="inlineStr">
        <is>
          <t>Clinic</t>
        </is>
      </c>
      <c r="N103" s="34" t="inlineStr">
        <is>
          <t>ข้อ 27 (PLE_CC1_Practice_Exam.md)</t>
        </is>
      </c>
      <c r="O103" s="35" t="inlineStr">
        <is>
          <t>Mock</t>
        </is>
      </c>
      <c r="P103" s="35" t="inlineStr">
        <is>
          <t>Mock สภาเภสัชฯ Practice</t>
        </is>
      </c>
    </row>
    <row r="104" ht="13.2" customHeight="1" s="49">
      <c r="A104" s="33" t="n">
        <v>102</v>
      </c>
      <c r="B104" s="34" t="inlineStr">
        <is>
          <t>Oral antihistamine ลดน้ำมูก + คัดจมูก</t>
        </is>
      </c>
      <c r="C104" s="35" t="n"/>
      <c r="D104" s="34" t="inlineStr">
        <is>
          <t>Epinephrine 0.3 mg IM stat</t>
        </is>
      </c>
      <c r="E104" s="34" t="inlineStr">
        <is>
          <t>Dexamethasone 4 mg IV</t>
        </is>
      </c>
      <c r="F104" s="34" t="inlineStr">
        <is>
          <t>Prednisolone 20 mg OD</t>
        </is>
      </c>
      <c r="G104" s="34" t="inlineStr">
        <is>
          <t>Montelukast 10 mg HS</t>
        </is>
      </c>
      <c r="H104" s="34" t="inlineStr">
        <is>
          <t>Hydroxyzine 25 mg HS</t>
        </is>
      </c>
      <c r="I104" s="33" t="inlineStr">
        <is>
          <t>1</t>
        </is>
      </c>
      <c r="J104"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35" t="n"/>
      <c r="L104" s="34" t="inlineStr">
        <is>
          <t>Allergic rhinitis</t>
        </is>
      </c>
      <c r="M104" s="35" t="inlineStr">
        <is>
          <t>Clinic</t>
        </is>
      </c>
      <c r="N104" s="34" t="inlineStr">
        <is>
          <t>ข้อ 2 (PLE_CC1_Key_Rx20_UBU.md)</t>
        </is>
      </c>
      <c r="O104" s="35" t="inlineStr">
        <is>
          <t>Mock</t>
        </is>
      </c>
      <c r="P104" s="35" t="inlineStr">
        <is>
          <t>Mock Rx20 UBU</t>
        </is>
      </c>
    </row>
    <row r="105" ht="13.2" customHeight="1" s="49">
      <c r="A105" s="33" t="n">
        <v>103</v>
      </c>
      <c r="B105" s="34"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35" t="n"/>
      <c r="D105" s="34" t="inlineStr">
        <is>
          <t>Montelukast 10 mg HS</t>
        </is>
      </c>
      <c r="E105" s="34" t="inlineStr">
        <is>
          <t>Hydroxyzine 25 mg HS</t>
        </is>
      </c>
      <c r="F105" s="34" t="inlineStr">
        <is>
          <t>Diphenhydramine 25 mg IV</t>
        </is>
      </c>
      <c r="G105" s="34" t="inlineStr">
        <is>
          <t>Cetirizine 10 mg OD</t>
        </is>
      </c>
      <c r="H105" s="34" t="inlineStr">
        <is>
          <t>Loratadine 10 mg OD</t>
        </is>
      </c>
      <c r="I105" s="33" t="inlineStr">
        <is>
          <t>4</t>
        </is>
      </c>
      <c r="J105" s="34"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35" t="n"/>
      <c r="L105" s="34" t="inlineStr">
        <is>
          <t>Allergic rhinitis</t>
        </is>
      </c>
      <c r="M105" s="35" t="inlineStr">
        <is>
          <t>Clinic</t>
        </is>
      </c>
      <c r="N105" s="34" t="inlineStr">
        <is>
          <t>ข้อ 5 (PLE_CC1_Key_Rx20_UBU.md)</t>
        </is>
      </c>
      <c r="O105" s="35" t="inlineStr">
        <is>
          <t>Mock</t>
        </is>
      </c>
      <c r="P105" s="35" t="inlineStr">
        <is>
          <t>Mock Rx20 UBU</t>
        </is>
      </c>
    </row>
    <row r="106" ht="13.2" customHeight="1" s="49">
      <c r="A106" s="33" t="n">
        <v>104</v>
      </c>
      <c r="B106" s="34"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35" t="n"/>
      <c r="D106" s="34" t="inlineStr">
        <is>
          <t>Cetirizine 10 mg OD</t>
        </is>
      </c>
      <c r="E106" s="34" t="inlineStr">
        <is>
          <t>Loratadine 10 mg OD</t>
        </is>
      </c>
      <c r="F106" s="34" t="inlineStr">
        <is>
          <t>Fexofenadine 180 mg OD</t>
        </is>
      </c>
      <c r="G106" s="34" t="inlineStr">
        <is>
          <t>Chlorpheniramine 4 mg TID</t>
        </is>
      </c>
      <c r="H106" s="34" t="inlineStr">
        <is>
          <t>Fluticasone furoate nasal spray</t>
        </is>
      </c>
      <c r="I106" s="33" t="inlineStr">
        <is>
          <t>3</t>
        </is>
      </c>
      <c r="J106" s="34" t="inlineStr">
        <is>
          <t>✅ คำตอบที่ถูกต้อง: ข้อ ค. Fexofenadine 180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35" t="n"/>
      <c r="L106" s="34" t="inlineStr">
        <is>
          <t>Allergic rhinitis</t>
        </is>
      </c>
      <c r="M106" s="35" t="inlineStr">
        <is>
          <t>Clinic</t>
        </is>
      </c>
      <c r="N106" s="34" t="inlineStr">
        <is>
          <t>ข้อ 5 (PLE_CC1_Key_Rx20_UBU.md)</t>
        </is>
      </c>
      <c r="O106" s="35" t="inlineStr">
        <is>
          <t>Mock</t>
        </is>
      </c>
      <c r="P106" s="35" t="inlineStr">
        <is>
          <t>Mock Rx20 UBU</t>
        </is>
      </c>
    </row>
    <row r="107" ht="13.2" customHeight="1" s="49">
      <c r="A107" s="33" t="n">
        <v>105</v>
      </c>
      <c r="B107" s="34" t="inlineStr">
        <is>
          <t>ยา Antihistamine ตัวใดที่ทำให้ง่วงมากที่สุด</t>
        </is>
      </c>
      <c r="C107" s="35" t="n"/>
      <c r="D107" s="34" t="inlineStr">
        <is>
          <t>Chlorpheniramine 4 mg TID</t>
        </is>
      </c>
      <c r="E107" s="34" t="inlineStr">
        <is>
          <t>Fluticasone furoate nasal spray</t>
        </is>
      </c>
      <c r="F107" s="34" t="inlineStr">
        <is>
          <t>Budesonide nasal spray</t>
        </is>
      </c>
      <c r="G107" s="34" t="inlineStr">
        <is>
          <t>Epinephrine 0.3 mg IM stat</t>
        </is>
      </c>
      <c r="H107" s="34" t="inlineStr">
        <is>
          <t>Dexamethasone 4 mg IV</t>
        </is>
      </c>
      <c r="I107" s="33" t="inlineStr">
        <is>
          <t>1</t>
        </is>
      </c>
      <c r="J107"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35" t="n"/>
      <c r="L107" s="34" t="inlineStr">
        <is>
          <t>Allergic rhinitis</t>
        </is>
      </c>
      <c r="M107" s="35" t="inlineStr">
        <is>
          <t>Clinic</t>
        </is>
      </c>
      <c r="N107" s="34" t="inlineStr">
        <is>
          <t>ข้อ 8 (PLE_CC1_Key_Rx20_UBU.md)</t>
        </is>
      </c>
      <c r="O107" s="35" t="inlineStr">
        <is>
          <t>Mock</t>
        </is>
      </c>
      <c r="P107" s="35" t="inlineStr">
        <is>
          <t>Mock Rx20 UBU</t>
        </is>
      </c>
    </row>
    <row r="108" ht="13.2" customHeight="1" s="49">
      <c r="A108" s="33" t="n">
        <v>106</v>
      </c>
      <c r="B108" s="34" t="inlineStr">
        <is>
          <t>ใช้ยาเดิมต่อไป แต่ให้ antihistamine และ paracetamol</t>
        </is>
      </c>
      <c r="C108" s="35" t="n"/>
      <c r="D108" s="34" t="inlineStr">
        <is>
          <t>Epinephrine 0.3 mg IM stat</t>
        </is>
      </c>
      <c r="E108" s="34" t="inlineStr">
        <is>
          <t>Dexamethasone 4 mg IV</t>
        </is>
      </c>
      <c r="F108" s="34" t="inlineStr">
        <is>
          <t>Prednisolone 20 mg OD</t>
        </is>
      </c>
      <c r="G108" s="34" t="inlineStr">
        <is>
          <t>Montelukast 10 mg HS</t>
        </is>
      </c>
      <c r="H108" s="34" t="inlineStr">
        <is>
          <t>Hydroxyzine 25 mg HS</t>
        </is>
      </c>
      <c r="I108" s="33" t="inlineStr">
        <is>
          <t>1</t>
        </is>
      </c>
      <c r="J108"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35" t="n"/>
      <c r="L108" s="34" t="inlineStr">
        <is>
          <t>Allergic rhinitis</t>
        </is>
      </c>
      <c r="M108" s="35" t="inlineStr">
        <is>
          <t>Clinic</t>
        </is>
      </c>
      <c r="N108" s="34" t="inlineStr">
        <is>
          <t>ข้อ 1 (PLE_CC1_Key_Rx20_UBU.md)</t>
        </is>
      </c>
      <c r="O108" s="35" t="inlineStr">
        <is>
          <t>Mock</t>
        </is>
      </c>
      <c r="P108" s="35" t="inlineStr">
        <is>
          <t>Mock Rx20 UBU</t>
        </is>
      </c>
    </row>
    <row r="109" ht="13.2" customHeight="1" s="49">
      <c r="A109" s="33" t="n">
        <v>107</v>
      </c>
      <c r="B109" s="34" t="inlineStr">
        <is>
          <t>Loratadine (minor) ระดับ lora ลดลง</t>
        </is>
      </c>
      <c r="C109" s="35" t="n"/>
      <c r="D109" s="34" t="inlineStr">
        <is>
          <t>Montelukast 10 mg HS</t>
        </is>
      </c>
      <c r="E109" s="34" t="inlineStr">
        <is>
          <t>Hydroxyzine 25 mg HS</t>
        </is>
      </c>
      <c r="F109" s="34" t="inlineStr">
        <is>
          <t>Diphenhydramine 25 mg IV</t>
        </is>
      </c>
      <c r="G109" s="34" t="inlineStr">
        <is>
          <t>Cetirizine 10 mg OD</t>
        </is>
      </c>
      <c r="H109" s="34" t="inlineStr">
        <is>
          <t>Loratadine 10 mg OD</t>
        </is>
      </c>
      <c r="I109" s="33" t="inlineStr">
        <is>
          <t>1</t>
        </is>
      </c>
      <c r="J109"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35" t="n"/>
      <c r="L109" s="34" t="inlineStr">
        <is>
          <t>Allergic rhinitis</t>
        </is>
      </c>
      <c r="M109" s="35" t="inlineStr">
        <is>
          <t>Clinic</t>
        </is>
      </c>
      <c r="N109" s="34" t="inlineStr">
        <is>
          <t>ข้อ 3 (PLE_CC1_Key_Rx20_UBU.md)</t>
        </is>
      </c>
      <c r="O109" s="35" t="inlineStr">
        <is>
          <t>Mock</t>
        </is>
      </c>
      <c r="P109" s="35" t="inlineStr">
        <is>
          <t>Mock Rx20 UBU</t>
        </is>
      </c>
    </row>
    <row r="110" ht="13.2" customHeight="1" s="49">
      <c r="A110" s="33" t="n">
        <v>108</v>
      </c>
      <c r="B110" s="34" t="inlineStr">
        <is>
          <t>ไม่เหมาะสม เพราะ ควรใช้ยา Loratadine จะได้ผลดีกว่า</t>
        </is>
      </c>
      <c r="C110" s="35" t="n"/>
      <c r="D110" s="34" t="inlineStr">
        <is>
          <t>Cetirizine 10 mg OD</t>
        </is>
      </c>
      <c r="E110" s="34" t="inlineStr">
        <is>
          <t>Loratadine 10 mg OD</t>
        </is>
      </c>
      <c r="F110" s="34" t="inlineStr">
        <is>
          <t>Fexofenadine 180 mg OD</t>
        </is>
      </c>
      <c r="G110" s="34" t="inlineStr">
        <is>
          <t>Chlorpheniramine 4 mg TID</t>
        </is>
      </c>
      <c r="H110" s="34" t="inlineStr">
        <is>
          <t>Fluticasone furoate nasal spray</t>
        </is>
      </c>
      <c r="I110" s="33" t="inlineStr">
        <is>
          <t>1</t>
        </is>
      </c>
      <c r="J110"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35" t="n"/>
      <c r="L110" s="34" t="inlineStr">
        <is>
          <t>Allergic rhinitis</t>
        </is>
      </c>
      <c r="M110" s="35" t="inlineStr">
        <is>
          <t>Clinic</t>
        </is>
      </c>
      <c r="N110" s="34" t="inlineStr">
        <is>
          <t>ข้อ 4 (PLE_CC1_Key_Rx20_UBU.md)</t>
        </is>
      </c>
      <c r="O110" s="35" t="inlineStr">
        <is>
          <t>Mock</t>
        </is>
      </c>
      <c r="P110" s="35" t="inlineStr">
        <is>
          <t>Mock Rx20 UBU</t>
        </is>
      </c>
    </row>
    <row r="111" ht="13.2" customHeight="1" s="49">
      <c r="A111" s="33" t="n">
        <v>109</v>
      </c>
      <c r="B111" s="34" t="inlineStr">
        <is>
          <t>ไม่เหมาะสม เพราะ ไม่ควรใช้ First generation antihistamine และ Decongestant ในผู้สูงอายุ</t>
        </is>
      </c>
      <c r="C111" s="35" t="n"/>
      <c r="D111" s="34" t="inlineStr">
        <is>
          <t>Chlorpheniramine 4 mg TID</t>
        </is>
      </c>
      <c r="E111" s="34" t="inlineStr">
        <is>
          <t>Fluticasone furoate nasal spray</t>
        </is>
      </c>
      <c r="F111" s="34" t="inlineStr">
        <is>
          <t>Budesonide nasal spray</t>
        </is>
      </c>
      <c r="G111" s="34" t="inlineStr">
        <is>
          <t>Epinephrine 0.3 mg IM stat</t>
        </is>
      </c>
      <c r="H111" s="34" t="inlineStr">
        <is>
          <t>Dexamethasone 4 mg IV</t>
        </is>
      </c>
      <c r="I111" s="33" t="inlineStr">
        <is>
          <t>1</t>
        </is>
      </c>
      <c r="J111"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35" t="n"/>
      <c r="L111" s="34" t="inlineStr">
        <is>
          <t>Allergic rhinitis</t>
        </is>
      </c>
      <c r="M111" s="35" t="inlineStr">
        <is>
          <t>Clinic</t>
        </is>
      </c>
      <c r="N111" s="34" t="inlineStr">
        <is>
          <t>ข้อ 5 (PLE_CC1_Key_Rx20_UBU.md)</t>
        </is>
      </c>
      <c r="O111" s="35" t="inlineStr">
        <is>
          <t>Mock</t>
        </is>
      </c>
      <c r="P111" s="35" t="inlineStr">
        <is>
          <t>Mock Rx20 UBU</t>
        </is>
      </c>
    </row>
    <row r="112" ht="13.2" customHeight="1" s="49">
      <c r="A112" s="33" t="n">
        <v>110</v>
      </c>
      <c r="B112" s="34"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35" t="n"/>
      <c r="D112" s="34" t="inlineStr">
        <is>
          <t>Epinephrine 0.3 mg IM stat</t>
        </is>
      </c>
      <c r="E112" s="34" t="inlineStr">
        <is>
          <t>Dexamethasone 4 mg IV</t>
        </is>
      </c>
      <c r="F112" s="34" t="inlineStr">
        <is>
          <t>Prednisolone 20 mg OD</t>
        </is>
      </c>
      <c r="G112" s="34" t="inlineStr">
        <is>
          <t>Montelukast 10 mg HS</t>
        </is>
      </c>
      <c r="H112" s="34" t="inlineStr">
        <is>
          <t>Hydroxyzine 25 mg HS</t>
        </is>
      </c>
      <c r="I112" s="33" t="inlineStr">
        <is>
          <t>1</t>
        </is>
      </c>
      <c r="J112" s="34"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35" t="n"/>
      <c r="L112" s="34" t="inlineStr">
        <is>
          <t>Allergic rhinitis</t>
        </is>
      </c>
      <c r="M112" s="35" t="inlineStr">
        <is>
          <t>Clinic</t>
        </is>
      </c>
      <c r="N112" s="34" t="inlineStr">
        <is>
          <t>ข้อ 60 (PLE_CC1_Key_Rx20_UBU.md)</t>
        </is>
      </c>
      <c r="O112" s="35" t="inlineStr">
        <is>
          <t>Mock</t>
        </is>
      </c>
      <c r="P112" s="35" t="inlineStr">
        <is>
          <t>Mock Rx20 UBU</t>
        </is>
      </c>
    </row>
    <row r="113" ht="13.2" customHeight="1" s="49">
      <c r="A113" s="33" t="n">
        <v>111</v>
      </c>
      <c r="B113" s="34" t="inlineStr">
        <is>
          <t>Antihistamine eye drops</t>
        </is>
      </c>
      <c r="C113" s="35" t="n"/>
      <c r="D113" s="34" t="inlineStr">
        <is>
          <t>Montelukast 10 mg HS</t>
        </is>
      </c>
      <c r="E113" s="34" t="inlineStr">
        <is>
          <t>Hydroxyzine 25 mg HS</t>
        </is>
      </c>
      <c r="F113" s="34" t="inlineStr">
        <is>
          <t>Diphenhydramine 25 mg IV</t>
        </is>
      </c>
      <c r="G113" s="34" t="inlineStr">
        <is>
          <t>Cetirizine 10 mg OD</t>
        </is>
      </c>
      <c r="H113" s="34" t="inlineStr">
        <is>
          <t>Loratadine 10 mg OD</t>
        </is>
      </c>
      <c r="I113" s="33" t="inlineStr">
        <is>
          <t>1</t>
        </is>
      </c>
      <c r="J113"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35" t="n"/>
      <c r="L113" s="34" t="inlineStr">
        <is>
          <t>Allergic rhinitis</t>
        </is>
      </c>
      <c r="M113" s="35" t="inlineStr">
        <is>
          <t>Clinic</t>
        </is>
      </c>
      <c r="N113" s="34" t="inlineStr">
        <is>
          <t>ข้อ 3 (PLE_CC1_Key_Rx20_UBU.md)</t>
        </is>
      </c>
      <c r="O113" s="35" t="inlineStr">
        <is>
          <t>Mock</t>
        </is>
      </c>
      <c r="P113" s="35" t="inlineStr">
        <is>
          <t>Mock Rx20 UBU</t>
        </is>
      </c>
    </row>
    <row r="114" ht="13.2" customHeight="1" s="49">
      <c r="A114" s="33" t="n">
        <v>112</v>
      </c>
      <c r="B114" s="34" t="inlineStr">
        <is>
          <t>Fexofenadine 60 mg 1 tab bid</t>
        </is>
      </c>
      <c r="C114" s="35" t="n"/>
      <c r="D114" s="34" t="inlineStr">
        <is>
          <t>Cetirizine 10 mg OD</t>
        </is>
      </c>
      <c r="E114" s="34" t="inlineStr">
        <is>
          <t>Loratadine 10 mg OD</t>
        </is>
      </c>
      <c r="F114" s="34" t="inlineStr">
        <is>
          <t>Fexofenadine 180 mg OD</t>
        </is>
      </c>
      <c r="G114" s="34" t="inlineStr">
        <is>
          <t>Chlorpheniramine 4 mg TID</t>
        </is>
      </c>
      <c r="H114" s="34" t="inlineStr">
        <is>
          <t>Fluticasone furoate nasal spray</t>
        </is>
      </c>
      <c r="I114" s="33" t="inlineStr">
        <is>
          <t>1</t>
        </is>
      </c>
      <c r="J114"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35" t="n"/>
      <c r="L114" s="34" t="inlineStr">
        <is>
          <t>Allergic rhinitis</t>
        </is>
      </c>
      <c r="M114" s="35" t="inlineStr">
        <is>
          <t>Clinic</t>
        </is>
      </c>
      <c r="N114" s="34" t="inlineStr">
        <is>
          <t>ข้อ 2 (PLE_CC1_Key_Rx20_UBU.md)</t>
        </is>
      </c>
      <c r="O114" s="35" t="inlineStr">
        <is>
          <t>Mock</t>
        </is>
      </c>
      <c r="P114" s="35" t="inlineStr">
        <is>
          <t>Mock Rx20 UBU</t>
        </is>
      </c>
    </row>
    <row r="115" ht="13.2" customHeight="1" s="49">
      <c r="A115" s="33" t="n">
        <v>113</v>
      </c>
      <c r="B115" s="34" t="inlineStr">
        <is>
          <t>Oxymetazoline intranasal 0.5 mg/ml 1 puff prn (at night 1-2 times/week)</t>
        </is>
      </c>
      <c r="C115" s="35" t="n"/>
      <c r="D115" s="34" t="inlineStr">
        <is>
          <t>Chlorpheniramine 4 mg TID</t>
        </is>
      </c>
      <c r="E115" s="34" t="inlineStr">
        <is>
          <t>Fluticasone furoate nasal spray</t>
        </is>
      </c>
      <c r="F115" s="34" t="inlineStr">
        <is>
          <t>Budesonide nasal spray</t>
        </is>
      </c>
      <c r="G115" s="34" t="inlineStr">
        <is>
          <t>Epinephrine 0.3 mg IM stat</t>
        </is>
      </c>
      <c r="H115" s="34" t="inlineStr">
        <is>
          <t>Dexamethasone 4 mg IV</t>
        </is>
      </c>
      <c r="I115" s="33" t="inlineStr">
        <is>
          <t>1</t>
        </is>
      </c>
      <c r="J115"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35" t="n"/>
      <c r="L115" s="34" t="inlineStr">
        <is>
          <t>Allergic rhinitis</t>
        </is>
      </c>
      <c r="M115" s="35" t="inlineStr">
        <is>
          <t>Clinic</t>
        </is>
      </c>
      <c r="N115" s="34" t="inlineStr">
        <is>
          <t>ข้อ 3 (PLE_CC1_Key_Rx20_UBU.md)</t>
        </is>
      </c>
      <c r="O115" s="35" t="inlineStr">
        <is>
          <t>Mock</t>
        </is>
      </c>
      <c r="P115" s="35" t="inlineStr">
        <is>
          <t>Mock Rx20 UBU</t>
        </is>
      </c>
    </row>
    <row r="116" ht="13.2" customHeight="1" s="49">
      <c r="A116" s="33" t="n">
        <v>114</v>
      </c>
      <c r="B116" s="34" t="inlineStr">
        <is>
          <t>Pseudoephedrine 60 mg/triprolidine 2.5 mg 1 tab bid pc</t>
        </is>
      </c>
      <c r="C116" s="35" t="n"/>
      <c r="D116" s="34" t="inlineStr">
        <is>
          <t>Epinephrine 0.3 mg IM stat</t>
        </is>
      </c>
      <c r="E116" s="34" t="inlineStr">
        <is>
          <t>Dexamethasone 4 mg IV</t>
        </is>
      </c>
      <c r="F116" s="34" t="inlineStr">
        <is>
          <t>Prednisolone 20 mg OD</t>
        </is>
      </c>
      <c r="G116" s="34" t="inlineStr">
        <is>
          <t>Montelukast 10 mg HS</t>
        </is>
      </c>
      <c r="H116" s="34" t="inlineStr">
        <is>
          <t>Hydroxyzine 25 mg HS</t>
        </is>
      </c>
      <c r="I116" s="33" t="inlineStr">
        <is>
          <t>1</t>
        </is>
      </c>
      <c r="J116"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35" t="n"/>
      <c r="L116" s="34" t="inlineStr">
        <is>
          <t>Allergic rhinitis</t>
        </is>
      </c>
      <c r="M116" s="35" t="inlineStr">
        <is>
          <t>Clinic</t>
        </is>
      </c>
      <c r="N116" s="34" t="inlineStr">
        <is>
          <t>ข้อ 4 (PLE_CC1_Key_Rx20_UBU.md)</t>
        </is>
      </c>
      <c r="O116" s="35" t="inlineStr">
        <is>
          <t>Mock</t>
        </is>
      </c>
      <c r="P116" s="35" t="inlineStr">
        <is>
          <t>Mock Rx20 UBU</t>
        </is>
      </c>
    </row>
    <row r="117" ht="13.2" customHeight="1" s="49">
      <c r="A117" s="33" t="n">
        <v>115</v>
      </c>
      <c r="B117" s="34" t="inlineStr">
        <is>
          <t>Allergic rhinitis ของผู้ป่วยรายนี้มีความรุนแรงระดับใด</t>
        </is>
      </c>
      <c r="C117" s="35" t="n"/>
      <c r="D117" s="34" t="inlineStr">
        <is>
          <t>Mild intermittent</t>
        </is>
      </c>
      <c r="E117" s="34" t="inlineStr">
        <is>
          <t>Mild persistent</t>
        </is>
      </c>
      <c r="F117" s="34" t="inlineStr">
        <is>
          <t>Mild-moderate persistent</t>
        </is>
      </c>
      <c r="G117" s="34" t="inlineStr">
        <is>
          <t>Moderate-severe persistent</t>
        </is>
      </c>
      <c r="H117" s="34" t="inlineStr">
        <is>
          <t>Moderate-severe intermittent และผู้ป่วยเพิ่งมีอาการมา 2 สัปดาห์ ดังแสดงในแผนภูมิด้านล่างนี้</t>
        </is>
      </c>
      <c r="I117" s="33" t="inlineStr">
        <is>
          <t>1</t>
        </is>
      </c>
      <c r="J117" s="34"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35" t="n"/>
      <c r="L117" s="34" t="inlineStr">
        <is>
          <t>Allergic rhinitis</t>
        </is>
      </c>
      <c r="M117" s="35" t="inlineStr">
        <is>
          <t>Clinic</t>
        </is>
      </c>
      <c r="N117" s="34" t="inlineStr">
        <is>
          <t>ข้อ 2 (PLE_CC1_Key_Rx20_UBU.md)</t>
        </is>
      </c>
      <c r="O117" s="35" t="inlineStr">
        <is>
          <t>Mock</t>
        </is>
      </c>
      <c r="P117" s="35" t="inlineStr">
        <is>
          <t>Mock Rx20 UBU</t>
        </is>
      </c>
    </row>
    <row r="118" ht="13.2" customHeight="1" s="49">
      <c r="A118" s="33" t="n">
        <v>116</v>
      </c>
      <c r="B118" s="34" t="inlineStr">
        <is>
          <t>Fexofenadine มีการ metabolism ได้ metabolite ดังภาพ ซึ่งเกิดขึ้นจากปฏิกิริยาใด</t>
        </is>
      </c>
      <c r="C118" s="35" t="n"/>
      <c r="D118" s="34" t="inlineStr">
        <is>
          <t>Deamination</t>
        </is>
      </c>
      <c r="E118" s="34" t="inlineStr">
        <is>
          <t>Dealkylation</t>
        </is>
      </c>
      <c r="F118" s="34" t="inlineStr">
        <is>
          <t>Deacetylation</t>
        </is>
      </c>
      <c r="G118" s="34" t="inlineStr">
        <is>
          <t>Decarboxylation</t>
        </is>
      </c>
      <c r="H118" s="34" t="inlineStr">
        <is>
          <t>Dehydrogenation</t>
        </is>
      </c>
      <c r="I118" s="33" t="inlineStr">
        <is>
          <t>2</t>
        </is>
      </c>
      <c r="J118" s="34" t="inlineStr">
        <is>
          <t>✅ คำตอบที่ถูกต้อง: ข้อ ข. Dealkylation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35" t="n"/>
      <c r="L118" s="34" t="inlineStr">
        <is>
          <t>Allergic rhinitis</t>
        </is>
      </c>
      <c r="M118" s="35" t="inlineStr">
        <is>
          <t>Clinic</t>
        </is>
      </c>
      <c r="N118" s="34" t="inlineStr">
        <is>
          <t>ข้อ 7 (PLE_CC1_Key_Rx20_UBU.md)</t>
        </is>
      </c>
      <c r="O118" s="35" t="inlineStr">
        <is>
          <t>Mock</t>
        </is>
      </c>
      <c r="P118" s="35" t="inlineStr">
        <is>
          <t>Mock Rx20 UBU</t>
        </is>
      </c>
    </row>
    <row r="119" ht="13.2" customHeight="1" s="49">
      <c r="A119" s="33" t="n">
        <v>117</v>
      </c>
      <c r="B119" s="34" t="inlineStr">
        <is>
          <t>ข้อใดมีผลต่อความสม่ำเสมอของยา fexofenadine</t>
        </is>
      </c>
      <c r="C119" s="35" t="n"/>
      <c r="D119" s="34" t="inlineStr">
        <is>
          <t>มุมทรงตัว</t>
        </is>
      </c>
      <c r="E119" s="34" t="inlineStr">
        <is>
          <t>ความพรุนของผงยา</t>
        </is>
      </c>
      <c r="F119" s="34" t="inlineStr">
        <is>
          <t>การทำเป็นแกรนูล</t>
        </is>
      </c>
      <c r="G119" s="34" t="inlineStr">
        <is>
          <t>ความสามารถในการตอกอัด</t>
        </is>
      </c>
      <c r="H119" s="34" t="inlineStr">
        <is>
          <t>การใส่สาร glidant ลงไปในตำรับ</t>
        </is>
      </c>
      <c r="I119" s="33" t="inlineStr">
        <is>
          <t>1</t>
        </is>
      </c>
      <c r="J119" s="34" t="inlineStr">
        <is>
          <t>✅ คำตอบที่ถูกต้อง: ข้อ ก. มุมทรงตัว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35" t="n"/>
      <c r="L119" s="34" t="inlineStr">
        <is>
          <t>Allergic rhinitis</t>
        </is>
      </c>
      <c r="M119" s="35" t="inlineStr">
        <is>
          <t>Clinic</t>
        </is>
      </c>
      <c r="N119" s="34" t="inlineStr">
        <is>
          <t>ข้อ 8 (PLE_CC1_Key_Rx20_UBU.md)</t>
        </is>
      </c>
      <c r="O119" s="35" t="inlineStr">
        <is>
          <t>Mock</t>
        </is>
      </c>
      <c r="P119" s="35" t="inlineStr">
        <is>
          <t>Mock Rx20 UBU</t>
        </is>
      </c>
    </row>
    <row r="120" ht="13.2" customHeight="1" s="49">
      <c r="A120" s="33" t="n">
        <v>118</v>
      </c>
      <c r="B120" s="34" t="inlineStr">
        <is>
          <t>จากรูป โครงสร้างหรือคุณสมบัติใดของ cetirizine ที่ทำให้กินยานี้แล้วไม่ง่วง</t>
        </is>
      </c>
      <c r="C120" s="35" t="n"/>
      <c r="D120" s="34" t="inlineStr">
        <is>
          <t>Acid property</t>
        </is>
      </c>
      <c r="E120" s="34" t="inlineStr">
        <is>
          <t>Basic property</t>
        </is>
      </c>
      <c r="F120" s="34" t="inlineStr">
        <is>
          <t>Amphoteric property</t>
        </is>
      </c>
      <c r="G120" s="34" t="inlineStr">
        <is>
          <t>Aromatic ring</t>
        </is>
      </c>
      <c r="H120" s="34" t="inlineStr">
        <is>
          <t>Electron withdrawing และทำให้ผ่าน BBB น้อยจึงทำให้ส่งผลต่อ CNS side น้อย</t>
        </is>
      </c>
      <c r="I120" s="33" t="inlineStr">
        <is>
          <t>1</t>
        </is>
      </c>
      <c r="J120" s="34" t="inlineStr">
        <is>
          <t>✅ คำตอบที่ถูกต้อง: ข้อ ก. Acid property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35" t="n"/>
      <c r="L120" s="34" t="inlineStr">
        <is>
          <t>Allergic rhinitis</t>
        </is>
      </c>
      <c r="M120" s="35" t="inlineStr">
        <is>
          <t>Clinic</t>
        </is>
      </c>
      <c r="N120" s="34" t="inlineStr">
        <is>
          <t>ข้อ 106 (PLE_CC1_Key_Rx20_UBU.md)</t>
        </is>
      </c>
      <c r="O120" s="35" t="inlineStr">
        <is>
          <t>Mock</t>
        </is>
      </c>
      <c r="P120" s="35" t="inlineStr">
        <is>
          <t>Mock Rx20 UBU</t>
        </is>
      </c>
    </row>
    <row r="121" ht="13.2" customHeight="1" s="49">
      <c r="A121" t="n">
        <v>119</v>
      </c>
      <c r="B121" t="inlineStr">
        <is>
          <t>ค่าผลปฏิบัติการใด มี Specificity สูงที่สุดสำหรับโรค Systemic lupus erythematosus</t>
        </is>
      </c>
      <c r="D121" t="inlineStr">
        <is>
          <t>ANA</t>
        </is>
      </c>
      <c r="E121" t="inlineStr">
        <is>
          <t>Anti-dsDNA</t>
        </is>
      </c>
      <c r="F121" t="inlineStr">
        <is>
          <t>Lupus anticoagulant</t>
        </is>
      </c>
      <c r="G121" t="inlineStr">
        <is>
          <t>ES</t>
        </is>
      </c>
      <c r="H121" t="inlineStr">
        <is>
          <t>Proteinuria คำอธิบาย</t>
        </is>
      </c>
      <c r="I121" t="inlineStr">
        <is>
          <t>2</t>
        </is>
      </c>
      <c r="J121"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1" t="inlineStr">
        <is>
          <t>Hypertension</t>
        </is>
      </c>
      <c r="M121" t="inlineStr">
        <is>
          <t>Clinic</t>
        </is>
      </c>
      <c r="N121" t="inlineStr">
        <is>
          <t>ข้อ 92 (PLE_CC1_Key_Rx20_UBU.md)</t>
        </is>
      </c>
    </row>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Q316"/>
  <sheetViews>
    <sheetView zoomScale="89" workbookViewId="0">
      <pane ySplit="2" topLeftCell="A3" activePane="bottomLeft" state="frozen"/>
      <selection pane="bottomLeft" activeCell="A3" sqref="A3:P316"/>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49">
      <c r="A3" s="37" t="n">
        <v>1</v>
      </c>
      <c r="B3" s="38" t="inlineStr">
        <is>
          <t>ยาปฏิชีวนะกลุ่มใดต่อไปนี้ มีกลไกการออกฤทธิ์โดยการยับยั้งเอนไซม์ DNA gyrase และ Topoisomerase IV ของแบคทีเรีย?</t>
        </is>
      </c>
      <c r="C3" s="38" t="n"/>
      <c r="D3" s="38" t="inlineStr">
        <is>
          <t>Beta-lactams (เช่น Amoxicillin)</t>
        </is>
      </c>
      <c r="E3" s="38" t="inlineStr">
        <is>
          <t>Aminoglycosides (เช่น Gentamicin)</t>
        </is>
      </c>
      <c r="F3" s="38" t="inlineStr">
        <is>
          <t>Fluoroquinolones (เช่น Ciprofloxacin, Levofloxacin)</t>
        </is>
      </c>
      <c r="G3" s="38" t="inlineStr">
        <is>
          <t>Macrolides (เช่น Azithromycin)</t>
        </is>
      </c>
      <c r="H3" s="38" t="inlineStr">
        <is>
          <t>Glycopeptides (เช่น Vancomycin)</t>
        </is>
      </c>
      <c r="I3" s="37" t="inlineStr">
        <is>
          <t>3</t>
        </is>
      </c>
      <c r="J3" s="38"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38" t="n"/>
      <c r="L3" s="39" t="inlineStr">
        <is>
          <t>HIV infection</t>
        </is>
      </c>
      <c r="M3" s="39" t="inlineStr">
        <is>
          <t>Clinic</t>
        </is>
      </c>
      <c r="N3" s="38" t="inlineStr">
        <is>
          <t>Pharmacology</t>
        </is>
      </c>
      <c r="O3" s="39" t="n"/>
      <c r="P3" s="40" t="n"/>
    </row>
    <row r="4" ht="13.2" customHeight="1" s="49">
      <c r="A4" s="37" t="n">
        <v>2</v>
      </c>
      <c r="B4" s="38"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38" t="n"/>
      <c r="D4" s="38" t="inlineStr">
        <is>
          <t>หยุด beta-lactam แต่ยังคง azithromycin เดี่ยว ๆ</t>
        </is>
      </c>
      <c r="E4" s="38" t="inlineStr">
        <is>
          <t>เปลี่ยนเป็น respiratory fluoroquinolone monotherapy เช่น Levofloxacin 750 mg IV/PO วันละครั้ง</t>
        </is>
      </c>
      <c r="F4" s="38" t="inlineStr">
        <is>
          <t>เปลี่ยนเป็น cephalosporin รุ่นที่ 1 (เช่น cefazolin) แทน beta-lactam เดิม</t>
        </is>
      </c>
      <c r="G4" s="38" t="inlineStr">
        <is>
          <t>ให้ desensitization ต่อ penicillin ก่อนเริ่มยาเดิม</t>
        </is>
      </c>
      <c r="H4" s="38" t="inlineStr">
        <is>
          <t>ใช้ norfloxacin แทน เพราะเป็นยากลุ่มเดียวกับ ciprofloxacin</t>
        </is>
      </c>
      <c r="I4" s="37" t="inlineStr">
        <is>
          <t>2</t>
        </is>
      </c>
      <c r="J4" s="38"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38" t="n"/>
      <c r="L4" s="39" t="inlineStr">
        <is>
          <t>Pneumonia</t>
        </is>
      </c>
      <c r="M4" s="39" t="inlineStr">
        <is>
          <t>Clinic</t>
        </is>
      </c>
      <c r="N4" s="38" t="inlineStr">
        <is>
          <t>ข้อ 1.1 Mock Infectious RxCU84</t>
        </is>
      </c>
      <c r="O4" s="39" t="n"/>
      <c r="P4" s="39" t="n"/>
    </row>
    <row r="5" ht="13.2" customHeight="1" s="49">
      <c r="A5" s="37" t="n">
        <v>3</v>
      </c>
      <c r="B5" s="38"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38" t="n"/>
      <c r="D5" s="38" t="inlineStr">
        <is>
          <t>เลี่ยงแสงแดดเพราะเสี่ยง photosensitivity เท่านั้น</t>
        </is>
      </c>
      <c r="E5" s="38" t="inlineStr">
        <is>
          <t>ระวังอาการปวด/บวมบริเวณเอ็น และหลีกเลี่ยงการออกกำลังกายหนักเนื่องจากอายุ &gt;60 ปี เพิ่มความเสี่ยง tendon rupture</t>
        </is>
      </c>
      <c r="F5" s="38" t="inlineStr">
        <is>
          <t>ให้กินยาพร้อมนมเพื่อลดการระคายเคืองกระเพาะอาหาร</t>
        </is>
      </c>
      <c r="G5" s="38" t="inlineStr">
        <is>
          <t>ไม่ต้องกังวลเรื่องใดเป็นพิเศษเพราะผู้ป่วยไม่มีประวัติแพ้ยา</t>
        </is>
      </c>
      <c r="H5" s="38" t="inlineStr">
        <is>
          <t>เพิ่มขนาดยา theophylline ทันทีเพราะ levofloxacin จะลดระดับยาในเลือด</t>
        </is>
      </c>
      <c r="I5" s="37" t="inlineStr">
        <is>
          <t>2</t>
        </is>
      </c>
      <c r="J5" s="38"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8" t="n"/>
      <c r="L5" s="39" t="inlineStr">
        <is>
          <t>Pneumonia</t>
        </is>
      </c>
      <c r="M5" s="39" t="inlineStr">
        <is>
          <t>Clinic</t>
        </is>
      </c>
      <c r="N5" s="38" t="inlineStr">
        <is>
          <t>ข้อ 1.2 Mock Infectious RxCU84</t>
        </is>
      </c>
      <c r="O5" s="39" t="n"/>
      <c r="P5" s="39" t="n"/>
    </row>
    <row r="6" ht="13.2" customHeight="1" s="49">
      <c r="A6" s="37" t="n">
        <v>4</v>
      </c>
      <c r="B6" s="38"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38" t="n"/>
      <c r="D6" s="38" t="inlineStr">
        <is>
          <t>ความเสี่ยง tendon rupture เนื่องจากอายุมากกว่า 60 ปี</t>
        </is>
      </c>
      <c r="E6" s="38" t="inlineStr">
        <is>
          <t>ความเสี่ยงระดับน้ำตาลในเลือดผิดปกติ (dysglycemia) ทั้งภาวะน้ำตาลสูงและต่ำ</t>
        </is>
      </c>
      <c r="F6" s="38" t="inlineStr">
        <is>
          <t>การยับยั้งเอนไซม์ CYP1A2 ทำให้ระดับ metformin ในเลือดสูงขึ้น</t>
        </is>
      </c>
      <c r="G6" s="38" t="inlineStr">
        <is>
          <t>ความเสี่ยง Fanconi syndrome จากยาหมดอายุ</t>
        </is>
      </c>
      <c r="H6" s="38" t="inlineStr">
        <is>
          <t>การเกิด pseudomembranous colitis จาก C. difficile</t>
        </is>
      </c>
      <c r="I6" s="37" t="inlineStr">
        <is>
          <t>2</t>
        </is>
      </c>
      <c r="J6" s="38"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38" t="n"/>
      <c r="L6" s="39" t="inlineStr">
        <is>
          <t>Pneumonia</t>
        </is>
      </c>
      <c r="M6" s="39" t="inlineStr">
        <is>
          <t>Clinic</t>
        </is>
      </c>
      <c r="N6" s="38" t="inlineStr">
        <is>
          <t>ข้อ 1.3 Mock Infectious RxCU84</t>
        </is>
      </c>
      <c r="O6" s="39" t="n"/>
      <c r="P6" s="39" t="n"/>
    </row>
    <row r="7" ht="13.2" customHeight="1" s="49">
      <c r="A7" s="37" t="n">
        <v>5</v>
      </c>
      <c r="B7" s="38"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38" t="n"/>
      <c r="D7" s="38" t="inlineStr">
        <is>
          <t>Levofloxacin ต้องปรับตามการทำงานของไต ส่วน moxifloxacin ต้องระวังในตับวายและไม่ใช้รักษาโรคติดเชื้อทางเดินปัสสาวะ</t>
        </is>
      </c>
      <c r="E7" s="38" t="inlineStr">
        <is>
          <t>ทั้งสองตัวต้องปรับขนาดตามไตในระดับเดียวกัน</t>
        </is>
      </c>
      <c r="F7" s="38" t="inlineStr">
        <is>
          <t>Moxifloxacin ต้องปรับตามไต ส่วน levofloxacin ไม่ต้องปรับเลย</t>
        </is>
      </c>
      <c r="G7" s="38" t="inlineStr">
        <is>
          <t>ทั้งสองตัวไม่จำเป็นต้องปรับขนาดยาในผู้สูงอายุ</t>
        </is>
      </c>
      <c r="H7" s="38" t="inlineStr">
        <is>
          <t>Levofloxacin มีความเสี่ยง QT prolongation สูงกว่า moxifloxacin</t>
        </is>
      </c>
      <c r="I7" s="37" t="inlineStr">
        <is>
          <t>1</t>
        </is>
      </c>
      <c r="J7" s="38"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38" t="n"/>
      <c r="L7" s="39" t="inlineStr">
        <is>
          <t>Pneumonia</t>
        </is>
      </c>
      <c r="M7" s="39" t="inlineStr">
        <is>
          <t>Clinic</t>
        </is>
      </c>
      <c r="N7" s="38" t="inlineStr">
        <is>
          <t>ข้อ 1.4 Mock Infectious RxCU84</t>
        </is>
      </c>
      <c r="O7" s="39" t="n"/>
      <c r="P7" s="39" t="n"/>
    </row>
    <row r="8" ht="13.2" customHeight="1" s="49">
      <c r="A8" s="37" t="n">
        <v>6</v>
      </c>
      <c r="B8" s="38"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38" t="n"/>
      <c r="D8" s="38" t="inlineStr">
        <is>
          <t>Peripheral neuropathy ซึ่งพบเฉพาะในเด็ก</t>
        </is>
      </c>
      <c r="E8" s="38" t="inlineStr">
        <is>
          <t>Tendinitis/tendon rupture โดยเฉพาะในผู้มีอายุมากกว่า 60 ปี</t>
        </is>
      </c>
      <c r="F8" s="38" t="inlineStr">
        <is>
          <t>Tooth discoloration ถาวร</t>
        </is>
      </c>
      <c r="G8" s="38" t="inlineStr">
        <is>
          <t>Ototoxicity ที่ไม่สามารถย้อนกลับได้</t>
        </is>
      </c>
      <c r="H8" s="38" t="inlineStr">
        <is>
          <t>Fanconi syndrome</t>
        </is>
      </c>
      <c r="I8" s="37" t="inlineStr">
        <is>
          <t>2</t>
        </is>
      </c>
      <c r="J8" s="38" t="inlineStr">
        <is>
          <t>✅ คำตอบที่ถูกต้อง: ข้อ ข. Tendinitis/tendon rupture โดยเฉพาะในผู้มีอายุมากกว่า 60 ปี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38" t="n"/>
      <c r="L8" s="39" t="inlineStr">
        <is>
          <t>Pneumonia</t>
        </is>
      </c>
      <c r="M8" s="39" t="inlineStr">
        <is>
          <t>Clinic</t>
        </is>
      </c>
      <c r="N8" s="38" t="inlineStr">
        <is>
          <t>ข้อ 1.5 Mock Infectious RxCU84</t>
        </is>
      </c>
      <c r="O8" s="39" t="n"/>
      <c r="P8" s="39" t="n"/>
    </row>
    <row r="9" ht="13.2" customHeight="1" s="49">
      <c r="A9" s="37" t="n">
        <v>7</v>
      </c>
      <c r="B9" s="38"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38" t="n"/>
      <c r="D9" s="38" t="inlineStr">
        <is>
          <t>0 คะแนน ให้ยาปฏิชีวนะได้ทันที</t>
        </is>
      </c>
      <c r="E9" s="38" t="inlineStr">
        <is>
          <t>1 คะแนน แนะนำรักษาตามอาการและไม่จ่ายยาปฏิชีวนะ</t>
        </is>
      </c>
      <c r="F9" s="38" t="inlineStr">
        <is>
          <t>2 คะแนน ควรส่งตรวจ RADT ก่อนให้ยา</t>
        </is>
      </c>
      <c r="G9" s="38" t="inlineStr">
        <is>
          <t>3 คะแนน พิจารณาให้ Azithromycin นาน 5 วัน</t>
        </is>
      </c>
      <c r="H9" s="38" t="inlineStr">
        <is>
          <t>4 คะแนน พิจารณาให้ Amoxicillin นาน 10 วัน</t>
        </is>
      </c>
      <c r="I9" s="37" t="inlineStr">
        <is>
          <t>2</t>
        </is>
      </c>
      <c r="J9" s="38" t="inlineStr">
        <is>
          <t>✅ คำตอบที่ถูกต้อง: ข้อ ข. 1 คะแนน แนะนำรักษาตามอาการและไม่จ่ายยาปฏิชีวนะ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38" t="n"/>
      <c r="L9" s="39" t="inlineStr">
        <is>
          <t>URTI</t>
        </is>
      </c>
      <c r="M9" s="39" t="inlineStr">
        <is>
          <t>Clinic</t>
        </is>
      </c>
      <c r="N9" s="38" t="inlineStr">
        <is>
          <t>ข้อ 2.1 Mock Infectious RxCU84</t>
        </is>
      </c>
      <c r="O9" s="39" t="n"/>
      <c r="P9" s="39" t="n"/>
    </row>
    <row r="10" ht="13.2" customHeight="1" s="49">
      <c r="A10" s="37" t="n">
        <v>8</v>
      </c>
      <c r="B10" s="38"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38" t="n"/>
      <c r="D10" s="38" t="inlineStr">
        <is>
          <t>จ่าย Amoxicillin ตามความต้องการเพื่อเพิ่มความพึงพอใจและป้องกันโรคแทรกซ้อน</t>
        </is>
      </c>
      <c r="E10" s="38" t="inlineStr">
        <is>
          <t>อธิบายว่าอาการเจ็บคอจากไวรัสต้องใช้ Amoxicillin ควบคู่กับน้ำเกลือล้างจมูก</t>
        </is>
      </c>
      <c r="F10" s="38"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38" t="inlineStr">
        <is>
          <t>แนะนำให้ผู้ป่วยเปลี่ยนไปใช้ยาปฏิชีวนะกลุ่มที่แรงกว่า เช่น Roxithromycin เพื่อให้หายไวขึ้น</t>
        </is>
      </c>
      <c r="H10" s="38" t="inlineStr">
        <is>
          <t>แนะนำให้ผู้ป่วยตรวจ ATK และไปโรงพยาบาลเนื่องจากอาการเข้าข่าย Covid-19</t>
        </is>
      </c>
      <c r="I10" s="37" t="inlineStr">
        <is>
          <t>3</t>
        </is>
      </c>
      <c r="J10" s="38"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38" t="n"/>
      <c r="L10" s="39" t="inlineStr">
        <is>
          <t>URTI</t>
        </is>
      </c>
      <c r="M10" s="39" t="inlineStr">
        <is>
          <t>Clinic</t>
        </is>
      </c>
      <c r="N10" s="38" t="inlineStr">
        <is>
          <t>ข้อ 2.2 Mock Infectious RxCU84</t>
        </is>
      </c>
      <c r="O10" s="39" t="n"/>
      <c r="P10" s="39" t="n"/>
    </row>
    <row r="11" ht="13.2" customHeight="1" s="49">
      <c r="A11" s="37" t="n">
        <v>9</v>
      </c>
      <c r="B11" s="38"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38" t="n"/>
      <c r="D11" s="38" t="inlineStr">
        <is>
          <t>งดอาหารทุกชนิดก่อนกินยาอย่างน้อย 1 ชั่วโมงเสมอ</t>
        </is>
      </c>
      <c r="E11" s="38" t="inlineStr">
        <is>
          <t>ดื่มน้ำเต็มแก้ว ไม่นอนราบทันทีหลังกินยาอย่างน้อย 30 นาที และเลี่ยงนม/ยาลดกรด/ธาตุเหล็กใกล้เวลากินยา</t>
        </is>
      </c>
      <c r="F11" s="38" t="inlineStr">
        <is>
          <t>ต้องกินคู่กับนมเสมอเพื่อลดการระคายเคืองกระเพาะ</t>
        </is>
      </c>
      <c r="G11" s="38" t="inlineStr">
        <is>
          <t>ไม่มีข้อจำกัดเรื่องอาหารเลย เพราะ doxycycline ถูกรบกวนการดูดซึมจากอาหารเท่ากับ tetracycline รุ่นเก่า</t>
        </is>
      </c>
      <c r="H11" s="38" t="inlineStr">
        <is>
          <t>ต้องกินก่อนอาหารเท่านั้นห้ามกินหลังอาหาร</t>
        </is>
      </c>
      <c r="I11" s="37" t="inlineStr">
        <is>
          <t>2</t>
        </is>
      </c>
      <c r="J11" s="38"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38" t="n"/>
      <c r="L11" s="39" t="inlineStr">
        <is>
          <t>HIV infection</t>
        </is>
      </c>
      <c r="M11" s="39" t="inlineStr">
        <is>
          <t>Clinic</t>
        </is>
      </c>
      <c r="N11" s="38" t="inlineStr">
        <is>
          <t>ข้อ 2.3 Mock Infectious RxCU84</t>
        </is>
      </c>
      <c r="O11" s="39" t="n"/>
      <c r="P11" s="39" t="n"/>
    </row>
    <row r="12" ht="13.2" customHeight="1" s="49">
      <c r="A12" s="37" t="n">
        <v>10</v>
      </c>
      <c r="B12" s="38"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38" t="n"/>
      <c r="D12" s="38" t="inlineStr">
        <is>
          <t>ยับยั้ง DNA gyrase/topoisomerase IV ของแบคทีเรีย ซึ่งเป็นเป้าหมายที่ไม่มีอยู่ในไวรัส</t>
        </is>
      </c>
      <c r="E12" s="38" t="inlineStr">
        <is>
          <t>ยับยั้ง 30S ribosomal subunit ของไวรัส</t>
        </is>
      </c>
      <c r="F12" s="38" t="inlineStr">
        <is>
          <t>ยับยั้งการสร้าง capsid ของไวรัสโดยตรง</t>
        </is>
      </c>
      <c r="G12" s="38" t="inlineStr">
        <is>
          <t>ออกฤทธิ์เป็น bacteriostatic เท่านั้น จึงไม่มีฤทธิ์ฆ่าเชื้อใดๆ</t>
        </is>
      </c>
      <c r="H12" s="38" t="inlineStr">
        <is>
          <t>ต้องใช้ร่วมกับ macrolide เสมอจึงจะออกฤทธิ์ต่อไวรัสได้</t>
        </is>
      </c>
      <c r="I12" s="37" t="inlineStr">
        <is>
          <t>1</t>
        </is>
      </c>
      <c r="J12" s="38"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8" t="n"/>
      <c r="L12" s="39" t="inlineStr">
        <is>
          <t>URTI</t>
        </is>
      </c>
      <c r="M12" s="39" t="inlineStr">
        <is>
          <t>Clinic</t>
        </is>
      </c>
      <c r="N12" s="38" t="inlineStr">
        <is>
          <t>ข้อ 2.4 Mock Infectious RxCU84</t>
        </is>
      </c>
      <c r="O12" s="39" t="n"/>
      <c r="P12" s="39" t="n"/>
    </row>
    <row r="13" ht="13.2" customHeight="1" s="49">
      <c r="A13" s="37" t="n">
        <v>11</v>
      </c>
      <c r="B13" s="38"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38" t="n"/>
      <c r="D13" s="38" t="inlineStr">
        <is>
          <t>Oseltamivir 75 mg BID นาน 5 วัน</t>
        </is>
      </c>
      <c r="E13" s="38" t="inlineStr">
        <is>
          <t>Baloxavir marboxil 40 mg single dose</t>
        </is>
      </c>
      <c r="F13" s="38" t="inlineStr">
        <is>
          <t>Favipiravir 1,600 mg BID วันแรก</t>
        </is>
      </c>
      <c r="G13" s="38" t="inlineStr">
        <is>
          <t>Oseltamivir 150 mg BID นาน 5 วัน</t>
        </is>
      </c>
      <c r="H13" s="38" t="inlineStr">
        <is>
          <t>Amoxicillin/Clavulanate 1,000 mg BID นาน 10 วัน</t>
        </is>
      </c>
      <c r="I13" s="37" t="inlineStr">
        <is>
          <t>1</t>
        </is>
      </c>
      <c r="J13" s="38"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38" t="n"/>
      <c r="L13" s="39" t="inlineStr">
        <is>
          <t>HIV infection</t>
        </is>
      </c>
      <c r="M13" s="39" t="inlineStr">
        <is>
          <t>Clinic</t>
        </is>
      </c>
      <c r="N13" s="38" t="inlineStr">
        <is>
          <t>ข้อ 3.1 Mock Infectious RxCU84</t>
        </is>
      </c>
      <c r="O13" s="39" t="n"/>
      <c r="P13" s="39" t="n"/>
    </row>
    <row r="14" ht="13.2" customHeight="1" s="49">
      <c r="A14" s="37" t="n">
        <v>12</v>
      </c>
      <c r="B14" s="38"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38" t="n"/>
      <c r="D14" s="38" t="inlineStr">
        <is>
          <t>หญิงตั้งครรภ์มีความเสี่ยงต่อภาวะแทรกซ้อนเท่ากับคนปกติทั่วไป จึงไม่ต้องกังวลเป็นพิเศษ</t>
        </is>
      </c>
      <c r="E14" s="38" t="inlineStr">
        <is>
          <t>แนะนำให้พ่นวัคซีนป้องกันไข้หวัดใหญ่ชนิดเชื้ออ่อนฤทธิ์ (LAIV) ทันทีหลังหายป่วย</t>
        </is>
      </c>
      <c r="F14" s="38" t="inlineStr">
        <is>
          <t>วัคซีนไข้หวัดใหญ่ชนิดเชื้อตาย (IIV) สามารถฉีดได้ทุกไตรมาสของการตั้งครรภ์เพื่อป้องกันความรุนแรงของโรค</t>
        </is>
      </c>
      <c r="G14" s="38" t="inlineStr">
        <is>
          <t>หากคนในครอบครัวสัมผัสโรค แนะนำให้รับประทานยา Oseltamivir ป้องกันทันทีก่อนเริ่มมีอาการ</t>
        </is>
      </c>
      <c r="H14" s="38" t="inlineStr">
        <is>
          <t>[NEED_REVIEW]</t>
        </is>
      </c>
      <c r="I14" s="37" t="inlineStr">
        <is>
          <t>3</t>
        </is>
      </c>
      <c r="J14" s="38"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38" t="n"/>
      <c r="L14" s="39" t="inlineStr">
        <is>
          <t>URTI</t>
        </is>
      </c>
      <c r="M14" s="39" t="inlineStr">
        <is>
          <t>Clinic</t>
        </is>
      </c>
      <c r="N14" s="38" t="inlineStr">
        <is>
          <t>ข้อ 3.2 Mock Infectious RxCU84</t>
        </is>
      </c>
      <c r="O14" s="39" t="n"/>
      <c r="P14" s="39" t="n"/>
    </row>
    <row r="15" ht="13.2" customHeight="1" s="49">
      <c r="A15" s="37" t="n">
        <v>13</v>
      </c>
      <c r="B15" s="38"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38" t="n"/>
      <c r="D15" s="38" t="inlineStr">
        <is>
          <t>Acute uncomplicated cystitis</t>
        </is>
      </c>
      <c r="E15" s="38" t="inlineStr">
        <is>
          <t>Acute complicated cystitis</t>
        </is>
      </c>
      <c r="F15" s="38" t="inlineStr">
        <is>
          <t>Acute uncomplicated pyelonephritis</t>
        </is>
      </c>
      <c r="G15" s="38" t="inlineStr">
        <is>
          <t>Complicated urinary tract infection</t>
        </is>
      </c>
      <c r="H15" s="38" t="inlineStr">
        <is>
          <t>Asymptomatic bacteriuria</t>
        </is>
      </c>
      <c r="I15" s="37" t="inlineStr">
        <is>
          <t>1</t>
        </is>
      </c>
      <c r="J15" s="38"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38" t="n"/>
      <c r="L15" s="39" t="inlineStr">
        <is>
          <t>Cystitis</t>
        </is>
      </c>
      <c r="M15" s="39" t="inlineStr">
        <is>
          <t>Clinic</t>
        </is>
      </c>
      <c r="N15" s="38" t="inlineStr">
        <is>
          <t>ข้อ 4.1 Mock Infectious RxCU84</t>
        </is>
      </c>
      <c r="O15" s="39" t="n"/>
      <c r="P15" s="39" t="n"/>
    </row>
    <row r="16" ht="13.2" customHeight="1" s="49">
      <c r="A16" s="37" t="n">
        <v>14</v>
      </c>
      <c r="B16" s="38"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38" t="n"/>
      <c r="D16" s="38" t="inlineStr">
        <is>
          <t>Ciprofloxacin 500 mg รับประทานวันละ 2 ครั้ง เป็นเวลา 7 วัน</t>
        </is>
      </c>
      <c r="E16" s="38" t="inlineStr">
        <is>
          <t>Nitrofurantoin monohydrate/macrocrystals 100 mg รับประทานวันละ 2 ครั้ง พร้อมอาหาร เป็นเวลา 5 วัน</t>
        </is>
      </c>
      <c r="F16" s="38" t="inlineStr">
        <is>
          <t>Amoxicillin 500 mg รับประทานวันละ 3 ครั้ง หลังอาหาร เป็นเวลา 7 วัน</t>
        </is>
      </c>
      <c r="G16" s="38" t="inlineStr">
        <is>
          <t>Ceftriaxone 1 g ฉีดเข้าหลอดเลือดดำ ครั้งเดียว</t>
        </is>
      </c>
      <c r="H16" s="38" t="inlineStr">
        <is>
          <t>Norfloxacin 400 mg รับประทานวันละ 2 ครั้ง ก่อนอาหาร เป็นเวลา 3 วัน</t>
        </is>
      </c>
      <c r="I16" s="37" t="inlineStr">
        <is>
          <t>2</t>
        </is>
      </c>
      <c r="J16" s="38" t="inlineStr">
        <is>
          <t>✅ คำตอบที่ถูกต้อง: ข้อ ข. Nitrofurantoin monohydrate/macrocrystals 100 mg รับประทานวันละ 2 ครั้ง พร้อมอาหาร เป็นเวลา 5 วัน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38" t="n"/>
      <c r="L16" s="39" t="inlineStr">
        <is>
          <t>Cystitis</t>
        </is>
      </c>
      <c r="M16" s="39" t="inlineStr">
        <is>
          <t>Clinic</t>
        </is>
      </c>
      <c r="N16" s="38" t="inlineStr">
        <is>
          <t>ข้อ 4.2 Mock Infectious RxCU84</t>
        </is>
      </c>
      <c r="O16" s="39" t="n"/>
      <c r="P16" s="39" t="n"/>
    </row>
    <row r="17" ht="13.2" customHeight="1" s="49">
      <c r="A17" s="37" t="n">
        <v>15</v>
      </c>
      <c r="B17" s="38"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38" t="n"/>
      <c r="D17" s="38" t="inlineStr">
        <is>
          <t>ละลายผงยาในน้ำอุ่น ดื่มทันทีพร้อมอาหารเช้าวันละ 1 ครั้ง ติดต่อกัน 3 วัน</t>
        </is>
      </c>
      <c r="E17" s="38" t="inlineStr">
        <is>
          <t>ละลายผงยาในน้ำเย็นหรือน้ำอุณหภูมิห้อง ดื่มครั้งเดียวตอนท้องว่าง (หรือก่อนนอนหลังจากปัสสาวะแล้ว)</t>
        </is>
      </c>
      <c r="F17" s="38" t="inlineStr">
        <is>
          <t>รับประทานร่วมกับยาลดกรดชนิดน้ำเพื่อป้องกันอาการกัดกระเพาะอาหาร</t>
        </is>
      </c>
      <c r="G17" s="38" t="inlineStr">
        <is>
          <t>แบ่งละลายยาครึ่งซอง (1.5 g) ดื่มเช้าและเย็นหลังอาหาร</t>
        </is>
      </c>
      <c r="H17" s="38" t="inlineStr">
        <is>
          <t>ละลายยาในนมหรือน้ำผลไม้เพื่อช่วยเพิ่มการดูดซึมยาเข้าสู่ร่างกาย</t>
        </is>
      </c>
      <c r="I17" s="37" t="inlineStr">
        <is>
          <t>2</t>
        </is>
      </c>
      <c r="J17" s="38"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8" t="n"/>
      <c r="L17" s="39" t="inlineStr">
        <is>
          <t>Cystitis</t>
        </is>
      </c>
      <c r="M17" s="39" t="inlineStr">
        <is>
          <t>Clinic</t>
        </is>
      </c>
      <c r="N17" s="38" t="inlineStr">
        <is>
          <t>ข้อ 4.3 Mock Infectious RxCU84</t>
        </is>
      </c>
      <c r="O17" s="39" t="n"/>
      <c r="P17" s="39" t="n"/>
    </row>
    <row r="18" ht="13.2" customHeight="1" s="49">
      <c r="A18" s="37" t="n">
        <v>16</v>
      </c>
      <c r="B18" s="38"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38" t="n"/>
      <c r="D18" s="38" t="inlineStr">
        <is>
          <t>Ciprofloxacin เพราะยับยั้งเอนไซม์ CYP1A2</t>
        </is>
      </c>
      <c r="E18" s="38" t="inlineStr">
        <is>
          <t>Norfloxacin เพราะดูดซึมทางปากไม่ดี</t>
        </is>
      </c>
      <c r="F18" s="38" t="inlineStr">
        <is>
          <t>Moxifloxacin เพราะขับออกทางไตน้อย ไม่ได้ความเข้มข้นเพียงพอในปัสสาวะ</t>
        </is>
      </c>
      <c r="G18" s="38" t="inlineStr">
        <is>
          <t>Levofloxacin เพราะใช้รักษาเฉพาะโรคปอดเท่านั้น</t>
        </is>
      </c>
      <c r="H18" s="38" t="inlineStr">
        <is>
          <t>Gemifloxacin เพราะไม่มีฤทธิ์ต่อเชื้อแกรมลบเลย</t>
        </is>
      </c>
      <c r="I18" s="37" t="inlineStr">
        <is>
          <t>3</t>
        </is>
      </c>
      <c r="J18" s="38"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8" t="n"/>
      <c r="L18" s="39" t="inlineStr">
        <is>
          <t>Cystitis</t>
        </is>
      </c>
      <c r="M18" s="39" t="inlineStr">
        <is>
          <t>Clinic</t>
        </is>
      </c>
      <c r="N18" s="38" t="inlineStr">
        <is>
          <t>ข้อ 4.4 Mock Infectious RxCU84</t>
        </is>
      </c>
      <c r="O18" s="39" t="n"/>
      <c r="P18" s="39" t="n"/>
    </row>
    <row r="19" ht="13.2" customHeight="1" s="49">
      <c r="A19" s="37" t="n">
        <v>17</v>
      </c>
      <c r="B19" s="38"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38" t="n"/>
      <c r="D19" s="38" t="inlineStr">
        <is>
          <t>ไม่มีความสำคัญ เพราะ fluoroquinolone ยังคงได้ผลดีเท่ากันในทุกภูมิภาคของโลก</t>
        </is>
      </c>
      <c r="E19" s="38"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38" t="inlineStr">
        <is>
          <t>ทำให้ต้องปรับขนาดยาตามการทำงานของตับเป็นพิเศษ</t>
        </is>
      </c>
      <c r="G19" s="38" t="inlineStr">
        <is>
          <t>เพิ่มความเสี่ยง tendon rupture จากสภาพอากาศร้อนระหว่างเดินทาง</t>
        </is>
      </c>
      <c r="H19" s="38" t="inlineStr">
        <is>
          <t>ทำให้ต้องหลีกเลี่ยงยากลุ่มนี้เฉพาะในหญิงตั้งครรภ์เท่านั้น</t>
        </is>
      </c>
      <c r="I19" s="37" t="inlineStr">
        <is>
          <t>2</t>
        </is>
      </c>
      <c r="J19" s="38"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38" t="n"/>
      <c r="L19" s="39" t="inlineStr">
        <is>
          <t>Cystitis</t>
        </is>
      </c>
      <c r="M19" s="39" t="inlineStr">
        <is>
          <t>Clinic</t>
        </is>
      </c>
      <c r="N19" s="38" t="inlineStr">
        <is>
          <t>ข้อ 4.5 Mock Infectious RxCU84</t>
        </is>
      </c>
      <c r="O19" s="39" t="n"/>
      <c r="P19" s="39" t="n"/>
    </row>
    <row r="20" ht="13.2" customHeight="1" s="49">
      <c r="A20" s="37" t="n">
        <v>18</v>
      </c>
      <c r="B20" s="38"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38" t="n"/>
      <c r="D20" s="38" t="inlineStr">
        <is>
          <t>กินพร้อมกันได้เลย ไม่มีปฏิกิริยาต่อกัน</t>
        </is>
      </c>
      <c r="E20" s="38" t="inlineStr">
        <is>
          <t>เว้นระยะห่างระหว่างกิน norfloxacin กับแคลเซียมเสริมอย่างน้อย 2 ชั่วโมง</t>
        </is>
      </c>
      <c r="F20" s="38" t="inlineStr">
        <is>
          <t>ให้หยุดกินแคลเซียมเสริมถาวรตลอดชีวิต</t>
        </is>
      </c>
      <c r="G20" s="38" t="inlineStr">
        <is>
          <t>เปลี่ยนไปใช้แคลเซียมชนิดฉีดแทนทันที</t>
        </is>
      </c>
      <c r="H20" s="38" t="inlineStr">
        <is>
          <t>ให้กินแคลเซียมพร้อมยาเพื่อลดการระคายเคืองกระเพาะจาก norfloxacin</t>
        </is>
      </c>
      <c r="I20" s="37" t="inlineStr">
        <is>
          <t>2</t>
        </is>
      </c>
      <c r="J20" s="38"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8" t="n"/>
      <c r="L20" s="39" t="inlineStr">
        <is>
          <t>Cystitis</t>
        </is>
      </c>
      <c r="M20" s="39" t="inlineStr">
        <is>
          <t>Clinic</t>
        </is>
      </c>
      <c r="N20" s="38" t="inlineStr">
        <is>
          <t>ข้อ 4.6 Mock Infectious RxCU84</t>
        </is>
      </c>
      <c r="O20" s="39" t="n"/>
      <c r="P20" s="39" t="n"/>
    </row>
    <row r="21" ht="13.2" customHeight="1" s="49">
      <c r="A21" s="37" t="n">
        <v>19</v>
      </c>
      <c r="B21" s="38"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38" t="n"/>
      <c r="D21" s="38" t="inlineStr">
        <is>
          <t>จ่ายยาปฏิชีวนะทันที เนื่องจากมีไข้และระดับความปวดสูง</t>
        </is>
      </c>
      <c r="E21" s="38" t="inlineStr">
        <is>
          <t>จ่าย Amoxicillin-Clavulanate ทันที เนื่องจากผู้ป่วยเริ่มรับประทานอาหารได้น้อยลง</t>
        </is>
      </c>
      <c r="F21" s="38" t="inlineStr">
        <is>
          <t>แนะนำการจัดการความเจ็บปวดเป็นอันดับแรก และพิจารณาเฝ้าสังเกตอาการ (Watchful waiting) 48-72 ชั่วโมง</t>
        </is>
      </c>
      <c r="G21" s="38" t="inlineStr">
        <is>
          <t>ส่งต่อโรงพยาบาลทันที เนื่องจากเสี่ยงต่อภาวะเยื่อหุ้มสมองอักเสบแทรกซ้อน</t>
        </is>
      </c>
      <c r="H21" s="38" t="inlineStr">
        <is>
          <t>แนะนำให้ใช้ยาหยอดหูที่มีส่วนผสมของยาปฏิชีวนะร่วมกับยาลดไข้</t>
        </is>
      </c>
      <c r="I21" s="37" t="inlineStr">
        <is>
          <t>3</t>
        </is>
      </c>
      <c r="J21" s="38"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38" t="n"/>
      <c r="L21" s="39" t="inlineStr">
        <is>
          <t>HIV infection</t>
        </is>
      </c>
      <c r="M21" s="39" t="inlineStr">
        <is>
          <t>Clinic</t>
        </is>
      </c>
      <c r="N21" s="38" t="inlineStr">
        <is>
          <t>ข้อ 5.1 Mock Infectious RxCU84</t>
        </is>
      </c>
      <c r="O21" s="39" t="n"/>
      <c r="P21" s="39" t="n"/>
    </row>
    <row r="22" ht="13.2" customHeight="1" s="49">
      <c r="A22" s="37" t="n">
        <v>20</v>
      </c>
      <c r="B22" s="38"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38" t="n"/>
      <c r="D22" s="38" t="inlineStr">
        <is>
          <t>Amoxicillin 40-50 mg/kg/day นาน 5 วัน</t>
        </is>
      </c>
      <c r="E22" s="38" t="inlineStr">
        <is>
          <t>Amoxicillin 80-90 mg/kg/day นาน 7 วัน</t>
        </is>
      </c>
      <c r="F22" s="38" t="inlineStr">
        <is>
          <t>Amoxicillin-Clavulanate 90 mg/kg/day นาน 10 วัน</t>
        </is>
      </c>
      <c r="G22" s="38" t="inlineStr">
        <is>
          <t>Azithromycin 10 mg/kg วันแรก ตามด้วย 5 mg/kg อีก 4 วัน</t>
        </is>
      </c>
      <c r="H22" s="38" t="inlineStr">
        <is>
          <t>Cephalexin 50 mg/kg/day นาน 10 วัน</t>
        </is>
      </c>
      <c r="I22" s="37" t="inlineStr">
        <is>
          <t>2</t>
        </is>
      </c>
      <c r="J22" s="38"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38" t="n"/>
      <c r="L22" s="39" t="inlineStr">
        <is>
          <t>HIV infection</t>
        </is>
      </c>
      <c r="M22" s="39" t="inlineStr">
        <is>
          <t>Clinic</t>
        </is>
      </c>
      <c r="N22" s="38" t="inlineStr">
        <is>
          <t>ข้อ 5.2 Mock Infectious RxCU84</t>
        </is>
      </c>
      <c r="O22" s="39" t="n"/>
      <c r="P22" s="39" t="n"/>
    </row>
    <row r="23" ht="13.2" customHeight="1" s="49">
      <c r="A23" s="37" t="n">
        <v>21</v>
      </c>
      <c r="B23" s="38"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38" t="n"/>
      <c r="D23" s="38" t="inlineStr">
        <is>
          <t>ให้รับประทานยาปฏิชีวนะต่อไปจนครบ 3 วันเพื่อดูการตอบสนองของยาอีกครั้ง</t>
        </is>
      </c>
      <c r="E23" s="38" t="inlineStr">
        <is>
          <t>สั่งให้หยุดยาปฏิชีวนะทันทีและรีบส่งตัวผู้ป่วยไปยังห้องฉุกเฉินของโรงพยาบาลโดยด่วน</t>
        </is>
      </c>
      <c r="F23" s="38" t="inlineStr">
        <is>
          <t>แนะนำให้ใช้ยาฆ่าเชื้อชนิดทาบริเวณผิวหนังที่พุพองและใช้ยาป้ายปากเพื่อรักษาแผลเปื่อย</t>
        </is>
      </c>
      <c r="G23" s="38" t="inlineStr">
        <is>
          <t>อาการแผลเปื่อยรอบปากเป็นอาการปกติของการติดเชื้อไวรัสซ้ำซ้อน ไม่เกี่ยวข้องกับยาปฏิชีวนะ</t>
        </is>
      </c>
      <c r="H23" s="38" t="inlineStr">
        <is>
          <t>ให้ Antihistamine ขนาดสูงเพื่อยับยั้งอาการ และเช็ดตัวบ่อยๆ พร้อมเฝ้าดูอาการต่อที่บ้าน 24 ชั่วโมง</t>
        </is>
      </c>
      <c r="I23" s="37" t="inlineStr">
        <is>
          <t>2</t>
        </is>
      </c>
      <c r="J23" s="38"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38" t="n"/>
      <c r="L23" s="39" t="inlineStr">
        <is>
          <t>HIV infection</t>
        </is>
      </c>
      <c r="M23" s="39" t="inlineStr">
        <is>
          <t>Clinic</t>
        </is>
      </c>
      <c r="N23" s="38" t="inlineStr">
        <is>
          <t>ข้อ 5.3 Mock Infectious RxCU84</t>
        </is>
      </c>
      <c r="O23" s="39" t="n"/>
      <c r="P23" s="39" t="n"/>
    </row>
    <row r="24" ht="13.2" customHeight="1" s="49">
      <c r="A24" s="37" t="n">
        <v>22</v>
      </c>
      <c r="B24" s="38"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38" t="n"/>
      <c r="D24" s="38" t="inlineStr">
        <is>
          <t>เสี่ยงฟันเปลี่ยนสีถาวรและกดการเจริญเติบโตของกระดูก เนื่องจากยาจับกับแคลเซียมในกระดูก/ฟันที่กำลังสร้าง</t>
        </is>
      </c>
      <c r="E24" s="38" t="inlineStr">
        <is>
          <t>เสี่ยง tendon rupture สูงเป็นพิเศษในเด็ก</t>
        </is>
      </c>
      <c r="F24" s="38" t="inlineStr">
        <is>
          <t>เสี่ยง ototoxicity ถาวรในเด็กเล็กโดยเฉพาะ</t>
        </is>
      </c>
      <c r="G24" s="38" t="inlineStr">
        <is>
          <t>เสี่ยง QT prolongation รุนแรงกว่าผู้ใหญ่มาก</t>
        </is>
      </c>
      <c r="H24" s="38" t="inlineStr">
        <is>
          <t>ไม่มีรูปแบบยาน้ำสำหรับเด็กเล็ก</t>
        </is>
      </c>
      <c r="I24" s="37" t="inlineStr">
        <is>
          <t>1</t>
        </is>
      </c>
      <c r="J24" s="38"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38" t="n"/>
      <c r="L24" s="39" t="inlineStr">
        <is>
          <t>Cystitis</t>
        </is>
      </c>
      <c r="M24" s="39" t="inlineStr">
        <is>
          <t>Clinic</t>
        </is>
      </c>
      <c r="N24" s="38" t="inlineStr">
        <is>
          <t>ข้อ 5.4 Mock Infectious RxCU84</t>
        </is>
      </c>
      <c r="O24" s="39" t="n"/>
      <c r="P24" s="39" t="n"/>
    </row>
    <row r="25" ht="13.2" customHeight="1" s="49">
      <c r="A25" s="37" t="n">
        <v>23</v>
      </c>
      <c r="B25" s="38"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38" t="n"/>
      <c r="D25" s="38" t="inlineStr">
        <is>
          <t>Gentamicin — ครอบคลุม H. influenzae ได้ดีเยี่ยม</t>
        </is>
      </c>
      <c r="E25" s="38" t="inlineStr">
        <is>
          <t>Clindamycin — ครอบคลุมเชื้อแกรมบวกได้ดี แต่ไม่ครอบคลุม H. influenzae ซึ่งเป็นเชื้อก่อโรคหูชั้นกลางอักเสบที่พบบ่อย</t>
        </is>
      </c>
      <c r="F25" s="38" t="inlineStr">
        <is>
          <t>Moxifloxacin — เป็นยาทางเลือกแรกในเด็กเมื่อแพ้ penicillin</t>
        </is>
      </c>
      <c r="G25" s="38" t="inlineStr">
        <is>
          <t>Tigecycline — ปลอดภัยและใช้ได้ทั่วไปในเด็กเล็ก</t>
        </is>
      </c>
      <c r="H25" s="38" t="inlineStr">
        <is>
          <t>Doxycycline — ครอบคลุมเชื้อก่อโรคหูชั้นกลางอักเสบได้ครบถ้วน</t>
        </is>
      </c>
      <c r="I25" s="37" t="inlineStr">
        <is>
          <t>2</t>
        </is>
      </c>
      <c r="J25" s="38"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38" t="n"/>
      <c r="L25" s="39" t="inlineStr">
        <is>
          <t>HIV infection</t>
        </is>
      </c>
      <c r="M25" s="39" t="inlineStr">
        <is>
          <t>Clinic</t>
        </is>
      </c>
      <c r="N25" s="38" t="inlineStr">
        <is>
          <t>ข้อ 5.5 Mock Infectious RxCU84</t>
        </is>
      </c>
      <c r="O25" s="39" t="n"/>
      <c r="P25" s="39" t="n"/>
    </row>
    <row r="26" ht="13.2" customHeight="1" s="49">
      <c r="A26" s="37" t="n">
        <v>24</v>
      </c>
      <c r="B26" s="38"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38" t="n"/>
      <c r="D26" s="38" t="inlineStr">
        <is>
          <t>เพราะมีราคาแพงเกินไปสำหรับผู้ป่วยเด็ก</t>
        </is>
      </c>
      <c r="E26" s="38" t="inlineStr">
        <is>
          <t>เพราะมีความเป็นพิษต่อกระดูกอ่อน (cartilage toxicity) จากการศึกษาในสัตว์ทดลอง จึงหลีกเลี่ยงในเด็กและหญิงตั้งครรภ์</t>
        </is>
      </c>
      <c r="F26" s="38" t="inlineStr">
        <is>
          <t>เพราะไม่มีรูปแบบยาน้ำสำหรับเด็ก</t>
        </is>
      </c>
      <c r="G26" s="38" t="inlineStr">
        <is>
          <t>เพราะออกฤทธิ์แบบ bacteriostatic เท่านั้นในผู้ป่วยเด็ก</t>
        </is>
      </c>
      <c r="H26" s="38" t="inlineStr">
        <is>
          <t>เพราะเพิ่มความเสี่ยง Fanconi syndrome เฉพาะในเด็กเท่านั้น</t>
        </is>
      </c>
      <c r="I26" s="37" t="inlineStr">
        <is>
          <t>2</t>
        </is>
      </c>
      <c r="J26" s="38"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38" t="n"/>
      <c r="L26" s="39" t="inlineStr">
        <is>
          <t>HIV infection</t>
        </is>
      </c>
      <c r="M26" s="39" t="inlineStr">
        <is>
          <t>Clinic</t>
        </is>
      </c>
      <c r="N26" s="38" t="inlineStr">
        <is>
          <t>ข้อ 5.6 Mock Infectious RxCU84</t>
        </is>
      </c>
      <c r="O26" s="39" t="n"/>
      <c r="P26" s="39" t="n"/>
    </row>
    <row r="27" ht="13.2" customHeight="1" s="49">
      <c r="A27" s="37" t="n">
        <v>25</v>
      </c>
      <c r="B27" s="38"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38" t="n"/>
      <c r="D27" s="38" t="inlineStr">
        <is>
          <t>Acute hepatitis B</t>
        </is>
      </c>
      <c r="E27" s="38" t="inlineStr">
        <is>
          <t>Chronic hepatitis B</t>
        </is>
      </c>
      <c r="F27" s="38" t="inlineStr">
        <is>
          <t>เคยติดเชื้อ hepatitis B และรักษาหายแล้ว</t>
        </is>
      </c>
      <c r="G27" s="38" t="inlineStr">
        <is>
          <t>ได้รับวัคซีนป้องกัน hepatitis B และมีภูมิคุ้มกัน</t>
        </is>
      </c>
      <c r="H27" s="38" t="inlineStr">
        <is>
          <t>อยู่ในช่วง Window period ของการติดเชื้อ</t>
        </is>
      </c>
      <c r="I27" s="37" t="inlineStr">
        <is>
          <t>2</t>
        </is>
      </c>
      <c r="J27" s="38"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38" t="n"/>
      <c r="L27" s="39" t="inlineStr">
        <is>
          <t>HIV infection</t>
        </is>
      </c>
      <c r="M27" s="39" t="inlineStr">
        <is>
          <t>Clinic</t>
        </is>
      </c>
      <c r="N27" s="38" t="inlineStr">
        <is>
          <t>ข้อ 8.1 Mock Infectious RxCU84</t>
        </is>
      </c>
      <c r="O27" s="39" t="n"/>
      <c r="P27" s="39" t="n"/>
    </row>
    <row r="28" ht="13.2" customHeight="1" s="49">
      <c r="A28" s="37" t="n">
        <v>26</v>
      </c>
      <c r="B28" s="38"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38" t="n"/>
      <c r="D28" s="38" t="inlineStr">
        <is>
          <t>ผู้ป่วยเป็น acute hepatitis B</t>
        </is>
      </c>
      <c r="E28" s="38" t="inlineStr">
        <is>
          <t>Immune Tolerance Phase</t>
        </is>
      </c>
      <c r="F28" s="38" t="inlineStr">
        <is>
          <t>Immune Active Phase</t>
        </is>
      </c>
      <c r="G28" s="38" t="inlineStr">
        <is>
          <t>Inactive Carrier Phase</t>
        </is>
      </c>
      <c r="H28" s="38" t="inlineStr">
        <is>
          <t>Reactivation Phase</t>
        </is>
      </c>
      <c r="I28" s="37" t="inlineStr">
        <is>
          <t>3</t>
        </is>
      </c>
      <c r="J28" s="38"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38" t="n"/>
      <c r="L28" s="39" t="inlineStr">
        <is>
          <t>HIV infection</t>
        </is>
      </c>
      <c r="M28" s="39" t="inlineStr">
        <is>
          <t>Clinic</t>
        </is>
      </c>
      <c r="N28" s="38" t="inlineStr">
        <is>
          <t>ข้อ 8.2 Mock Infectious RxCU84</t>
        </is>
      </c>
      <c r="O28" s="39" t="n"/>
      <c r="P28" s="39" t="n"/>
    </row>
    <row r="29" ht="13.2" customHeight="1" s="49">
      <c r="A29" s="37" t="n">
        <v>27</v>
      </c>
      <c r="B29" s="38"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38" t="n"/>
      <c r="D29" s="38" t="inlineStr">
        <is>
          <t>Tenofovir disoproxil fumarate (TDF) 300 mg รับประทานวันละ 1 ครั้ง</t>
        </is>
      </c>
      <c r="E29" s="38" t="inlineStr">
        <is>
          <t>Lamivudine 100 mg รับประทานวันละ 1 ครั้ง</t>
        </is>
      </c>
      <c r="F29" s="38" t="inlineStr">
        <is>
          <t>Entecavir 0.5 mg รับประทานวันละ 1 ครั้ง (ปรับขนาดตามการทำงานของไต)</t>
        </is>
      </c>
      <c r="G29" s="38" t="inlineStr">
        <is>
          <t>Peginterferon alfa-2a 180 mcg ฉีดใต้ผิวหนังสัปดาห์ละ 1 ครั้ง</t>
        </is>
      </c>
      <c r="H29" s="38" t="inlineStr">
        <is>
          <t>Telbivudine 600 mg รับประทานวันละ 1 ครั้ง</t>
        </is>
      </c>
      <c r="I29" s="37" t="inlineStr">
        <is>
          <t>3</t>
        </is>
      </c>
      <c r="J29" s="38"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38" t="n"/>
      <c r="L29" s="39" t="inlineStr">
        <is>
          <t>HIV infection</t>
        </is>
      </c>
      <c r="M29" s="39" t="inlineStr">
        <is>
          <t>Clinic</t>
        </is>
      </c>
      <c r="N29" s="38" t="inlineStr">
        <is>
          <t>ข้อ 8.3 Mock Infectious RxCU84</t>
        </is>
      </c>
      <c r="O29" s="39" t="n"/>
      <c r="P29" s="39" t="n"/>
    </row>
    <row r="30" ht="13.2" customHeight="1" s="49">
      <c r="A30" s="37" t="n">
        <v>28</v>
      </c>
      <c r="B30" s="38"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38" t="n"/>
      <c r="D30" s="38" t="inlineStr">
        <is>
          <t>ทำให้ค่า AST และ ALT กลับสู่ศูนย์</t>
        </is>
      </c>
      <c r="E30" s="38" t="inlineStr">
        <is>
          <t>ทำให้ HBsAg เปลี่ยนเป็นลบในผู้ป่วยทุกราย</t>
        </is>
      </c>
      <c r="F30" s="38" t="inlineStr">
        <is>
          <t>กำจัด HBV cccDNA ออกจากเซลล์ตับให้หมด</t>
        </is>
      </c>
      <c r="G30" s="38" t="inlineStr">
        <is>
          <t>ลดการดำเนินโรคไปสู่ตับแข็ง มะเร็งตับ และลดอัตราการเสียชีวิต</t>
        </is>
      </c>
      <c r="H30" s="38" t="inlineStr">
        <is>
          <t>ทำให้ Anti-HBs เปลี่ยนเป็นบวกภายใน 6 เดือน</t>
        </is>
      </c>
      <c r="I30" s="37" t="inlineStr">
        <is>
          <t>4</t>
        </is>
      </c>
      <c r="J30" s="38"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38" t="n"/>
      <c r="L30" s="39" t="inlineStr">
        <is>
          <t>HIV infection</t>
        </is>
      </c>
      <c r="M30" s="39" t="inlineStr">
        <is>
          <t>Clinic</t>
        </is>
      </c>
      <c r="N30" s="38" t="inlineStr">
        <is>
          <t>ข้อ 8.4 Mock Infectious RxCU84</t>
        </is>
      </c>
      <c r="O30" s="39" t="n"/>
      <c r="P30" s="39" t="n"/>
    </row>
    <row r="31" ht="13.2" customHeight="1" s="49">
      <c r="A31" s="37" t="n">
        <v>29</v>
      </c>
      <c r="B31" s="38"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38" t="n"/>
      <c r="D31" s="38" t="inlineStr">
        <is>
          <t>เพื่อยืนยันว่าผู้ป่วยเคยได้รับวัคซีนป้องกันไวรัสตับอักเสบบี</t>
        </is>
      </c>
      <c r="E31" s="38" t="inlineStr">
        <is>
          <t>เพื่อประเมินระดับการแบ่งตัวของไวรัส และใช้ประกอบการตัดสินใจเริ่มรักษา รวมถึงติดตามผลการรักษา</t>
        </is>
      </c>
      <c r="F31" s="38" t="inlineStr">
        <is>
          <t>เพื่อยืนยันภาวะตับแข็ง</t>
        </is>
      </c>
      <c r="G31" s="38" t="inlineStr">
        <is>
          <t>เพื่อประเมินระดับภูมิคุ้มกันต่อไวรัสตับอักเสบบี</t>
        </is>
      </c>
      <c r="H31" s="38" t="inlineStr">
        <is>
          <t>เพื่อยืนยันการติดเชื้อไวรัสตับอักเสบชนิดเอร่วมด้วย</t>
        </is>
      </c>
      <c r="I31" s="37" t="inlineStr">
        <is>
          <t>2</t>
        </is>
      </c>
      <c r="J31" s="38"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38" t="n"/>
      <c r="L31" s="39" t="inlineStr">
        <is>
          <t>HIV infection</t>
        </is>
      </c>
      <c r="M31" s="39" t="inlineStr">
        <is>
          <t>Clinic</t>
        </is>
      </c>
      <c r="N31" s="38" t="inlineStr">
        <is>
          <t>ข้อ 8.5 Mock Infectious RxCU84</t>
        </is>
      </c>
      <c r="O31" s="39" t="n"/>
      <c r="P31" s="39" t="n"/>
    </row>
    <row r="32" ht="13.2" customHeight="1" s="49">
      <c r="A32" s="37" t="n">
        <v>30</v>
      </c>
      <c r="B32" s="38"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38" t="n"/>
      <c r="D32" s="38" t="inlineStr">
        <is>
          <t>Community-acquired pneumonia (CAP)</t>
        </is>
      </c>
      <c r="E32" s="38" t="inlineStr">
        <is>
          <t>Pulmonary tuberculosis</t>
        </is>
      </c>
      <c r="F32" s="38" t="inlineStr">
        <is>
          <t>Lung cancer</t>
        </is>
      </c>
      <c r="G32" s="38" t="inlineStr">
        <is>
          <t>Bronchiectasis</t>
        </is>
      </c>
      <c r="H32" s="38" t="inlineStr">
        <is>
          <t>Pneumocystis jirovecii pneumonia (PJP)</t>
        </is>
      </c>
      <c r="I32" s="37" t="inlineStr">
        <is>
          <t>2</t>
        </is>
      </c>
      <c r="J32" s="38"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38" t="n"/>
      <c r="L32" s="39" t="inlineStr">
        <is>
          <t>Tuberculosis</t>
        </is>
      </c>
      <c r="M32" s="39" t="inlineStr">
        <is>
          <t>Clinic</t>
        </is>
      </c>
      <c r="N32" s="38" t="inlineStr">
        <is>
          <t>ข้อ 9.1 Mock Infectious RxCU84</t>
        </is>
      </c>
      <c r="O32" s="39" t="n"/>
      <c r="P32" s="39" t="n"/>
    </row>
    <row r="33" ht="13.2" customHeight="1" s="49">
      <c r="A33" s="37" t="n">
        <v>31</v>
      </c>
      <c r="B33" s="38" t="inlineStr">
        <is>
          <t>ผู้ป่วยหญิงอายุ 29 ปี ผลตรวจเสมหะพบ AFB sputum smear 3+
คำถาม: ผล AFB sputum smear 3+ ในผู้ป่วยรายนี้มีความหมายมากที่สุดข้อใด?</t>
        </is>
      </c>
      <c r="C33" s="38" t="n"/>
      <c r="D33" s="38" t="inlineStr">
        <is>
          <t>ยืนยันว่าเชื้อดื้อต่อยา Rifampicin</t>
        </is>
      </c>
      <c r="E33" s="38" t="inlineStr">
        <is>
          <t>ผู้ป่วยมีเชื้อวัณโรคในกระแสเลือด</t>
        </is>
      </c>
      <c r="F33" s="38" t="inlineStr">
        <is>
          <t>พบเชื้อ acid-fast bacilli ในเสมหะจำนวนมาก และมีโอกาสแพร่เชื้อสูง</t>
        </is>
      </c>
      <c r="G33" s="38" t="inlineStr">
        <is>
          <t>ยืนยันว่าเป็นเชื้อ Mycobacterium tuberculosis โดยไม่ต้องตรวจเพิ่มเติม</t>
        </is>
      </c>
      <c r="H33" s="38" t="inlineStr">
        <is>
          <t>ผู้ป่วยมีภาวะติดเชื้อแบคทีเรียแทรกซ้อนในทางเดินหายใจส่วนบน</t>
        </is>
      </c>
      <c r="I33" s="37" t="inlineStr">
        <is>
          <t>3</t>
        </is>
      </c>
      <c r="J33" s="38"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38" t="n"/>
      <c r="L33" s="39" t="inlineStr">
        <is>
          <t>Tuberculosis</t>
        </is>
      </c>
      <c r="M33" s="39" t="inlineStr">
        <is>
          <t>Clinic</t>
        </is>
      </c>
      <c r="N33" s="38" t="inlineStr">
        <is>
          <t>ข้อ 9.2 Mock Infectious RxCU84</t>
        </is>
      </c>
      <c r="O33" s="39" t="n"/>
      <c r="P33" s="39" t="n"/>
    </row>
    <row r="34" ht="13.2" customHeight="1" s="49">
      <c r="A34" s="37" t="n">
        <v>32</v>
      </c>
      <c r="B34" s="38"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38" t="n"/>
      <c r="D34" s="38" t="inlineStr">
        <is>
          <t>2HRZE / 4HR</t>
        </is>
      </c>
      <c r="E34" s="38" t="inlineStr">
        <is>
          <t>2HR / 7HR</t>
        </is>
      </c>
      <c r="F34" s="38" t="inlineStr">
        <is>
          <t>6HRZE</t>
        </is>
      </c>
      <c r="G34" s="38" t="inlineStr">
        <is>
          <t>9HR</t>
        </is>
      </c>
      <c r="H34" s="38" t="inlineStr">
        <is>
          <t>2HRZ / 4HR</t>
        </is>
      </c>
      <c r="I34" s="37" t="inlineStr">
        <is>
          <t>1</t>
        </is>
      </c>
      <c r="J34" s="38"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38" t="n"/>
      <c r="L34" s="39" t="inlineStr">
        <is>
          <t>Tuberculosis</t>
        </is>
      </c>
      <c r="M34" s="39" t="inlineStr">
        <is>
          <t>Clinic</t>
        </is>
      </c>
      <c r="N34" s="38" t="inlineStr">
        <is>
          <t>ข้อ 9.3 Mock Infectious RxCU84</t>
        </is>
      </c>
      <c r="O34" s="39" t="n"/>
      <c r="P34" s="39" t="n"/>
    </row>
    <row r="35" ht="13.2" customHeight="1" s="49">
      <c r="A35" s="37" t="n">
        <v>33</v>
      </c>
      <c r="B35" s="38"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38" t="n"/>
      <c r="D35" s="38"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38" t="inlineStr">
        <is>
          <t>Isoniazid – ปัสสาวะสีส้มแดง, Rifampicin – ปลายมือปลายเท้าชา, Pyrazinamide – ตามัว, Ethambutol – กรดยูริกสูง</t>
        </is>
      </c>
      <c r="F35" s="38" t="inlineStr">
        <is>
          <t>Isoniazid – ตามัว, Rifampicin – กรดยูริกสูง, Pyrazinamide – ปลายมือปลายเท้าชา, Ethambutol – ปัสสาวะสีส้มแดง</t>
        </is>
      </c>
      <c r="G35" s="38" t="inlineStr">
        <is>
          <t>Isoniazid – ปวดข้อ, Rifampicin – ตามัว, Pyrazinamide – ปัสสาวะสีส้มแดง, Ethambutol – ชาปลายมือปลายเท้า</t>
        </is>
      </c>
      <c r="H35" s="38" t="inlineStr">
        <is>
          <t>Isoniazid – หูดับ, Rifampicin – ตับอักเสบ, Pyrazinamide – ผื่นลมพิษ, Ethambutol – ไตวาย</t>
        </is>
      </c>
      <c r="I35" s="37" t="inlineStr">
        <is>
          <t>1</t>
        </is>
      </c>
      <c r="J35" s="38"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38" t="n"/>
      <c r="L35" s="39" t="inlineStr">
        <is>
          <t>Tuberculosis</t>
        </is>
      </c>
      <c r="M35" s="39" t="inlineStr">
        <is>
          <t>Clinic</t>
        </is>
      </c>
      <c r="N35" s="38" t="inlineStr">
        <is>
          <t>ข้อ 9.4 Mock Infectious RxCU84</t>
        </is>
      </c>
      <c r="O35" s="39" t="n"/>
      <c r="P35" s="39" t="n"/>
    </row>
    <row r="36" ht="13.2" customHeight="1" s="49">
      <c r="A36" s="37" t="n">
        <v>34</v>
      </c>
      <c r="B36" s="38"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38" t="n"/>
      <c r="D36" s="38" t="inlineStr">
        <is>
          <t>หากปัสสาวะเป็นสีส้มแดง ให้หยุดยา Rifampicin ทันที</t>
        </is>
      </c>
      <c r="E36" s="38" t="inlineStr">
        <is>
          <t>หากมีอาการตามัวหรือมองเห็นสีผิดปกติ ควรหยุดยาเองและรอพบแพทย์ตามนัด</t>
        </is>
      </c>
      <c r="F36" s="38"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38" t="inlineStr">
        <is>
          <t>เมื่ออาการไอดีขึ้นสามารถหยุดยาต้านวัณโรคได้เองเพื่อป้องกันผลข้างเคียง</t>
        </is>
      </c>
      <c r="H36" s="38" t="inlineStr">
        <is>
          <t>ควรรับประทานยาทุกชนิดพร้อมอาหารมื้อหนักเพื่อป้องกันอาการคลื่นไส้</t>
        </is>
      </c>
      <c r="I36" s="37" t="inlineStr">
        <is>
          <t>3</t>
        </is>
      </c>
      <c r="J36" s="38"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38" t="n"/>
      <c r="L36" s="39" t="inlineStr">
        <is>
          <t>Tuberculosis</t>
        </is>
      </c>
      <c r="M36" s="39" t="inlineStr">
        <is>
          <t>Clinic</t>
        </is>
      </c>
      <c r="N36" s="38" t="inlineStr">
        <is>
          <t>ข้อ 9.5 Mock Infectious RxCU84</t>
        </is>
      </c>
      <c r="O36" s="39" t="n"/>
      <c r="P36" s="39" t="n"/>
    </row>
    <row r="37" ht="13.2" customHeight="1" s="49">
      <c r="A37" s="37" t="n">
        <v>35</v>
      </c>
      <c r="B37" s="38"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38" t="n"/>
      <c r="D37" s="38" t="inlineStr">
        <is>
          <t>Non-inflammatory acne ชนิด closed comedone</t>
        </is>
      </c>
      <c r="E37" s="38" t="inlineStr">
        <is>
          <t>Non-inflammatory acne ชนิด open comedone</t>
        </is>
      </c>
      <c r="F37" s="38" t="inlineStr">
        <is>
          <t>Inflammatory acne ชนิด papule</t>
        </is>
      </c>
      <c r="G37" s="38" t="inlineStr">
        <is>
          <t>Inflammatory acne ชนิด pustule</t>
        </is>
      </c>
      <c r="H37" s="38" t="inlineStr">
        <is>
          <t>Nodulocystic acne</t>
        </is>
      </c>
      <c r="I37" s="37" t="inlineStr">
        <is>
          <t>4</t>
        </is>
      </c>
      <c r="J37" s="38"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38" t="n"/>
      <c r="L37" s="39" t="inlineStr">
        <is>
          <t>HIV infection</t>
        </is>
      </c>
      <c r="M37" s="39" t="inlineStr">
        <is>
          <t>Clinic</t>
        </is>
      </c>
      <c r="N37" s="38" t="inlineStr">
        <is>
          <t>ข้อ 10.1 Mock Infectious RxCU84</t>
        </is>
      </c>
      <c r="O37" s="39" t="n"/>
      <c r="P37" s="39" t="n"/>
    </row>
    <row r="38" ht="13.2" customHeight="1" s="49">
      <c r="A38" s="37" t="n">
        <v>36</v>
      </c>
      <c r="B38" s="38"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38" t="n"/>
      <c r="D38" s="38" t="inlineStr">
        <is>
          <t>Oral isotretinoin เพียงอย่างเดียว</t>
        </is>
      </c>
      <c r="E38" s="38" t="inlineStr">
        <is>
          <t>Oral doxycycline เพียงอย่างเดียว</t>
        </is>
      </c>
      <c r="F38" s="38" t="inlineStr">
        <is>
          <t>Topical benzoyl peroxide</t>
        </is>
      </c>
      <c r="G38" s="38" t="inlineStr">
        <is>
          <t>Oral quinolone ร่วมกับ topical retinoid</t>
        </is>
      </c>
      <c r="H38" s="38" t="inlineStr">
        <is>
          <t>Oral isotretinoin ร่วมกับ oral doxycycline</t>
        </is>
      </c>
      <c r="I38" s="37" t="inlineStr">
        <is>
          <t>3</t>
        </is>
      </c>
      <c r="J38" s="38"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38" t="n"/>
      <c r="L38" s="39" t="inlineStr">
        <is>
          <t>HIV infection</t>
        </is>
      </c>
      <c r="M38" s="39" t="inlineStr">
        <is>
          <t>Clinic</t>
        </is>
      </c>
      <c r="N38" s="38" t="inlineStr">
        <is>
          <t>ข้อ 10.2 Mock Infectious RxCU84</t>
        </is>
      </c>
      <c r="O38" s="39" t="n"/>
      <c r="P38" s="39" t="n"/>
    </row>
    <row r="39" ht="13.2" customHeight="1" s="49">
      <c r="A39" s="37" t="n">
        <v>37</v>
      </c>
      <c r="B39" s="38"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38" t="n"/>
      <c r="D39" s="38" t="inlineStr">
        <is>
          <t>ทายาบาง ๆ วันละ 2 ครั้ง และหากแสบให้เพิ่มความถี่เพื่อให้ผิวชินยา</t>
        </is>
      </c>
      <c r="E39" s="38" t="inlineStr">
        <is>
          <t>ทาเฉพาะบริเวณที่มีหัวหนองเท่านั้น และควรใช้เป็นยาเดี่ยว</t>
        </is>
      </c>
      <c r="F39" s="38" t="inlineStr">
        <is>
          <t>ระวังการสัมผัสเสื้อผ้าและเส้นผม เนื่องจากยาอาจทำให้เกิด bleaching</t>
        </is>
      </c>
      <c r="G39" s="38" t="inlineStr">
        <is>
          <t>ทา benzoyl peroxide หลัง retinoid ทันทีทุกครั้งเพื่อเพิ่มประสิทธิภาพ</t>
        </is>
      </c>
      <c r="H39" s="38" t="inlineStr">
        <is>
          <t>หลีกเลี่ยง moisturizer เพราะจะทำให้เกิด comedone เพิ่มขึ้น</t>
        </is>
      </c>
      <c r="I39" s="37" t="inlineStr">
        <is>
          <t>3</t>
        </is>
      </c>
      <c r="J39" s="38"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38" t="n"/>
      <c r="L39" s="39" t="inlineStr">
        <is>
          <t>HIV infection</t>
        </is>
      </c>
      <c r="M39" s="39" t="inlineStr">
        <is>
          <t>Clinic</t>
        </is>
      </c>
      <c r="N39" s="38" t="inlineStr">
        <is>
          <t>ข้อ 10.3 Mock Infectious RxCU84</t>
        </is>
      </c>
      <c r="O39" s="39" t="n"/>
      <c r="P39" s="39" t="n"/>
    </row>
    <row r="40" ht="13.2" customHeight="1" s="49">
      <c r="A40" s="37" t="n">
        <v>38</v>
      </c>
      <c r="B40" s="38"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38" t="n"/>
      <c r="D40" s="38" t="inlineStr">
        <is>
          <t>Tretinoin topical</t>
        </is>
      </c>
      <c r="E40" s="38" t="inlineStr">
        <is>
          <t>Adapalene topical</t>
        </is>
      </c>
      <c r="F40" s="38" t="inlineStr">
        <is>
          <t>Doxycycline oral</t>
        </is>
      </c>
      <c r="G40" s="38" t="inlineStr">
        <is>
          <t>Isotretinoin oral</t>
        </is>
      </c>
      <c r="H40" s="38" t="inlineStr">
        <is>
          <t>Azelaic acid topical</t>
        </is>
      </c>
      <c r="I40" s="37" t="inlineStr">
        <is>
          <t>5</t>
        </is>
      </c>
      <c r="J40" s="38"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38" t="n"/>
      <c r="L40" s="39" t="inlineStr">
        <is>
          <t>HIV infection</t>
        </is>
      </c>
      <c r="M40" s="39" t="inlineStr">
        <is>
          <t>Clinic</t>
        </is>
      </c>
      <c r="N40" s="38" t="inlineStr">
        <is>
          <t>ข้อ 10.4 Mock Infectious RxCU84</t>
        </is>
      </c>
      <c r="O40" s="39" t="n"/>
      <c r="P40" s="39" t="n"/>
    </row>
    <row r="41" ht="13.2" customHeight="1" s="49">
      <c r="A41" s="37" t="n">
        <v>39</v>
      </c>
      <c r="B41" s="38"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38" t="n"/>
      <c r="D41" s="38" t="inlineStr">
        <is>
          <t>แนะนำให้รับประทานอาหารที่มี glycemic index สูงเพื่อเพิ่มพลังงานและลดการอักเสบ ร่วมกับการรักษาสิว</t>
        </is>
      </c>
      <c r="E41" s="38" t="inlineStr">
        <is>
          <t>แนะนำให้หยุดยารักษาสิวทั้งหมดและรักษาด้วยการควบคุมอาหารเพียงอย่างเดียว</t>
        </is>
      </c>
      <c r="F41" s="38" t="inlineStr">
        <is>
          <t>แนะนำให้ลดการรับประทานอาหารที่มี glycemic load สูง ร่วมกับการรักษาสิว</t>
        </is>
      </c>
      <c r="G41" s="38" t="inlineStr">
        <is>
          <t>แนะนำให้รับประทาน vitamin A ขนาดสูงทุกวันเพื่อทดแทน isotretinoin</t>
        </is>
      </c>
      <c r="H41" s="38" t="inlineStr">
        <is>
          <t>แนะนำให้รับประทาน zinc ขนาดสูงเป็นการรักษาหลักแทน topical therapy</t>
        </is>
      </c>
      <c r="I41" s="37" t="inlineStr">
        <is>
          <t>3</t>
        </is>
      </c>
      <c r="J41" s="38"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38" t="n"/>
      <c r="L41" s="39" t="inlineStr">
        <is>
          <t>HIV infection</t>
        </is>
      </c>
      <c r="M41" s="39" t="inlineStr">
        <is>
          <t>Clinic</t>
        </is>
      </c>
      <c r="N41" s="38" t="inlineStr">
        <is>
          <t>ข้อ 10.5 Mock Infectious RxCU84</t>
        </is>
      </c>
      <c r="O41" s="39" t="n"/>
      <c r="P41" s="39" t="n"/>
    </row>
    <row r="42" ht="13.2" customHeight="1" s="49">
      <c r="A42" s="37" t="n">
        <v>40</v>
      </c>
      <c r="B42" s="38"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38" t="n"/>
      <c r="D42" s="38" t="inlineStr">
        <is>
          <t>โรคเริมอวัยวะเพศ (Genital Herpes)</t>
        </is>
      </c>
      <c r="E42" s="38" t="inlineStr">
        <is>
          <t>โรคแผลริมอ่อน (Chancroid)</t>
        </is>
      </c>
      <c r="F42" s="38" t="inlineStr">
        <is>
          <t>โรคซิฟิลิสระยะที่ 1 (Primary Syphilis)</t>
        </is>
      </c>
      <c r="G42" s="38" t="inlineStr">
        <is>
          <t>ช่องคลอดอักเสบจากเชื้อรา (Vulvovaginal Candidiasis)</t>
        </is>
      </c>
      <c r="H42" s="38" t="inlineStr">
        <is>
          <t>โรคหูดข้าวสุก (Molluscum Contagiosum)</t>
        </is>
      </c>
      <c r="I42" s="37" t="inlineStr">
        <is>
          <t>3</t>
        </is>
      </c>
      <c r="J42" s="38"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38" t="n"/>
      <c r="L42" s="39" t="inlineStr">
        <is>
          <t>HIV infection</t>
        </is>
      </c>
      <c r="M42" s="39" t="inlineStr">
        <is>
          <t>Clinic</t>
        </is>
      </c>
      <c r="N42" s="38" t="inlineStr">
        <is>
          <t>ข้อ 11.1 Mock Infectious RxCU84</t>
        </is>
      </c>
      <c r="O42" s="39" t="n"/>
      <c r="P42" s="39" t="n"/>
    </row>
    <row r="43" ht="13.2" customHeight="1" s="49">
      <c r="A43" s="37" t="n">
        <v>41</v>
      </c>
      <c r="B43" s="38"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38" t="n"/>
      <c r="D43" s="38" t="inlineStr">
        <is>
          <t>Ceftriaxone 1 g ฉีดเข้ากล้ามเนื้อ ครั้งเดียว</t>
        </is>
      </c>
      <c r="E43" s="38" t="inlineStr">
        <is>
          <t>Doxycycline 100 mg รับประทานวันละ 2 ครั้ง นาน 14 วัน</t>
        </is>
      </c>
      <c r="F43" s="38" t="inlineStr">
        <is>
          <t>Benzathine Penicillin G 2.4 million units ฉีดเข้ากล้ามเนื้อ ครั้งเดียว</t>
        </is>
      </c>
      <c r="G43" s="38" t="inlineStr">
        <is>
          <t>Benzathine Penicillin G 2.4 million units ฉีดเข้ากล้ามเนื้อ สัปดาห์ละครั้ง นาน 3 สัปดาห์</t>
        </is>
      </c>
      <c r="H43" s="38" t="inlineStr">
        <is>
          <t>Azithromycin 1 g รับประทานครั้งเดียว</t>
        </is>
      </c>
      <c r="I43" s="37" t="inlineStr">
        <is>
          <t>3</t>
        </is>
      </c>
      <c r="J43" s="38"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38" t="n"/>
      <c r="L43" s="39" t="inlineStr">
        <is>
          <t>HIV infection</t>
        </is>
      </c>
      <c r="M43" s="39" t="inlineStr">
        <is>
          <t>Clinic</t>
        </is>
      </c>
      <c r="N43" s="38" t="inlineStr">
        <is>
          <t>ข้อ 11.2 Mock Infectious RxCU84</t>
        </is>
      </c>
      <c r="O43" s="39" t="n"/>
      <c r="P43" s="39" t="n"/>
    </row>
    <row r="44" ht="13.2" customHeight="1" s="49">
      <c r="A44" s="37" t="n">
        <v>42</v>
      </c>
      <c r="B44" s="38"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38" t="n"/>
      <c r="D44" s="38" t="inlineStr">
        <is>
          <t>แผลที่อวัยวะเพศมักจะมีอาการเจ็บปวดรุนแรงกว่าผู้ที่ไม่ติดเชื้อ HIV</t>
        </is>
      </c>
      <c r="E44" s="38" t="inlineStr">
        <is>
          <t>มีโอกาสตรวจพบอาการแสดงของซิฟิลิสระยะที่ 1 และระยะที่ 2 เกิดขึ้นพร้อมกัน (Overlap)</t>
        </is>
      </c>
      <c r="F44" s="38" t="inlineStr">
        <is>
          <t>ต่อมน้ำเหลืองที่ขาหนีบมักจะอักเสบจนแตกเป็นหนอง (Bubo) ได้ง่ายกว่า</t>
        </is>
      </c>
      <c r="G44" s="38" t="inlineStr">
        <is>
          <t>เชื้อสไปโรขีดมักจะไม่สามารถตรวจพบได้ด้วยการส่องกล้อง Dark-field</t>
        </is>
      </c>
      <c r="H44" s="38" t="inlineStr">
        <is>
          <t>แผลริมแข็ง (Chancre) จะหายช้ากว่าคนปกติและกลายเป็นแผลเรื้อรังเสมอ</t>
        </is>
      </c>
      <c r="I44" s="37" t="inlineStr">
        <is>
          <t>2</t>
        </is>
      </c>
      <c r="J44" s="38"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38" t="n"/>
      <c r="L44" s="39" t="inlineStr">
        <is>
          <t>HIV infection</t>
        </is>
      </c>
      <c r="M44" s="39" t="inlineStr">
        <is>
          <t>Clinic</t>
        </is>
      </c>
      <c r="N44" s="38" t="inlineStr">
        <is>
          <t>ข้อ 11.3 Mock Infectious RxCU84</t>
        </is>
      </c>
      <c r="O44" s="39" t="n"/>
      <c r="P44" s="39" t="n"/>
    </row>
    <row r="45" ht="13.2" customHeight="1" s="49">
      <c r="A45" s="37" t="n">
        <v>43</v>
      </c>
      <c r="B45" s="38"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38" t="n"/>
      <c r="D45" s="38" t="inlineStr">
        <is>
          <t>โรคซิฟิลิสระยะที่ 1 (Primary Syphilis)</t>
        </is>
      </c>
      <c r="E45" s="38" t="inlineStr">
        <is>
          <t>โรคแผลริมอ่อน (Chancroid)</t>
        </is>
      </c>
      <c r="F45" s="38" t="inlineStr">
        <is>
          <t>ภาวะท่อปัสสาวะอักเสบ (Urethritis)</t>
        </is>
      </c>
      <c r="G45" s="38" t="inlineStr">
        <is>
          <t>โรคเริมอวัยวะเพศ (Genital Herpes)</t>
        </is>
      </c>
      <c r="H45" s="38" t="inlineStr">
        <is>
          <t>โรคหูดหงอนไก่ (Anogenital Warts)</t>
        </is>
      </c>
      <c r="I45" s="37" t="inlineStr">
        <is>
          <t>3</t>
        </is>
      </c>
      <c r="J45" s="38"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38" t="n"/>
      <c r="L45" s="39" t="inlineStr">
        <is>
          <t>HIV infection</t>
        </is>
      </c>
      <c r="M45" s="39" t="inlineStr">
        <is>
          <t>Clinic</t>
        </is>
      </c>
      <c r="N45" s="38" t="inlineStr">
        <is>
          <t>ข้อ 12.1 Mock Infectious RxCU84</t>
        </is>
      </c>
      <c r="O45" s="39" t="n"/>
      <c r="P45" s="39" t="n"/>
    </row>
    <row r="46" ht="13.2" customHeight="1" s="49">
      <c r="A46" s="37" t="n">
        <v>44</v>
      </c>
      <c r="B46" s="38"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38" t="n"/>
      <c r="D46" s="38" t="inlineStr">
        <is>
          <t>Benzathine Penicillin G 2.4 million units ฉีดเข้ากล้ามเนื้อ ครั้งเดียว</t>
        </is>
      </c>
      <c r="E46" s="38" t="inlineStr">
        <is>
          <t>Azithromycin 1 g รับประทานครั้งเดียว เพียงอย่างเดียว</t>
        </is>
      </c>
      <c r="F46" s="38" t="inlineStr">
        <is>
          <t>Norfloxacin 400 mg รับประทานวันละ 2 ครั้ง นาน 3 วัน</t>
        </is>
      </c>
      <c r="G46" s="38" t="inlineStr">
        <is>
          <t>Ceftriaxone 1 g ฉีดเข้ากล้ามเนื้อ ครั้งเดียว ร่วมกับ Doxycycline 100 mg รับประทานวันละ 2 ครั้ง นาน 7 วัน</t>
        </is>
      </c>
      <c r="H46" s="38" t="inlineStr">
        <is>
          <t>Metronidazole 2 g รับประทานครั้งเดียว ร่วมกับ Ciprofloxacin 500 mg รับประทานครั้งเดียว</t>
        </is>
      </c>
      <c r="I46" s="37" t="inlineStr">
        <is>
          <t>4</t>
        </is>
      </c>
      <c r="J46" s="38"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38" t="n"/>
      <c r="L46" s="39" t="inlineStr">
        <is>
          <t>HIV infection</t>
        </is>
      </c>
      <c r="M46" s="39" t="inlineStr">
        <is>
          <t>Clinic</t>
        </is>
      </c>
      <c r="N46" s="38" t="inlineStr">
        <is>
          <t>ข้อ 12.2 Mock Infectious RxCU84</t>
        </is>
      </c>
      <c r="O46" s="39" t="n"/>
      <c r="P46" s="39" t="n"/>
    </row>
    <row r="47" ht="13.2" customHeight="1" s="49">
      <c r="A47" s="37" t="n">
        <v>45</v>
      </c>
      <c r="B47" s="38"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38" t="n"/>
      <c r="D47" s="38" t="inlineStr">
        <is>
          <t>Taenia solium</t>
        </is>
      </c>
      <c r="E47" s="38" t="inlineStr">
        <is>
          <t>Ancylostoma duodenale</t>
        </is>
      </c>
      <c r="F47" s="38" t="inlineStr">
        <is>
          <t>Enterobius vermicularis</t>
        </is>
      </c>
      <c r="G47" s="38" t="inlineStr">
        <is>
          <t>Ascaris lumbricoides</t>
        </is>
      </c>
      <c r="H47" s="38" t="inlineStr">
        <is>
          <t>Wuchereria bancrofti</t>
        </is>
      </c>
      <c r="I47" s="37" t="inlineStr">
        <is>
          <t>3</t>
        </is>
      </c>
      <c r="J47" s="38"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38" t="n"/>
      <c r="L47" s="39" t="inlineStr">
        <is>
          <t>Parasitic infections</t>
        </is>
      </c>
      <c r="M47" s="39" t="inlineStr">
        <is>
          <t>Clinic</t>
        </is>
      </c>
      <c r="N47" s="38" t="inlineStr">
        <is>
          <t>ข้อ 13.1 Mock Infectious RxCU84</t>
        </is>
      </c>
      <c r="O47" s="39" t="n"/>
      <c r="P47" s="39" t="n"/>
    </row>
    <row r="48" ht="13.2" customHeight="1" s="49">
      <c r="A48" s="37" t="n">
        <v>46</v>
      </c>
      <c r="B48" s="38"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38" t="n"/>
      <c r="D48" s="38" t="inlineStr">
        <is>
          <t>ล้างมือก่อนรับประทานอาหารทุกครั้ง</t>
        </is>
      </c>
      <c r="E48" s="38" t="inlineStr">
        <is>
          <t>ตัดเล็บมือให้สั้น</t>
        </is>
      </c>
      <c r="F48" s="38" t="inlineStr">
        <is>
          <t>ซักผ้าปูที่นอนทุกวัน</t>
        </is>
      </c>
      <c r="G48" s="38" t="inlineStr">
        <is>
          <t>สวมรองเท้าขณะทำงานหรือเดินบนพื้นดิน</t>
        </is>
      </c>
      <c r="H48" s="38" t="inlineStr">
        <is>
          <t>หลีกเลี่ยงการรับประทานปลาน้ำจืด</t>
        </is>
      </c>
      <c r="I48" s="37" t="inlineStr">
        <is>
          <t>4</t>
        </is>
      </c>
      <c r="J48" s="38"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38" t="n"/>
      <c r="L48" s="39" t="inlineStr">
        <is>
          <t>HIV infection</t>
        </is>
      </c>
      <c r="M48" s="39" t="inlineStr">
        <is>
          <t>Clinic</t>
        </is>
      </c>
      <c r="N48" s="38" t="inlineStr">
        <is>
          <t>ข้อ 13.2 Mock Infectious RxCU84</t>
        </is>
      </c>
      <c r="O48" s="39" t="n"/>
      <c r="P48" s="39" t="n"/>
    </row>
    <row r="49" ht="13.2" customHeight="1" s="49">
      <c r="A49" s="37" t="n">
        <v>47</v>
      </c>
      <c r="B49" s="38"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38" t="n"/>
      <c r="D49" s="38" t="inlineStr">
        <is>
          <t>Enterobius vermicularis</t>
        </is>
      </c>
      <c r="E49" s="38" t="inlineStr">
        <is>
          <t>Taenia solium</t>
        </is>
      </c>
      <c r="F49" s="38" t="inlineStr">
        <is>
          <t>Ascaris lumbricoides</t>
        </is>
      </c>
      <c r="G49" s="38" t="inlineStr">
        <is>
          <t>Wuchereria bancrofti</t>
        </is>
      </c>
      <c r="H49" s="38" t="inlineStr">
        <is>
          <t>Hookworm</t>
        </is>
      </c>
      <c r="I49" s="37" t="inlineStr">
        <is>
          <t>3</t>
        </is>
      </c>
      <c r="J49" s="38"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38" t="n"/>
      <c r="L49" s="39" t="inlineStr">
        <is>
          <t>Parasitic infections</t>
        </is>
      </c>
      <c r="M49" s="39" t="inlineStr">
        <is>
          <t>Clinic</t>
        </is>
      </c>
      <c r="N49" s="38" t="inlineStr">
        <is>
          <t>ข้อ 13.3 Mock Infectious RxCU84</t>
        </is>
      </c>
      <c r="O49" s="39" t="n"/>
      <c r="P49" s="39" t="n"/>
    </row>
    <row r="50" ht="13.2" customHeight="1" s="49">
      <c r="A50" s="37" t="n">
        <v>48</v>
      </c>
      <c r="B50" s="38"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38" t="n"/>
      <c r="D50" s="38" t="inlineStr">
        <is>
          <t>หลีกเลี่ยงการรับประทานเนื้อหมูดิบหรือปรุงไม่สุก</t>
        </is>
      </c>
      <c r="E50" s="38" t="inlineStr">
        <is>
          <t>สวมรองเท้าทุกครั้งเมื่อออกจากบ้าน</t>
        </is>
      </c>
      <c r="F50" s="38" t="inlineStr">
        <is>
          <t>หลีกเลี่ยงการรับประทานปลาน้ำจืด</t>
        </is>
      </c>
      <c r="G50" s="38" t="inlineStr">
        <is>
          <t>ล้างมือหลังเข้าห้องน้ำเท่านั้น</t>
        </is>
      </c>
      <c r="H50" s="38" t="inlineStr">
        <is>
          <t>หลีกเลี่ยงการสัมผัสสุนัขและแมว</t>
        </is>
      </c>
      <c r="I50" s="37" t="inlineStr">
        <is>
          <t>1</t>
        </is>
      </c>
      <c r="J50" s="38"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8" t="n"/>
      <c r="L50" s="39" t="inlineStr">
        <is>
          <t>Parasitic infections</t>
        </is>
      </c>
      <c r="M50" s="39" t="inlineStr">
        <is>
          <t>Clinic</t>
        </is>
      </c>
      <c r="N50" s="38" t="inlineStr">
        <is>
          <t>ข้อ 13.4 Mock Infectious RxCU84</t>
        </is>
      </c>
      <c r="O50" s="39" t="n"/>
      <c r="P50" s="39" t="n"/>
    </row>
    <row r="51" ht="13.2" customHeight="1" s="49">
      <c r="A51" s="37" t="n">
        <v>49</v>
      </c>
      <c r="B51" s="38"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38" t="n"/>
      <c r="D51" s="38" t="inlineStr">
        <is>
          <t>รับประทานยาซ้ำในวันถัดไป</t>
        </is>
      </c>
      <c r="E51" s="38" t="inlineStr">
        <is>
          <t>รับประทานยาซ้ำหลัง 2 สัปดาห์</t>
        </is>
      </c>
      <c r="F51" s="38" t="inlineStr">
        <is>
          <t>สวมรองเท้าตลอดเวลา</t>
        </is>
      </c>
      <c r="G51" s="38" t="inlineStr">
        <is>
          <t>หลีกเลี่ยงการรับประทานเนื้อหมู</t>
        </is>
      </c>
      <c r="H51" s="38" t="inlineStr">
        <is>
          <t>หลีกเลี่ยงการรับประทานปลาน้ำจืด</t>
        </is>
      </c>
      <c r="I51" s="37" t="inlineStr">
        <is>
          <t>2</t>
        </is>
      </c>
      <c r="J51" s="38"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38" t="n"/>
      <c r="L51" s="39" t="inlineStr">
        <is>
          <t>Parasitic infections</t>
        </is>
      </c>
      <c r="M51" s="39" t="inlineStr">
        <is>
          <t>Clinic</t>
        </is>
      </c>
      <c r="N51" s="38" t="inlineStr">
        <is>
          <t>ข้อ 13.5 Mock Infectious RxCU84</t>
        </is>
      </c>
      <c r="O51" s="39" t="n"/>
      <c r="P51" s="39" t="n"/>
    </row>
    <row r="52" ht="13.2" customHeight="1" s="49">
      <c r="A52" s="37" t="n">
        <v>50</v>
      </c>
      <c r="B52" s="38"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38" t="n"/>
      <c r="D52" s="38" t="inlineStr">
        <is>
          <t>Primary infection จาก Varicella-Zoster Virus (VZV)</t>
        </is>
      </c>
      <c r="E52" s="38" t="inlineStr">
        <is>
          <t>Recurrent episode ของ Herpes Labialis จาก Herpes Simplex Virus type 1 (HSV-1)</t>
        </is>
      </c>
      <c r="F52" s="38" t="inlineStr">
        <is>
          <t>Genital Herpes จาก Herpes Simplex Virus type 2 (HSV-2)</t>
        </is>
      </c>
      <c r="G52" s="38" t="inlineStr">
        <is>
          <t>Impetigo จากการติดเชื้อ Staphylococcus aureus</t>
        </is>
      </c>
      <c r="H52" s="38" t="inlineStr">
        <is>
          <t>Common Warts จาก Human Papillomavirus (HPV)</t>
        </is>
      </c>
      <c r="I52" s="37" t="inlineStr">
        <is>
          <t>2</t>
        </is>
      </c>
      <c r="J52" s="38"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38" t="n"/>
      <c r="L52" s="39" t="inlineStr">
        <is>
          <t>HIV infection</t>
        </is>
      </c>
      <c r="M52" s="39" t="inlineStr">
        <is>
          <t>Clinic</t>
        </is>
      </c>
      <c r="N52" s="38" t="inlineStr">
        <is>
          <t>ข้อ 15.1 Mock Infectious RxCU84</t>
        </is>
      </c>
      <c r="O52" s="39" t="n"/>
      <c r="P52" s="39" t="n"/>
    </row>
    <row r="53" ht="13.2" customHeight="1" s="49">
      <c r="A53" s="37" t="n">
        <v>51</v>
      </c>
      <c r="B53" s="38"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38" t="n"/>
      <c r="D53" s="38" t="inlineStr">
        <is>
          <t>สามารถใช้ครีม Topical Corticosteroid ทาบริเวณแผลเพื่อลดอาการปวดแสบปวดร้อนได้ทันที</t>
        </is>
      </c>
      <c r="E53" s="38" t="inlineStr">
        <is>
          <t>หลีกเลี่ยงแสงแดด ความเครียด และการนอนดึก เนื่องจากเป็นปัจจัยกระตุ้นให้โรคกลับเป็นซ้ำ</t>
        </is>
      </c>
      <c r="F53" s="38" t="inlineStr">
        <is>
          <t>เมื่อแผลแห้งตกสะเก็ดแล้ว เชื้อไวรัสจะถูกกำจัดออกจากร่างกายจนหมด ไม่กลับมาเป็นอีก</t>
        </is>
      </c>
      <c r="G53" s="38" t="inlineStr">
        <is>
          <t>สามารถใช้ลิปมัน หรือภาชนะใส่อาหารร่วมกับผู้อื่นได้ตามปกติเพราะไม่มีการแพร่เชื้อทางสัมผัส</t>
        </is>
      </c>
      <c r="H53" s="38" t="inlineStr">
        <is>
          <t>หากแผลตกสะเก็ดช้า แนะนำให้แกะสะเก็ดออกเพื่อสะกิดตุ่มน้ำให้แห้งเร็วขึ้น</t>
        </is>
      </c>
      <c r="I53" s="37" t="inlineStr">
        <is>
          <t>2</t>
        </is>
      </c>
      <c r="J53" s="38"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38" t="n"/>
      <c r="L53" s="39" t="inlineStr">
        <is>
          <t>HIV infection</t>
        </is>
      </c>
      <c r="M53" s="39" t="inlineStr">
        <is>
          <t>Clinic</t>
        </is>
      </c>
      <c r="N53" s="38" t="inlineStr">
        <is>
          <t>ข้อ 15.2 Mock Infectious RxCU84</t>
        </is>
      </c>
      <c r="O53" s="39" t="n"/>
      <c r="P53" s="39" t="n"/>
    </row>
    <row r="54" ht="13.2" customHeight="1" s="49">
      <c r="A54" s="37" t="n">
        <v>52</v>
      </c>
      <c r="B54" s="38"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38" t="n"/>
      <c r="D54" s="38" t="inlineStr">
        <is>
          <t>เหมาะสมที่สุด: Acyclovir 5% cream / ห้ามใช้: Mupirocin ointment</t>
        </is>
      </c>
      <c r="E54" s="38" t="inlineStr">
        <is>
          <t>เหมาะสมที่สุด: Acyclovir 5% cream / ห้ามใช้: Topical Corticosteroid</t>
        </is>
      </c>
      <c r="F54" s="38" t="inlineStr">
        <is>
          <t>เหมาะสมที่สุด: Topical Corticosteroid / ห้ามใช้: Acyclovir 5% cream</t>
        </is>
      </c>
      <c r="G54" s="38" t="inlineStr">
        <is>
          <t>เหมาะสมที่สุด: Clotrimazole cream / ห้ามใช้: Topical Corticosteroid</t>
        </is>
      </c>
      <c r="H54" s="38" t="inlineStr">
        <is>
          <t>เหมาะสมที่สุด: Calamine lotion / ห้ามใช้: Docosanol cream</t>
        </is>
      </c>
      <c r="I54" s="37" t="inlineStr">
        <is>
          <t>2</t>
        </is>
      </c>
      <c r="J54" s="38"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38" t="n"/>
      <c r="L54" s="39" t="inlineStr">
        <is>
          <t>HIV infection</t>
        </is>
      </c>
      <c r="M54" s="39" t="inlineStr">
        <is>
          <t>Clinic</t>
        </is>
      </c>
      <c r="N54" s="38" t="inlineStr">
        <is>
          <t>ข้อ 15.3 Mock Infectious RxCU84</t>
        </is>
      </c>
      <c r="O54" s="39" t="n"/>
      <c r="P54" s="39" t="n"/>
    </row>
    <row r="55" ht="13.2" customHeight="1" s="49">
      <c r="A55" s="37" t="n">
        <v>53</v>
      </c>
      <c r="B55" s="38"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38" t="n"/>
      <c r="D55" s="38" t="inlineStr">
        <is>
          <t>ห้ามทานยา Acyclovir พร้อมกับ Losartan เด็ดขาด เพราะจะทำให้ความดันโลหิตลดต่ำลงอย่างรุนแรง</t>
        </is>
      </c>
      <c r="E55" s="38"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38" t="inlineStr">
        <is>
          <t>ยา Acyclovir อาจทำให้ระดับโพแทสเซียมในเลือดสูงขึ้น ควรหลีกเลี่ยงการทานกล้วยหรือส้มร่วมกับยา Losartan</t>
        </is>
      </c>
      <c r="G55" s="38" t="inlineStr">
        <is>
          <t>แนะนำให้หยุดยา HCTZ ชั่วคราวเป็นเวลา 7 วัน จนกว่าจะทานยา Acyclovir หมด เพื่อป้องกันตับอักเสบ</t>
        </is>
      </c>
      <c r="H55" s="38" t="inlineStr">
        <is>
          <t>ยา Acyclovir จะไปลดฤทธิ์ของยาความดันโลหิตทั้งสองตัว แนะนำให้วัดความดันโลหิตทุกวัน</t>
        </is>
      </c>
      <c r="I55" s="37" t="inlineStr">
        <is>
          <t>2</t>
        </is>
      </c>
      <c r="J55" s="38"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38" t="n"/>
      <c r="L55" s="39" t="inlineStr">
        <is>
          <t>HIV infection</t>
        </is>
      </c>
      <c r="M55" s="39" t="inlineStr">
        <is>
          <t>Clinic</t>
        </is>
      </c>
      <c r="N55" s="38" t="inlineStr">
        <is>
          <t>ข้อ 15.4 Mock Infectious RxCU84</t>
        </is>
      </c>
      <c r="O55" s="39" t="n"/>
      <c r="P55" s="39" t="n"/>
    </row>
    <row r="56" ht="13.2" customHeight="1" s="49">
      <c r="A56" s="37" t="n">
        <v>54</v>
      </c>
      <c r="B56" s="38"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38" t="n"/>
      <c r="D56" s="38" t="inlineStr">
        <is>
          <t>สามารถหอมแก้มหลานได้ทันที เพราะเมื่อตุ่มน้ำแตกออก เชื้อไวรัสจะถูกทำลายไปทั้งหมด</t>
        </is>
      </c>
      <c r="E56" s="38"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38"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38" t="inlineStr">
        <is>
          <t>เชื้อเริมสามารถแพร่ไปยังผู้อื่นได้เฉพาะผู้ที่มีภูมิคุ้มกันบกพร่องเท่านั้น เด็กวัย 2 ขวบมีภูมิคุ้มกันสูงจึงไม่ติดเชื้อแน่นอน</t>
        </is>
      </c>
      <c r="H56" s="38" t="inlineStr">
        <is>
          <t>แนะนำให้หลานสาวรับประทานยา Acyclovir 200 mg วันละครั้งล่วงหน้าเพื่อป้องกันการติดเชื้อ (Post-contact prophylaxis)</t>
        </is>
      </c>
      <c r="I56" s="37" t="inlineStr">
        <is>
          <t>3</t>
        </is>
      </c>
      <c r="J56" s="38"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38" t="n"/>
      <c r="L56" s="39" t="inlineStr">
        <is>
          <t>HIV infection</t>
        </is>
      </c>
      <c r="M56" s="39" t="inlineStr">
        <is>
          <t>Clinic</t>
        </is>
      </c>
      <c r="N56" s="38" t="inlineStr">
        <is>
          <t>ข้อ 15.5 Mock Infectious RxCU84</t>
        </is>
      </c>
      <c r="O56" s="39" t="n"/>
      <c r="P56" s="39" t="n"/>
    </row>
    <row r="57" ht="13.2" customHeight="1" s="49">
      <c r="A57" s="37" t="n">
        <v>55</v>
      </c>
      <c r="B57" s="38"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38" t="n"/>
      <c r="D57" s="38" t="inlineStr">
        <is>
          <t>Candidal intertrigo — เพราะมีผื่นแดงคัน</t>
        </is>
      </c>
      <c r="E57" s="38" t="inlineStr">
        <is>
          <t>Tinea pedis interdigital type — เพราะคันที่ง่ามนิ้วเท้า ผิวลอก ในคนที่สวมรองเท้าปิดนาน เหงื่อออกมาก</t>
        </is>
      </c>
      <c r="F57" s="38" t="inlineStr">
        <is>
          <t>Erythrasma — เพราะพบบ่อยที่ง่ามนิ้วเท้าเช่นกัน</t>
        </is>
      </c>
      <c r="G57" s="38" t="inlineStr">
        <is>
          <t>Contact dermatitis — เพราะเริ่มเป็นเฉียบพลันเมื่อวาน</t>
        </is>
      </c>
      <c r="H57" s="38" t="inlineStr">
        <is>
          <t>Psoriasis vulgaris — เพราะมีขุยสีเงินหนาตัว</t>
        </is>
      </c>
      <c r="I57" s="37" t="inlineStr">
        <is>
          <t>2</t>
        </is>
      </c>
      <c r="J57" s="38"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38" t="n"/>
      <c r="L57" s="39" t="inlineStr">
        <is>
          <t>HIV infection</t>
        </is>
      </c>
      <c r="M57" s="39" t="inlineStr">
        <is>
          <t>Clinic</t>
        </is>
      </c>
      <c r="N57" s="38" t="inlineStr">
        <is>
          <t>ข้อ 16.1 Mock Infectious RxCU84</t>
        </is>
      </c>
      <c r="O57" s="39" t="n"/>
      <c r="P57" s="39" t="n"/>
    </row>
    <row r="58" ht="13.2" customHeight="1" s="49">
      <c r="A58" s="37" t="n">
        <v>56</v>
      </c>
      <c r="B58" s="38"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38" t="n"/>
      <c r="D58" s="38" t="inlineStr">
        <is>
          <t>Wood's lamp — คาดว่าเรืองแสงสีเขียว</t>
        </is>
      </c>
      <c r="E58" s="38" t="inlineStr">
        <is>
          <t>Tzanck smear — คาดว่าพบ multinucleated giant cell</t>
        </is>
      </c>
      <c r="F58" s="38" t="inlineStr">
        <is>
          <t>KOH preparation จากบริเวณขุยที่ผื่น — คาดว่าพบ septate branching hyphae</t>
        </is>
      </c>
      <c r="G58" s="38" t="inlineStr">
        <is>
          <t>Gram stain — คาดว่าพบ gram-positive cocci</t>
        </is>
      </c>
      <c r="H58" s="38" t="inlineStr">
        <is>
          <t>Dark-field microscopy — คาดว่าพบ motile spirochetes</t>
        </is>
      </c>
      <c r="I58" s="37" t="inlineStr">
        <is>
          <t>3</t>
        </is>
      </c>
      <c r="J58" s="38"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38" t="n"/>
      <c r="L58" s="39" t="inlineStr">
        <is>
          <t>HIV infection</t>
        </is>
      </c>
      <c r="M58" s="39" t="inlineStr">
        <is>
          <t>Clinic</t>
        </is>
      </c>
      <c r="N58" s="38" t="inlineStr">
        <is>
          <t>ข้อ 16.2 Mock Infectious RxCU84</t>
        </is>
      </c>
      <c r="O58" s="39" t="n"/>
      <c r="P58" s="39" t="n"/>
    </row>
    <row r="59" ht="13.2" customHeight="1" s="49">
      <c r="A59" s="37" t="n">
        <v>57</v>
      </c>
      <c r="B59" s="38"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38" t="n"/>
      <c r="D59" s="38" t="inlineStr">
        <is>
          <t>Itraconazole 200 มก. รับประทานวันละครั้ง นาน 7 วัน</t>
        </is>
      </c>
      <c r="E59" s="38" t="inlineStr">
        <is>
          <t>Terbinafine 1% cream ทาวันละครั้ง นาน 2-4 สัปดาห์</t>
        </is>
      </c>
      <c r="F59" s="38" t="inlineStr">
        <is>
          <t>Prednisolone cream ทาวันละ 2 ครั้ง นาน 1 สัปดาห์</t>
        </is>
      </c>
      <c r="G59" s="38" t="inlineStr">
        <is>
          <t>Ketoconazole 200 มก. รับประทานวันละครั้ง นาน 2-4 สัปดาห์</t>
        </is>
      </c>
      <c r="H59" s="38" t="inlineStr">
        <is>
          <t>Griseofulvin 500 มก. รับประทานวันละ 1 ครั้ง นาน 4-6 สัปดาห์</t>
        </is>
      </c>
      <c r="I59" s="37" t="inlineStr">
        <is>
          <t>2</t>
        </is>
      </c>
      <c r="J59" s="38"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38" t="n"/>
      <c r="L59" s="39" t="inlineStr">
        <is>
          <t>HIV infection</t>
        </is>
      </c>
      <c r="M59" s="39" t="inlineStr">
        <is>
          <t>Clinic</t>
        </is>
      </c>
      <c r="N59" s="38" t="inlineStr">
        <is>
          <t>ข้อ 16.3 Mock Infectious RxCU84</t>
        </is>
      </c>
      <c r="O59" s="39" t="n"/>
      <c r="P59" s="39" t="n"/>
    </row>
    <row r="60" ht="13.2" customHeight="1" s="49">
      <c r="A60" s="37" t="n">
        <v>58</v>
      </c>
      <c r="B60" s="38"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38" t="n"/>
      <c r="D60" s="38" t="inlineStr">
        <is>
          <t>เช็ดเท้าให้แห้งสนิทโดยเฉพาะซอกนิ้วเท้าหลังอาบน้ำทุกครั้ง</t>
        </is>
      </c>
      <c r="E60" s="38" t="inlineStr">
        <is>
          <t>สวมถุงเท้าชนิดดูดซับความชื้นได้ดี และเปลี่ยนถุงเท้าบ่อยๆ</t>
        </is>
      </c>
      <c r="F60" s="38" t="inlineStr">
        <is>
          <t>ใช้แป้งโรยเท้า/รองเท้า/ถุงเท้าที่ผสมยาต้านเชื้อราเป็นประจำเพื่อลดการกลับเป็นซ้ำ</t>
        </is>
      </c>
      <c r="G60" s="38" t="inlineStr">
        <is>
          <t>ทายาต่อเนื่องจนกว่าอาการคันจะหายไป แล้วหยุดยาได้ทันที</t>
        </is>
      </c>
      <c r="H60" s="38" t="inlineStr">
        <is>
          <t>หลีกเลี่ยงการสวมใส่รองเท้าที่คับหรืออับชื้นเกินไป</t>
        </is>
      </c>
      <c r="I60" s="37" t="inlineStr">
        <is>
          <t>4</t>
        </is>
      </c>
      <c r="J60" s="38"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38" t="n"/>
      <c r="L60" s="39" t="inlineStr">
        <is>
          <t>HIV infection</t>
        </is>
      </c>
      <c r="M60" s="39" t="inlineStr">
        <is>
          <t>Clinic</t>
        </is>
      </c>
      <c r="N60" s="38" t="inlineStr">
        <is>
          <t>ข้อ 16.4 Mock Infectious RxCU84</t>
        </is>
      </c>
      <c r="O60" s="39" t="n"/>
      <c r="P60" s="39" t="n"/>
    </row>
    <row r="61" ht="13.2" customHeight="1" s="49">
      <c r="A61" s="37" t="n">
        <v>59</v>
      </c>
      <c r="B61" s="38"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38" t="n"/>
      <c r="D61" s="38" t="inlineStr">
        <is>
          <t>เพิ่มความถี่การทา terbinafine cream เป็นวันละ 3 ครั้ง</t>
        </is>
      </c>
      <c r="E61" s="38" t="inlineStr">
        <is>
          <t>เปลี่ยนเป็น topical steroid ร่วมกับ antifungal cream เดิม</t>
        </is>
      </c>
      <c r="F61" s="38" t="inlineStr">
        <is>
          <t>เปลี่ยนเป็น oral antifungal เนื่องจากเข้าลักษณะ moccasin-type tinea pedis ที่ตอบสนองต่อยาทาไม่ดี</t>
        </is>
      </c>
      <c r="G61" s="38" t="inlineStr">
        <is>
          <t>หยุดยาทาทันทีเพราะน่าจะเป็นการแพ้ยา</t>
        </is>
      </c>
      <c r="H61" s="38" t="inlineStr">
        <is>
          <t>เปลี่ยนเป็นยาทา Ketoconazole cream ทาร่วมกับ Clotrimazole powder</t>
        </is>
      </c>
      <c r="I61" s="37" t="inlineStr">
        <is>
          <t>3</t>
        </is>
      </c>
      <c r="J61" s="38"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38" t="n"/>
      <c r="L61" s="39" t="inlineStr">
        <is>
          <t>HIV infection</t>
        </is>
      </c>
      <c r="M61" s="39" t="inlineStr">
        <is>
          <t>Clinic</t>
        </is>
      </c>
      <c r="N61" s="38" t="inlineStr">
        <is>
          <t>ข้อ 16.5 Mock Infectious RxCU84</t>
        </is>
      </c>
      <c r="O61" s="39" t="n"/>
      <c r="P61" s="39" t="n"/>
    </row>
    <row r="62" ht="13.2" customHeight="1" s="49">
      <c r="A62" s="37" t="n">
        <v>60</v>
      </c>
      <c r="B62" s="38" t="inlineStr">
        <is>
          <t>Sulfonamide เป็น competitive antagonist ของสารใด</t>
        </is>
      </c>
      <c r="C62" s="38" t="n"/>
      <c r="D62" s="38" t="inlineStr">
        <is>
          <t>PABA</t>
        </is>
      </c>
      <c r="E62" s="38" t="inlineStr">
        <is>
          <t>PAS</t>
        </is>
      </c>
      <c r="F62" s="38" t="inlineStr">
        <is>
          <t>Folic acid</t>
        </is>
      </c>
      <c r="G62" s="38" t="inlineStr">
        <is>
          <t>Vitamin B5</t>
        </is>
      </c>
      <c r="H62" s="38" t="inlineStr">
        <is>
          <t>THF</t>
        </is>
      </c>
      <c r="I62" s="37" t="inlineStr">
        <is>
          <t>2</t>
        </is>
      </c>
      <c r="J62" s="38"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38" t="n"/>
      <c r="L62" s="39" t="inlineStr">
        <is>
          <t>HIV infection</t>
        </is>
      </c>
      <c r="M62" s="39" t="inlineStr">
        <is>
          <t>Clinic</t>
        </is>
      </c>
      <c r="N62" s="38" t="inlineStr">
        <is>
          <t>ข้อ 1 Pharma Plus เล่มม่วง (เฉลยข้อ ข)</t>
        </is>
      </c>
      <c r="O62" s="39" t="n"/>
      <c r="P62" s="39" t="n"/>
    </row>
    <row r="63" ht="13.2" customHeight="1" s="49">
      <c r="A63" s="37" t="n">
        <v>61</v>
      </c>
      <c r="B63"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38" t="n"/>
      <c r="D63" s="38" t="inlineStr">
        <is>
          <t>Pityriasis versicolor</t>
        </is>
      </c>
      <c r="E63" s="38" t="inlineStr">
        <is>
          <t>Candidiasis</t>
        </is>
      </c>
      <c r="F63" s="38" t="inlineStr">
        <is>
          <t>Psoriasis</t>
        </is>
      </c>
      <c r="G63" s="38" t="inlineStr">
        <is>
          <t>Tinea pedis</t>
        </is>
      </c>
      <c r="H63" s="38" t="inlineStr">
        <is>
          <t>Tinea corporis</t>
        </is>
      </c>
      <c r="I63" s="37" t="inlineStr">
        <is>
          <t>2</t>
        </is>
      </c>
      <c r="J63" s="38"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38" t="n"/>
      <c r="L63" s="39" t="inlineStr">
        <is>
          <t>HIV infection</t>
        </is>
      </c>
      <c r="M63" s="39" t="inlineStr">
        <is>
          <t>Clinic</t>
        </is>
      </c>
      <c r="N63" s="38" t="inlineStr">
        <is>
          <t>ข้อ 1 Pharma Plus เล่มม่วง (เฉลยข้อ ข)</t>
        </is>
      </c>
      <c r="O63" s="39" t="n"/>
      <c r="P63" s="39" t="n"/>
    </row>
    <row r="64" ht="13.2" customHeight="1" s="49">
      <c r="A64" s="37" t="n">
        <v>62</v>
      </c>
      <c r="B64" s="38"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38" t="n"/>
      <c r="D64" s="38" t="inlineStr">
        <is>
          <t>เริ่มใช้ GPO-vir ทันที</t>
        </is>
      </c>
      <c r="E64" s="38" t="inlineStr">
        <is>
          <t>เริ่มให้ GPO-vir เมื่อ CD4 &lt; 200 cell/mm³</t>
        </is>
      </c>
      <c r="F64" s="38" t="inlineStr">
        <is>
          <t>เริ่ม GPO-vir เมื่ออายุครรภ์ 28 สัปดาห์</t>
        </is>
      </c>
      <c r="G64" s="38" t="inlineStr">
        <is>
          <t>เริ่ม AZT ทันทีเมื่ออายุครรภ์ 28 สัปดาห์</t>
        </is>
      </c>
      <c r="H64" s="38" t="inlineStr">
        <is>
          <t>เริ่มให้ TDF + 3TC + EFV ทันที</t>
        </is>
      </c>
      <c r="I64" s="37" t="inlineStr">
        <is>
          <t>2</t>
        </is>
      </c>
      <c r="J64" s="38"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38" t="n"/>
      <c r="L64" s="39" t="inlineStr">
        <is>
          <t>HIV infection</t>
        </is>
      </c>
      <c r="M64" s="39" t="inlineStr">
        <is>
          <t>Clinic</t>
        </is>
      </c>
      <c r="N64" s="38" t="inlineStr">
        <is>
          <t>ข้อ 1 Pharma Plus เล่มม่วง (เฉลยข้อ ข)</t>
        </is>
      </c>
      <c r="O64" s="39" t="n"/>
      <c r="P64" s="39" t="n"/>
    </row>
    <row r="65" ht="13.2" customHeight="1" s="49">
      <c r="A65" s="37" t="n">
        <v>63</v>
      </c>
      <c r="B65" s="38"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38" t="n"/>
      <c r="D65" s="38" t="inlineStr">
        <is>
          <t>พยาธิตัวตืด</t>
        </is>
      </c>
      <c r="E65" s="38" t="inlineStr">
        <is>
          <t>พยาธิปากขอ</t>
        </is>
      </c>
      <c r="F65" s="38" t="inlineStr">
        <is>
          <t>พยาธิเส้นด้าย</t>
        </is>
      </c>
      <c r="G65" s="38" t="inlineStr">
        <is>
          <t>พยาธิใบไม้</t>
        </is>
      </c>
      <c r="H65" s="38" t="inlineStr">
        <is>
          <t>พยาธิเท้าช้าง</t>
        </is>
      </c>
      <c r="I65" s="37" t="inlineStr">
        <is>
          <t>2</t>
        </is>
      </c>
      <c r="J65" s="38"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38" t="n"/>
      <c r="L65" s="39" t="inlineStr">
        <is>
          <t>Parasitic infections</t>
        </is>
      </c>
      <c r="M65" s="39" t="inlineStr">
        <is>
          <t>Clinic</t>
        </is>
      </c>
      <c r="N65" s="38" t="inlineStr">
        <is>
          <t>ข้อ 1 Pharma Plus เล่มม่วง (เฉลยข้อ ข)</t>
        </is>
      </c>
      <c r="O65" s="39" t="n"/>
      <c r="P65" s="39" t="n"/>
    </row>
    <row r="66" ht="13.2" customHeight="1" s="49">
      <c r="A66" s="37" t="n">
        <v>64</v>
      </c>
      <c r="B66" s="38" t="inlineStr">
        <is>
          <t>ยาทาสิวที่เป็น antibiotic</t>
        </is>
      </c>
      <c r="C66" s="38" t="n"/>
      <c r="D66" s="38" t="inlineStr">
        <is>
          <t>Clindamycin</t>
        </is>
      </c>
      <c r="E66" s="38" t="inlineStr">
        <is>
          <t>Erythromycin</t>
        </is>
      </c>
      <c r="F66" s="38" t="inlineStr">
        <is>
          <t>Tretinoin</t>
        </is>
      </c>
      <c r="G66" s="38" t="inlineStr">
        <is>
          <t>ก ข</t>
        </is>
      </c>
      <c r="H66" s="38" t="inlineStr">
        <is>
          <t>ก ข ค</t>
        </is>
      </c>
      <c r="I66" s="37" t="inlineStr">
        <is>
          <t>3</t>
        </is>
      </c>
      <c r="J66" s="38"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38" t="n"/>
      <c r="L66" s="39" t="inlineStr">
        <is>
          <t>HIV infection</t>
        </is>
      </c>
      <c r="M66" s="39" t="inlineStr">
        <is>
          <t>Clinic</t>
        </is>
      </c>
      <c r="N66" s="38" t="inlineStr">
        <is>
          <t>ข้อ 2 Pharma Plus เล่มม่วง (เฉลยข้อ ค)</t>
        </is>
      </c>
      <c r="O66" s="39" t="n"/>
      <c r="P66" s="39" t="n"/>
    </row>
    <row r="67" ht="13.2" customHeight="1" s="49">
      <c r="A67" s="37" t="n">
        <v>65</v>
      </c>
      <c r="B67"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38" t="n"/>
      <c r="D67" s="38" t="inlineStr">
        <is>
          <t>Trichophyton rubrum</t>
        </is>
      </c>
      <c r="E67" s="38" t="inlineStr">
        <is>
          <t>Epidermophyton floccousm</t>
        </is>
      </c>
      <c r="F67" s="38" t="inlineStr">
        <is>
          <t>Microsporum gypseum</t>
        </is>
      </c>
      <c r="G67" s="38" t="inlineStr">
        <is>
          <t>Malassezia furfur</t>
        </is>
      </c>
      <c r="H67" s="38" t="inlineStr">
        <is>
          <t>Candida albicans</t>
        </is>
      </c>
      <c r="I67" s="37" t="inlineStr">
        <is>
          <t>3</t>
        </is>
      </c>
      <c r="J67" s="38"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38" t="n"/>
      <c r="L67" s="39" t="inlineStr">
        <is>
          <t>HIV infection</t>
        </is>
      </c>
      <c r="M67" s="39" t="inlineStr">
        <is>
          <t>Clinic</t>
        </is>
      </c>
      <c r="N67" s="38" t="inlineStr">
        <is>
          <t>ข้อ 2 Pharma Plus เล่มม่วง (เฉลยข้อ ค)</t>
        </is>
      </c>
      <c r="O67" s="39" t="n"/>
      <c r="P67" s="39" t="n"/>
    </row>
    <row r="68" ht="13.2" customHeight="1" s="49">
      <c r="A68" s="37" t="n">
        <v>66</v>
      </c>
      <c r="B68" s="38" t="inlineStr">
        <is>
          <t>N3 หรือ Azido group จากโครงสร้างของ AZT มีผลทำให้เกิดสิ่งใด</t>
        </is>
      </c>
      <c r="C68" s="38" t="n"/>
      <c r="D68" s="38" t="inlineStr">
        <is>
          <t>เพิ่มค่าครึ่งชีวิตให้ยาวขึ้น</t>
        </is>
      </c>
      <c r="E68" s="38" t="inlineStr">
        <is>
          <t>เพิ่มการดูดซึม</t>
        </is>
      </c>
      <c r="F68" s="38" t="inlineStr">
        <is>
          <t>เพิ่มการออกฤทธิ์</t>
        </is>
      </c>
      <c r="G68" s="38" t="inlineStr">
        <is>
          <t>มีผลต่อการตั้งสูตรตำรับ</t>
        </is>
      </c>
      <c r="H68" s="38" t="inlineStr">
        <is>
          <t>เพิ่มความสามารถในการจับกับโปรตีน albumin</t>
        </is>
      </c>
      <c r="I68" s="37" t="inlineStr">
        <is>
          <t>3</t>
        </is>
      </c>
      <c r="J68" s="38"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38" t="n"/>
      <c r="L68" s="39" t="inlineStr">
        <is>
          <t>HIV infection</t>
        </is>
      </c>
      <c r="M68" s="39" t="inlineStr">
        <is>
          <t>Clinic</t>
        </is>
      </c>
      <c r="N68" s="38" t="inlineStr">
        <is>
          <t>ข้อ 2 Pharma Plus เล่มม่วง (เฉลยข้อ ค)</t>
        </is>
      </c>
      <c r="O68" s="39" t="n"/>
      <c r="P68" s="39" t="n"/>
    </row>
    <row r="69" ht="13.2" customHeight="1" s="49">
      <c r="A69" s="37" t="n">
        <v>67</v>
      </c>
      <c r="B69" s="38"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38" t="n"/>
      <c r="D69" s="38" t="inlineStr">
        <is>
          <t>Praziquantel 5-25 mg/kg/day po once</t>
        </is>
      </c>
      <c r="E69" s="38" t="inlineStr">
        <is>
          <t>Niclosamide 2 g single dose</t>
        </is>
      </c>
      <c r="F69" s="38" t="inlineStr">
        <is>
          <t>Albendazole 400 mg single dose</t>
        </is>
      </c>
      <c r="G69" s="38" t="inlineStr">
        <is>
          <t>Mebendazole 500 mg single dose</t>
        </is>
      </c>
      <c r="H69" s="38" t="inlineStr">
        <is>
          <t>ได้ทั้งข้อ ก และ ข้อ ข</t>
        </is>
      </c>
      <c r="I69" s="37" t="inlineStr">
        <is>
          <t>3</t>
        </is>
      </c>
      <c r="J69" s="38"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38" t="n"/>
      <c r="L69" s="39" t="inlineStr">
        <is>
          <t>Parasitic infections</t>
        </is>
      </c>
      <c r="M69" s="39" t="inlineStr">
        <is>
          <t>Clinic</t>
        </is>
      </c>
      <c r="N69" s="38" t="inlineStr">
        <is>
          <t>ข้อ 2 Pharma Plus เล่มม่วง (เฉลยข้อ ค)</t>
        </is>
      </c>
      <c r="O69" s="39" t="n"/>
      <c r="P69" s="39" t="n"/>
    </row>
    <row r="70" ht="13.2" customHeight="1" s="49">
      <c r="A70" s="37" t="n">
        <v>68</v>
      </c>
      <c r="B70" s="38" t="inlineStr">
        <is>
          <t>การกินยากลุ่ม quinolone ร่วมกับนมมีผลอย่างไร</t>
        </is>
      </c>
      <c r="C70" s="38" t="n"/>
      <c r="D70" s="38" t="inlineStr">
        <is>
          <t>เพิ่มการดูดซึมเพราะนมมันจะไป ต่อเยื่อบุทางเดินอาหาร ทำให้การดูดซึมง่ายขึ้น</t>
        </is>
      </c>
      <c r="E70" s="38" t="inlineStr">
        <is>
          <t>ลดการดูดซึม เพราะนมมันจะไป ต่อเยื่อบุทางเดินอาหาร ทำให้การดูดซึมยากขึ้น</t>
        </is>
      </c>
      <c r="F70" s="38" t="inlineStr">
        <is>
          <t>เพิ่มการดูดซึม เพราะ นมมันไป chelate กับยาทำให้การละลายเพิ่มขึ้น</t>
        </is>
      </c>
      <c r="G70" s="38" t="inlineStr">
        <is>
          <t>ลดการดูดซึม เพราะ นมมันไป chelate กับยาทำให้การละลายลดลง</t>
        </is>
      </c>
      <c r="H70" s="38" t="inlineStr">
        <is>
          <t>นมไม่มีผลต่อการดูดซึม</t>
        </is>
      </c>
      <c r="I70" s="37" t="inlineStr">
        <is>
          <t>4</t>
        </is>
      </c>
      <c r="J70" s="38"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38" t="n"/>
      <c r="L70" s="39" t="inlineStr">
        <is>
          <t>HIV infection</t>
        </is>
      </c>
      <c r="M70" s="39" t="inlineStr">
        <is>
          <t>Clinic</t>
        </is>
      </c>
      <c r="N70" s="38" t="inlineStr">
        <is>
          <t>ข้อ 3 Pharma Plus เล่มม่วง (เฉลยข้อ ง)</t>
        </is>
      </c>
      <c r="O70" s="39" t="n"/>
      <c r="P70" s="39" t="n"/>
    </row>
    <row r="71" ht="13.2" customHeight="1" s="49">
      <c r="A71" s="37" t="n">
        <v>69</v>
      </c>
      <c r="B71"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38" t="n"/>
      <c r="D71" s="38" t="inlineStr">
        <is>
          <t>Nystatin</t>
        </is>
      </c>
      <c r="E71" s="38" t="inlineStr">
        <is>
          <t>Griseofulvin</t>
        </is>
      </c>
      <c r="F71" s="38" t="inlineStr">
        <is>
          <t>Clotrimazole</t>
        </is>
      </c>
      <c r="G71" s="38" t="inlineStr">
        <is>
          <t>Itraconazole</t>
        </is>
      </c>
      <c r="H71" s="38" t="inlineStr">
        <is>
          <t>Whitfield ointment</t>
        </is>
      </c>
      <c r="I71" s="37" t="inlineStr">
        <is>
          <t>4</t>
        </is>
      </c>
      <c r="J71" s="38"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38" t="n"/>
      <c r="L71" s="39" t="inlineStr">
        <is>
          <t>HIV infection</t>
        </is>
      </c>
      <c r="M71" s="39" t="inlineStr">
        <is>
          <t>Clinic</t>
        </is>
      </c>
      <c r="N71" s="38" t="inlineStr">
        <is>
          <t>ข้อ 3 Pharma Plus เล่มม่วง (เฉลยข้อ ง)</t>
        </is>
      </c>
      <c r="O71" s="39" t="n"/>
      <c r="P71" s="39" t="n"/>
    </row>
    <row r="72" ht="13.2" customHeight="1" s="49">
      <c r="A72" s="37" t="n">
        <v>70</v>
      </c>
      <c r="B72" s="38" t="inlineStr">
        <is>
          <t>ยา ARV ตัวใดไม่ควรใช้ในหญิงตั้งครรภ์ ไตรมาสที่ 3</t>
        </is>
      </c>
      <c r="C72" s="38" t="n"/>
      <c r="D72" s="38" t="inlineStr">
        <is>
          <t>Efavirenz</t>
        </is>
      </c>
      <c r="E72" s="38" t="inlineStr">
        <is>
          <t>Stavudine</t>
        </is>
      </c>
      <c r="F72" s="38" t="inlineStr">
        <is>
          <t>Nevirapine</t>
        </is>
      </c>
      <c r="G72" s="38" t="inlineStr">
        <is>
          <t>Lamivudine</t>
        </is>
      </c>
      <c r="H72" s="38" t="inlineStr">
        <is>
          <t>ไม่มีข้อใดถูก</t>
        </is>
      </c>
      <c r="I72" s="37" t="inlineStr">
        <is>
          <t>4</t>
        </is>
      </c>
      <c r="J72" s="38"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38" t="n"/>
      <c r="L72" s="39" t="inlineStr">
        <is>
          <t>HIV infection</t>
        </is>
      </c>
      <c r="M72" s="39" t="inlineStr">
        <is>
          <t>Clinic</t>
        </is>
      </c>
      <c r="N72" s="38" t="inlineStr">
        <is>
          <t>ข้อ 3 Pharma Plus เล่มม่วง (เฉลยข้อ ง)</t>
        </is>
      </c>
      <c r="O72" s="39" t="n"/>
      <c r="P72" s="39" t="n"/>
    </row>
    <row r="73" ht="13.2" customHeight="1" s="49">
      <c r="A73" s="37" t="n">
        <v>71</v>
      </c>
      <c r="B73" s="38"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38" t="n"/>
      <c r="D73" s="38" t="inlineStr">
        <is>
          <t>ใช้รักษาการติดเชื้อพยาธิตัวกลมไม่ได้ผล</t>
        </is>
      </c>
      <c r="E73" s="38" t="inlineStr">
        <is>
          <t>ออกฤทธิ์เป็น cestocidal</t>
        </is>
      </c>
      <c r="F73" s="38" t="inlineStr">
        <is>
          <t>ฆ่าไข่พยาธิ (ovicide)</t>
        </is>
      </c>
      <c r="G73" s="38" t="inlineStr">
        <is>
          <t>ใช้รักษาการติดเชื้อพยาธิใบไม้ในตับได้</t>
        </is>
      </c>
      <c r="H73" s="38" t="inlineStr">
        <is>
          <t>ทำให้ง่วงนอน</t>
        </is>
      </c>
      <c r="I73" s="37" t="inlineStr">
        <is>
          <t>4</t>
        </is>
      </c>
      <c r="J73" s="38"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38" t="n"/>
      <c r="L73" s="39" t="inlineStr">
        <is>
          <t>Parasitic infections</t>
        </is>
      </c>
      <c r="M73" s="39" t="inlineStr">
        <is>
          <t>Clinic</t>
        </is>
      </c>
      <c r="N73" s="38" t="inlineStr">
        <is>
          <t>ข้อ 3 Pharma Plus เล่มม่วง (เฉลยข้อ ง)</t>
        </is>
      </c>
      <c r="O73" s="39" t="n"/>
      <c r="P73" s="39" t="n"/>
    </row>
    <row r="74" ht="13.2" customHeight="1" s="49">
      <c r="A74" s="37" t="n">
        <v>72</v>
      </c>
      <c r="B74" s="38" t="inlineStr">
        <is>
          <t>ยา tetracycline เมื่อหมดอายุแล้วรับประทานจะทำให้เกิดอาการอะไร</t>
        </is>
      </c>
      <c r="C74" s="38" t="n"/>
      <c r="D74" s="38" t="inlineStr">
        <is>
          <t>Fanconi-like syndrome</t>
        </is>
      </c>
      <c r="E74" s="38" t="inlineStr">
        <is>
          <t>Megaloblastic anemia</t>
        </is>
      </c>
      <c r="F74" s="38" t="inlineStr">
        <is>
          <t>Pyogenic granuloma</t>
        </is>
      </c>
      <c r="G74" s="38" t="inlineStr">
        <is>
          <t>Dress syndrome</t>
        </is>
      </c>
      <c r="H74" s="38" t="inlineStr">
        <is>
          <t>Stevens-Johnson syndrome</t>
        </is>
      </c>
      <c r="I74" s="37" t="inlineStr">
        <is>
          <t>1</t>
        </is>
      </c>
      <c r="J74" s="38"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38" t="n"/>
      <c r="L74" s="39" t="inlineStr">
        <is>
          <t>HIV infection</t>
        </is>
      </c>
      <c r="M74" s="39" t="inlineStr">
        <is>
          <t>Clinic</t>
        </is>
      </c>
      <c r="N74" s="38" t="inlineStr">
        <is>
          <t>ข้อ 4 Pharma Plus เล่มม่วง (เฉลยข้อ ก)</t>
        </is>
      </c>
      <c r="O74" s="39" t="n"/>
      <c r="P74" s="39" t="n"/>
    </row>
    <row r="75" ht="13.2" customHeight="1" s="49">
      <c r="A75" s="37" t="n">
        <v>73</v>
      </c>
      <c r="B75" s="38"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38" t="n"/>
      <c r="D75" s="38" t="inlineStr">
        <is>
          <t>Tinea capitis</t>
        </is>
      </c>
      <c r="E75" s="38" t="inlineStr">
        <is>
          <t>Tinea corporis</t>
        </is>
      </c>
      <c r="F75" s="38" t="inlineStr">
        <is>
          <t>Tinea cruris</t>
        </is>
      </c>
      <c r="G75" s="38" t="inlineStr">
        <is>
          <t>Tinea faciei</t>
        </is>
      </c>
      <c r="H75" s="38" t="inlineStr">
        <is>
          <t>Tinea pedis</t>
        </is>
      </c>
      <c r="I75" s="37" t="inlineStr">
        <is>
          <t>1</t>
        </is>
      </c>
      <c r="J75" s="38"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38" t="n"/>
      <c r="L75" s="39" t="inlineStr">
        <is>
          <t>HIV infection</t>
        </is>
      </c>
      <c r="M75" s="39" t="inlineStr">
        <is>
          <t>Clinic</t>
        </is>
      </c>
      <c r="N75" s="38" t="inlineStr">
        <is>
          <t>ข้อ 4 Pharma Plus เล่มม่วง (เฉลยข้อ ก)</t>
        </is>
      </c>
      <c r="O75" s="39" t="n"/>
      <c r="P75" s="39" t="n"/>
    </row>
    <row r="76" ht="13.2" customHeight="1" s="49">
      <c r="A76" s="37" t="n">
        <v>74</v>
      </c>
      <c r="B76" s="38" t="inlineStr">
        <is>
          <t>หากหญิงตั้งครรภ์รายนี้ได้รับยาตามสูตรที่แนะนำตั้งแต่เริ่มแรก เมื่อหญิงตั้งครรภ์ HIV ปวดท้องคลอดจะให้ยาอย่างไร</t>
        </is>
      </c>
      <c r="C76" s="38" t="n"/>
      <c r="D76" s="38" t="inlineStr">
        <is>
          <t>AZT q 3 hrs</t>
        </is>
      </c>
      <c r="E76" s="38" t="inlineStr">
        <is>
          <t>NVP q 3 hrs</t>
        </is>
      </c>
      <c r="F76" s="38" t="inlineStr">
        <is>
          <t>AZT OD + NVP q 3 hrs</t>
        </is>
      </c>
      <c r="G76" s="38" t="inlineStr">
        <is>
          <t>AZT q 3 hrs + NVP OD</t>
        </is>
      </c>
      <c r="H76" s="38" t="inlineStr">
        <is>
          <t>AZT + NVP q 3 hrs</t>
        </is>
      </c>
      <c r="I76" s="37" t="inlineStr">
        <is>
          <t>1</t>
        </is>
      </c>
      <c r="J76" s="38"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38" t="n"/>
      <c r="L76" s="39" t="inlineStr">
        <is>
          <t>HIV infection</t>
        </is>
      </c>
      <c r="M76" s="39" t="inlineStr">
        <is>
          <t>Clinic</t>
        </is>
      </c>
      <c r="N76" s="38" t="inlineStr">
        <is>
          <t>ข้อ 4 Pharma Plus เล่มม่วง (เฉลยข้อ ก)</t>
        </is>
      </c>
      <c r="O76" s="39" t="n"/>
      <c r="P76" s="39" t="n"/>
    </row>
    <row r="77" ht="13.2" customHeight="1" s="49">
      <c r="A77" s="37" t="n">
        <v>75</v>
      </c>
      <c r="B77" s="38"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38" t="n"/>
      <c r="D77" s="38" t="inlineStr">
        <is>
          <t>เคี้ยวยาให้ละเอียดก่อนกลืน</t>
        </is>
      </c>
      <c r="E77" s="38" t="inlineStr">
        <is>
          <t>กินยาระบายร่วมด้วย โดยกินหลัง Niclosamide 2 ชั่วโมง เพื่อป้องกัน Cysticercosis</t>
        </is>
      </c>
      <c r="F77" s="38" t="inlineStr">
        <is>
          <t>หลีกเลี่ยง alcohol ทั้งขณะกินยาหรือหลังกิน 1 วัน</t>
        </is>
      </c>
      <c r="G77" s="38" t="inlineStr">
        <is>
          <t>อาการข้างเคียง คือ คลื่นไส้ อาเจียน ถ่ายท้อง ไม่สบายท้อง</t>
        </is>
      </c>
      <c r="H77" s="38" t="inlineStr">
        <is>
          <t>Niclosamide ถูกดูดซึมในลำไส้ได้ดี</t>
        </is>
      </c>
      <c r="I77" s="37" t="inlineStr">
        <is>
          <t>1</t>
        </is>
      </c>
      <c r="J77" s="38"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38" t="n"/>
      <c r="L77" s="39" t="inlineStr">
        <is>
          <t>Parasitic infections</t>
        </is>
      </c>
      <c r="M77" s="39" t="inlineStr">
        <is>
          <t>Clinic</t>
        </is>
      </c>
      <c r="N77" s="38" t="inlineStr">
        <is>
          <t>ข้อ 4 Pharma Plus เล่มม่วง (เฉลยข้อ ก)</t>
        </is>
      </c>
      <c r="O77" s="39" t="n"/>
      <c r="P77" s="39" t="n"/>
    </row>
    <row r="78" ht="13.2" customHeight="1" s="49">
      <c r="A78" s="37" t="n">
        <v>76</v>
      </c>
      <c r="B78" s="38" t="inlineStr">
        <is>
          <t>ยาในกลุ่ม quinolone มีกลไกการออกฤทธิ์เป็นอย่างไร</t>
        </is>
      </c>
      <c r="C78" s="38" t="n"/>
      <c r="D78" s="38" t="inlineStr">
        <is>
          <t>ขัดขวางการสร้างผนังเซลล์</t>
        </is>
      </c>
      <c r="E78" s="38" t="inlineStr">
        <is>
          <t>ขัดขวางการสร้างผนังหุ้มเซลล์</t>
        </is>
      </c>
      <c r="F78" s="38" t="inlineStr">
        <is>
          <t>ขัดขวางการสร้าง folic acid</t>
        </is>
      </c>
      <c r="G78" s="38" t="inlineStr">
        <is>
          <t>ขัดขวางการสังเคราะห์ nucleic acid</t>
        </is>
      </c>
      <c r="H78" s="38" t="inlineStr">
        <is>
          <t>Meropenem 1 g IV Q8H</t>
        </is>
      </c>
      <c r="I78" s="37" t="inlineStr">
        <is>
          <t>3</t>
        </is>
      </c>
      <c r="J78" s="38"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38" t="n"/>
      <c r="L78" s="39" t="inlineStr">
        <is>
          <t>HIV infection</t>
        </is>
      </c>
      <c r="M78" s="39" t="inlineStr">
        <is>
          <t>Clinic</t>
        </is>
      </c>
      <c r="N78" s="38" t="inlineStr">
        <is>
          <t>ข้อ 5 Pharma Plus เล่มม่วง (เฉลยข้อ ค)</t>
        </is>
      </c>
      <c r="O78" s="39" t="n"/>
      <c r="P78" s="39" t="n"/>
    </row>
    <row r="79" ht="13.2" customHeight="1" s="49">
      <c r="A79" s="37" t="n">
        <v>77</v>
      </c>
      <c r="B79" s="38"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38" t="n"/>
      <c r="D79" s="38" t="inlineStr">
        <is>
          <t>14 วัน</t>
        </is>
      </c>
      <c r="E79" s="38" t="inlineStr">
        <is>
          <t>2 เดือน</t>
        </is>
      </c>
      <c r="F79" s="38" t="inlineStr">
        <is>
          <t>3 เดือน</t>
        </is>
      </c>
      <c r="G79" s="38" t="inlineStr">
        <is>
          <t>4 เดือน</t>
        </is>
      </c>
      <c r="H79" s="38" t="inlineStr">
        <is>
          <t>5 เดือน</t>
        </is>
      </c>
      <c r="I79" s="37" t="inlineStr">
        <is>
          <t>3</t>
        </is>
      </c>
      <c r="J79" s="38"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38" t="n"/>
      <c r="L79" s="39" t="inlineStr">
        <is>
          <t>HIV infection</t>
        </is>
      </c>
      <c r="M79" s="39" t="inlineStr">
        <is>
          <t>Clinic</t>
        </is>
      </c>
      <c r="N79" s="38" t="inlineStr">
        <is>
          <t>ข้อ 5 Pharma Plus เล่มม่วง (เฉลยข้อ ค)</t>
        </is>
      </c>
      <c r="O79" s="39" t="n"/>
      <c r="P79" s="39" t="n"/>
    </row>
    <row r="80" ht="13.2" customHeight="1" s="49">
      <c r="A80" s="37" t="n">
        <v>78</v>
      </c>
      <c r="B80" s="38" t="inlineStr">
        <is>
          <t>Acyclovir ไม่มีข้อบ่งใช้ในโรคใดต่อไปนี้</t>
        </is>
      </c>
      <c r="C80" s="38" t="n"/>
      <c r="D80" s="38" t="inlineStr">
        <is>
          <t>HSV-1 และ 2</t>
        </is>
      </c>
      <c r="E80" s="38" t="inlineStr">
        <is>
          <t>CMV</t>
        </is>
      </c>
      <c r="F80" s="38" t="inlineStr">
        <is>
          <t>Varicella</t>
        </is>
      </c>
      <c r="G80" s="38" t="inlineStr">
        <is>
          <t>HPV</t>
        </is>
      </c>
      <c r="H80" s="38" t="inlineStr">
        <is>
          <t>HHV</t>
        </is>
      </c>
      <c r="I80" s="37" t="inlineStr">
        <is>
          <t>3</t>
        </is>
      </c>
      <c r="J80" s="38"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38" t="n"/>
      <c r="L80" s="39" t="inlineStr">
        <is>
          <t>HIV infection</t>
        </is>
      </c>
      <c r="M80" s="39" t="inlineStr">
        <is>
          <t>Clinic</t>
        </is>
      </c>
      <c r="N80" s="38" t="inlineStr">
        <is>
          <t>ข้อ 5 Pharma Plus เล่มม่วง (เฉลยข้อ ค)</t>
        </is>
      </c>
      <c r="O80" s="39" t="n"/>
      <c r="P80" s="39" t="n"/>
    </row>
    <row r="81" ht="13.2" customHeight="1" s="49">
      <c r="A81" s="37" t="n">
        <v>79</v>
      </c>
      <c r="B81" s="38" t="inlineStr">
        <is>
          <t>ยาใดเป็นพิษต่อตับ</t>
        </is>
      </c>
      <c r="C81" s="38" t="n"/>
      <c r="D81" s="38" t="inlineStr">
        <is>
          <t>AZT</t>
        </is>
      </c>
      <c r="E81" s="38" t="inlineStr">
        <is>
          <t>Stavudine</t>
        </is>
      </c>
      <c r="F81" s="38" t="inlineStr">
        <is>
          <t>Nevirapine</t>
        </is>
      </c>
      <c r="G81" s="38" t="inlineStr">
        <is>
          <t>Lamivudine</t>
        </is>
      </c>
      <c r="H81" s="38" t="inlineStr">
        <is>
          <t>ไม่มีข้อใดถูก</t>
        </is>
      </c>
      <c r="I81" s="37" t="inlineStr">
        <is>
          <t>3</t>
        </is>
      </c>
      <c r="J81" s="38"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38" t="n"/>
      <c r="L81" s="39" t="inlineStr">
        <is>
          <t>HIV infection</t>
        </is>
      </c>
      <c r="M81" s="39" t="inlineStr">
        <is>
          <t>Clinic</t>
        </is>
      </c>
      <c r="N81" s="38" t="inlineStr">
        <is>
          <t>ข้อ 5 Pharma Plus เล่มม่วง (เฉลยข้อ ค)</t>
        </is>
      </c>
      <c r="O81" s="39" t="n"/>
      <c r="P81" s="39" t="n"/>
    </row>
    <row r="82" ht="13.2" customHeight="1" s="49">
      <c r="A82" s="37" t="n">
        <v>80</v>
      </c>
      <c r="B82" s="3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38" t="n"/>
      <c r="D82" s="38" t="inlineStr">
        <is>
          <t>พยาธิตัวตืด</t>
        </is>
      </c>
      <c r="E82" s="38" t="inlineStr">
        <is>
          <t>พยาธิปากขอ</t>
        </is>
      </c>
      <c r="F82" s="38" t="inlineStr">
        <is>
          <t>พยาธิเส้นด้าย</t>
        </is>
      </c>
      <c r="G82" s="38" t="inlineStr">
        <is>
          <t>พยาธิใบไม้</t>
        </is>
      </c>
      <c r="H82" s="38" t="inlineStr">
        <is>
          <t>พยาธิเท้าช้าง</t>
        </is>
      </c>
      <c r="I82" s="37" t="inlineStr">
        <is>
          <t>3</t>
        </is>
      </c>
      <c r="J82" s="38"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38" t="n"/>
      <c r="L82" s="39" t="inlineStr">
        <is>
          <t>Parasitic infections</t>
        </is>
      </c>
      <c r="M82" s="39" t="inlineStr">
        <is>
          <t>Clinic</t>
        </is>
      </c>
      <c r="N82" s="38" t="inlineStr">
        <is>
          <t>ข้อ 5 Pharma Plus เล่มม่วง (เฉลยข้อ ค)</t>
        </is>
      </c>
      <c r="O82" s="39" t="n"/>
      <c r="P82" s="39" t="n"/>
    </row>
    <row r="83" ht="13.2" customHeight="1" s="49">
      <c r="A83" s="37" t="n">
        <v>81</v>
      </c>
      <c r="B83" s="38" t="inlineStr">
        <is>
          <t>ยา chloramphenicol มีกลไกการออกฤทธิ์เป็นอย่างไร</t>
        </is>
      </c>
      <c r="C83" s="38" t="n"/>
      <c r="D83" s="38" t="inlineStr">
        <is>
          <t>ขัดขวางการสร้างผนังเซลล์</t>
        </is>
      </c>
      <c r="E83" s="38" t="inlineStr">
        <is>
          <t>ขัดขวางการสร้างผนังหุ้มเซลล์</t>
        </is>
      </c>
      <c r="F83" s="38" t="inlineStr">
        <is>
          <t>ขัดขวางการสร้าง folic acid</t>
        </is>
      </c>
      <c r="G83" s="38" t="inlineStr">
        <is>
          <t>ขัดขวางการสังเคราะห์ nucleic acid</t>
        </is>
      </c>
      <c r="H83" s="38" t="inlineStr">
        <is>
          <t>ขัดขวางการสังเคราะห์ polypeptide</t>
        </is>
      </c>
      <c r="I83" s="37" t="inlineStr">
        <is>
          <t>3</t>
        </is>
      </c>
      <c r="J83" s="38"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38" t="n"/>
      <c r="L83" s="39" t="inlineStr">
        <is>
          <t>HIV infection</t>
        </is>
      </c>
      <c r="M83" s="39" t="inlineStr">
        <is>
          <t>Clinic</t>
        </is>
      </c>
      <c r="N83" s="38" t="inlineStr">
        <is>
          <t>ข้อ 6 Pharma Plus เล่มม่วง (เฉลยข้อ ค)</t>
        </is>
      </c>
      <c r="O83" s="39" t="n"/>
      <c r="P83" s="39" t="n"/>
    </row>
    <row r="84" ht="13.2" customHeight="1" s="49">
      <c r="A84" s="37" t="n">
        <v>82</v>
      </c>
      <c r="B84" s="38"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38" t="n"/>
      <c r="D84" s="38" t="inlineStr">
        <is>
          <t>พญายอ</t>
        </is>
      </c>
      <c r="E84" s="38" t="inlineStr">
        <is>
          <t>ทองพันชั่ง</t>
        </is>
      </c>
      <c r="F84" s="38" t="inlineStr">
        <is>
          <t>มะแว้งต้น</t>
        </is>
      </c>
      <c r="G84" s="38" t="inlineStr">
        <is>
          <t>ไพล</t>
        </is>
      </c>
      <c r="H84" s="38" t="inlineStr">
        <is>
          <t>ขมิ้น</t>
        </is>
      </c>
      <c r="I84" s="37" t="inlineStr">
        <is>
          <t>3</t>
        </is>
      </c>
      <c r="J84" s="38"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38" t="n"/>
      <c r="L84" s="39" t="inlineStr">
        <is>
          <t>HIV infection</t>
        </is>
      </c>
      <c r="M84" s="39" t="inlineStr">
        <is>
          <t>Clinic</t>
        </is>
      </c>
      <c r="N84" s="38" t="inlineStr">
        <is>
          <t>ข้อ 6 Pharma Plus เล่มม่วง (เฉลยข้อ ค)</t>
        </is>
      </c>
      <c r="O84" s="39" t="n"/>
      <c r="P84" s="39" t="n"/>
    </row>
    <row r="85" ht="13.2" customHeight="1" s="49">
      <c r="A85" s="37" t="n">
        <v>83</v>
      </c>
      <c r="B85" s="38" t="inlineStr">
        <is>
          <t>ยาในข้อใดต่อไปนี้สามารถเข้าสู่ vitreous humor ได้ดี ทำให้มีประสิทธิภาพสูงในการรักษา cytomegalovirus retinitis</t>
        </is>
      </c>
      <c r="C85" s="38" t="n"/>
      <c r="D85" s="38" t="inlineStr">
        <is>
          <t>Acyclovir</t>
        </is>
      </c>
      <c r="E85" s="38" t="inlineStr">
        <is>
          <t>Ganciclovir</t>
        </is>
      </c>
      <c r="F85" s="38" t="inlineStr">
        <is>
          <t>Valacyclovir</t>
        </is>
      </c>
      <c r="G85" s="38" t="inlineStr">
        <is>
          <t>Pencyclovir</t>
        </is>
      </c>
      <c r="H85" s="38" t="inlineStr">
        <is>
          <t>Famciclovir</t>
        </is>
      </c>
      <c r="I85" s="37" t="inlineStr">
        <is>
          <t>3</t>
        </is>
      </c>
      <c r="J85" s="38"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38" t="n"/>
      <c r="L85" s="39" t="inlineStr">
        <is>
          <t>HIV infection</t>
        </is>
      </c>
      <c r="M85" s="39" t="inlineStr">
        <is>
          <t>Clinic</t>
        </is>
      </c>
      <c r="N85" s="38" t="inlineStr">
        <is>
          <t>ข้อ 6 Pharma Plus เล่มม่วง (เฉลยข้อ ค)</t>
        </is>
      </c>
      <c r="O85" s="39" t="n"/>
      <c r="P85" s="39" t="n"/>
    </row>
    <row r="86" ht="13.2" customHeight="1" s="49">
      <c r="A86" s="37" t="n">
        <v>84</v>
      </c>
      <c r="B86" s="38" t="inlineStr">
        <is>
          <t>เอนไซม์ในข้อใดต่อไปนี้ ที่มีบทบาทสำคัญในการเปลี่ยนแปลงให้ยา AZT อยู่ในรูป active form</t>
        </is>
      </c>
      <c r="C86" s="38" t="n"/>
      <c r="D86" s="38" t="inlineStr">
        <is>
          <t>Reverse transcriptase</t>
        </is>
      </c>
      <c r="E86" s="38" t="inlineStr">
        <is>
          <t>Hydroxylase</t>
        </is>
      </c>
      <c r="F86" s="38" t="inlineStr">
        <is>
          <t>Phosphodiesterase</t>
        </is>
      </c>
      <c r="G86" s="38" t="inlineStr">
        <is>
          <t>Kinase</t>
        </is>
      </c>
      <c r="H86" s="38" t="inlineStr">
        <is>
          <t>DNA polymerase</t>
        </is>
      </c>
      <c r="I86" s="37" t="inlineStr">
        <is>
          <t>3</t>
        </is>
      </c>
      <c r="J86" s="38"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38" t="n"/>
      <c r="L86" s="39" t="inlineStr">
        <is>
          <t>HIV infection</t>
        </is>
      </c>
      <c r="M86" s="39" t="inlineStr">
        <is>
          <t>Clinic</t>
        </is>
      </c>
      <c r="N86" s="38" t="inlineStr">
        <is>
          <t>ข้อ 6 Pharma Plus เล่มม่วง (เฉลยข้อ ค)</t>
        </is>
      </c>
      <c r="O86" s="39" t="n"/>
      <c r="P86" s="39" t="n"/>
    </row>
    <row r="87" ht="13.2" customHeight="1" s="49">
      <c r="A87" s="37" t="n">
        <v>85</v>
      </c>
      <c r="B87" s="3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38" t="n"/>
      <c r="D87" s="38" t="inlineStr">
        <is>
          <t>Praziquantel 5-25 mg/kg/day po once</t>
        </is>
      </c>
      <c r="E87" s="38" t="inlineStr">
        <is>
          <t>Niclosamide 2 q single dose</t>
        </is>
      </c>
      <c r="F87" s="38" t="inlineStr">
        <is>
          <t>Albendazole 400 mg single dose</t>
        </is>
      </c>
      <c r="G87" s="38" t="inlineStr">
        <is>
          <t>Mebendazole 500 mg single dose</t>
        </is>
      </c>
      <c r="H87" s="38" t="inlineStr">
        <is>
          <t>ได้ทั้งข้อ ค และ ข้อ ง</t>
        </is>
      </c>
      <c r="I87" s="37" t="inlineStr">
        <is>
          <t>3</t>
        </is>
      </c>
      <c r="J87" s="38"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38" t="n"/>
      <c r="L87" s="39" t="inlineStr">
        <is>
          <t>Parasitic infections</t>
        </is>
      </c>
      <c r="M87" s="39" t="inlineStr">
        <is>
          <t>Clinic</t>
        </is>
      </c>
      <c r="N87" s="38" t="inlineStr">
        <is>
          <t>ข้อ 6 Pharma Plus เล่มม่วง (เฉลยข้อ ค)</t>
        </is>
      </c>
      <c r="O87" s="39" t="n"/>
      <c r="P87" s="39" t="n"/>
    </row>
    <row r="88" ht="13.2" customHeight="1" s="49">
      <c r="A88" s="37" t="n">
        <v>86</v>
      </c>
      <c r="B88" s="38" t="inlineStr">
        <is>
          <t>ยา sulfonamides มีกลไกการออกฤทธิ์เป็นอย่างไร</t>
        </is>
      </c>
      <c r="C88" s="38" t="n"/>
      <c r="D88" s="38" t="inlineStr">
        <is>
          <t>ขัดขวางการสร้างผนังเซลล์</t>
        </is>
      </c>
      <c r="E88" s="38" t="inlineStr">
        <is>
          <t>ขัดขวางการสร้างผนังหุ้มเซลล์</t>
        </is>
      </c>
      <c r="F88" s="38" t="inlineStr">
        <is>
          <t>ขัดขวางการสร้าง folic acid</t>
        </is>
      </c>
      <c r="G88" s="38" t="inlineStr">
        <is>
          <t>ขัดขวางการสังเคราะห์ nucleic acid</t>
        </is>
      </c>
      <c r="H88" s="38" t="inlineStr">
        <is>
          <t>ขัดขวางการสังเคราะห์ polypeptide</t>
        </is>
      </c>
      <c r="I88" s="37" t="inlineStr">
        <is>
          <t>2</t>
        </is>
      </c>
      <c r="J88" s="38"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38" t="n"/>
      <c r="L88" s="39" t="inlineStr">
        <is>
          <t>HIV infection</t>
        </is>
      </c>
      <c r="M88" s="39" t="inlineStr">
        <is>
          <t>Clinic</t>
        </is>
      </c>
      <c r="N88" s="38" t="inlineStr">
        <is>
          <t>ข้อ 7 Pharma Plus เล่มม่วง (เฉลยข้อ ข)</t>
        </is>
      </c>
      <c r="O88" s="39" t="n"/>
      <c r="P88" s="39" t="n"/>
    </row>
    <row r="89" ht="13.2" customHeight="1" s="49">
      <c r="A89" s="37" t="n">
        <v>87</v>
      </c>
      <c r="B89"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38" t="n"/>
      <c r="D89" s="38" t="inlineStr">
        <is>
          <t>Valvovaginal candidiasis</t>
        </is>
      </c>
      <c r="E89" s="38" t="inlineStr">
        <is>
          <t>Gonorrhoea</t>
        </is>
      </c>
      <c r="F89" s="38" t="inlineStr">
        <is>
          <t>Non gonococcalurethritis</t>
        </is>
      </c>
      <c r="G89" s="38" t="inlineStr">
        <is>
          <t>Trichomoniasis</t>
        </is>
      </c>
      <c r="H89" s="38" t="inlineStr">
        <is>
          <t>Bacterial cystitis</t>
        </is>
      </c>
      <c r="I89" s="37" t="inlineStr">
        <is>
          <t>2</t>
        </is>
      </c>
      <c r="J89" s="38" t="inlineStr">
        <is>
          <t>✅ คำตอบที่ถูกต้อง: ข้อ ข. Gonorrhoea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38" t="n"/>
      <c r="L89" s="39" t="inlineStr">
        <is>
          <t>STDs &amp; vaginitis</t>
        </is>
      </c>
      <c r="M89" s="39" t="inlineStr">
        <is>
          <t>Clinic</t>
        </is>
      </c>
      <c r="N89" s="38" t="inlineStr">
        <is>
          <t>ข้อ 7 Pharma Plus เล่มม่วง (เฉลยข้อ ข)</t>
        </is>
      </c>
      <c r="O89" s="39" t="n"/>
      <c r="P89" s="39" t="n"/>
    </row>
    <row r="90" ht="13.2" customHeight="1" s="49">
      <c r="A90" s="37" t="n">
        <v>88</v>
      </c>
      <c r="B90" s="38" t="inlineStr">
        <is>
          <t>สมุนไพรในข้อใดที่อาจรักษาโรคเริมและงูสวัดได้</t>
        </is>
      </c>
      <c r="C90" s="38" t="n"/>
      <c r="D90" s="38" t="inlineStr">
        <is>
          <t>ยาแคปซูลสกัดใบฟ้าทะลายโจร</t>
        </is>
      </c>
      <c r="E90" s="38" t="inlineStr">
        <is>
          <t>ใบชุมเห็ดเทศ</t>
        </is>
      </c>
      <c r="F90" s="38" t="inlineStr">
        <is>
          <t>แคปซูลผงขมิ้นชัน</t>
        </is>
      </c>
      <c r="G90" s="38" t="inlineStr">
        <is>
          <t>ครีมสกัดจากใบพญายอ</t>
        </is>
      </c>
      <c r="H90" s="38" t="inlineStr">
        <is>
          <t>ตะไคร้หอม</t>
        </is>
      </c>
      <c r="I90" s="37" t="inlineStr">
        <is>
          <t>2</t>
        </is>
      </c>
      <c r="J90" s="38"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38" t="n"/>
      <c r="L90" s="39" t="inlineStr">
        <is>
          <t>HIV infection</t>
        </is>
      </c>
      <c r="M90" s="39" t="inlineStr">
        <is>
          <t>Clinic</t>
        </is>
      </c>
      <c r="N90" s="38" t="inlineStr">
        <is>
          <t>ข้อ 7 Pharma Plus เล่มม่วง (เฉลยข้อ ข)</t>
        </is>
      </c>
      <c r="O90" s="39" t="n"/>
      <c r="P90" s="39" t="n"/>
    </row>
    <row r="91" ht="13.2" customHeight="1" s="49">
      <c r="A91" s="37" t="n">
        <v>89</v>
      </c>
      <c r="B91"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38" t="n"/>
      <c r="D91" s="38" t="inlineStr">
        <is>
          <t>Acute HIV infection</t>
        </is>
      </c>
      <c r="E91" s="38" t="inlineStr">
        <is>
          <t>Asymptomatic HIV infection</t>
        </is>
      </c>
      <c r="F91" s="38" t="inlineStr">
        <is>
          <t>Clinical latency</t>
        </is>
      </c>
      <c r="G91" s="38" t="inlineStr">
        <is>
          <t>Primary HIV infection</t>
        </is>
      </c>
      <c r="H91" s="38" t="inlineStr">
        <is>
          <t>AIDS</t>
        </is>
      </c>
      <c r="I91" s="37" t="inlineStr">
        <is>
          <t>2</t>
        </is>
      </c>
      <c r="J91" s="38"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38" t="n"/>
      <c r="L91" s="39" t="inlineStr">
        <is>
          <t>HIV infection</t>
        </is>
      </c>
      <c r="M91" s="39" t="inlineStr">
        <is>
          <t>Clinic</t>
        </is>
      </c>
      <c r="N91" s="38" t="inlineStr">
        <is>
          <t>ข้อ 7 Pharma Plus เล่มม่วง (เฉลยข้อ ข)</t>
        </is>
      </c>
      <c r="O91" s="39" t="n"/>
      <c r="P91" s="39" t="n"/>
    </row>
    <row r="92" ht="13.2" customHeight="1" s="49">
      <c r="A92" s="37" t="n">
        <v>90</v>
      </c>
      <c r="B92" s="38" t="inlineStr">
        <is>
          <t>ข้อใดไม่ใช่ผลจากการติดเชื้อพยาธิปากขอ</t>
        </is>
      </c>
      <c r="C92" s="38" t="n"/>
      <c r="D92" s="38" t="inlineStr">
        <is>
          <t>แพ้ ผื่นคัน</t>
        </is>
      </c>
      <c r="E92" s="38" t="inlineStr">
        <is>
          <t>โลหิตจาง</t>
        </is>
      </c>
      <c r="F92" s="38" t="inlineStr">
        <is>
          <t>หลอดลมอักเสบ</t>
        </is>
      </c>
      <c r="G92" s="38" t="inlineStr">
        <is>
          <t>คันบริเวณรอบทวารหนัก</t>
        </is>
      </c>
      <c r="H92" s="38" t="inlineStr">
        <is>
          <t>ลำไส้อักเสบ</t>
        </is>
      </c>
      <c r="I92" s="37" t="inlineStr">
        <is>
          <t>2</t>
        </is>
      </c>
      <c r="J92" s="38"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38" t="n"/>
      <c r="L92" s="39" t="inlineStr">
        <is>
          <t>Parasitic infections</t>
        </is>
      </c>
      <c r="M92" s="39" t="inlineStr">
        <is>
          <t>Clinic</t>
        </is>
      </c>
      <c r="N92" s="38" t="inlineStr">
        <is>
          <t>ข้อ 7 Pharma Plus เล่มม่วง (เฉลยข้อ ข)</t>
        </is>
      </c>
      <c r="O92" s="39" t="n"/>
      <c r="P92" s="39" t="n"/>
    </row>
    <row r="93" ht="13.2" customHeight="1" s="49">
      <c r="A93" s="37" t="n">
        <v>91</v>
      </c>
      <c r="B93" s="38" t="inlineStr">
        <is>
          <t>ยากลุ่ม polymyxin มีกลไกการออกฤทธิ์เป็นอย่างไร</t>
        </is>
      </c>
      <c r="C93" s="38" t="n"/>
      <c r="D93" s="38" t="inlineStr">
        <is>
          <t>ขัดขวางการสร้างผนังเซลล์</t>
        </is>
      </c>
      <c r="E93" s="38" t="inlineStr">
        <is>
          <t>ทำให้เกิดรูรั่วผนังเซลล์</t>
        </is>
      </c>
      <c r="F93" s="38" t="inlineStr">
        <is>
          <t>ขัดขวางการสร้าง folic acid</t>
        </is>
      </c>
      <c r="G93" s="38" t="inlineStr">
        <is>
          <t>ขัดขวางการสังเคราะห์ nucleic acid</t>
        </is>
      </c>
      <c r="H93" s="38" t="inlineStr">
        <is>
          <t>ขัดขวางการสังเคราะห์ polypeptide</t>
        </is>
      </c>
      <c r="I93" s="37" t="inlineStr">
        <is>
          <t>5</t>
        </is>
      </c>
      <c r="J93" s="38"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38" t="n"/>
      <c r="L93" s="39" t="inlineStr">
        <is>
          <t>HIV infection</t>
        </is>
      </c>
      <c r="M93" s="39" t="inlineStr">
        <is>
          <t>Clinic</t>
        </is>
      </c>
      <c r="N93" s="38" t="inlineStr">
        <is>
          <t>ข้อ 8 Pharma Plus เล่มม่วง (เฉลยข้อ จ)</t>
        </is>
      </c>
      <c r="O93" s="39" t="n"/>
      <c r="P93" s="39" t="n"/>
    </row>
    <row r="94" ht="13.2" customHeight="1" s="49">
      <c r="A94" s="37" t="n">
        <v>92</v>
      </c>
      <c r="B94"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38" t="n"/>
      <c r="D94" s="38" t="inlineStr">
        <is>
          <t>Clotrimazole 500 mg เหน็บช่องคลอดครั้งเดียว</t>
        </is>
      </c>
      <c r="E94" s="38" t="inlineStr">
        <is>
          <t>Ketoconazole 200 mg รับประทานหลังอาหาร เช้าและเย็น เป็นเวลา 5 วัน</t>
        </is>
      </c>
      <c r="F94" s="38" t="inlineStr">
        <is>
          <t>Metronidazole 2 g รับประทานครั้งเดียว</t>
        </is>
      </c>
      <c r="G94" s="38" t="inlineStr">
        <is>
          <t>Doxycycline 100 mg รับประทานหลังอาหาร เช้าและเย็น เป็นเวลา 7 วัน</t>
        </is>
      </c>
      <c r="H94" s="38" t="inlineStr">
        <is>
          <t>Ciprofloxacin 500 mg รับประทานครั้งเดียว</t>
        </is>
      </c>
      <c r="I94" s="37" t="inlineStr">
        <is>
          <t>5</t>
        </is>
      </c>
      <c r="J94" s="38" t="inlineStr">
        <is>
          <t>✅ คำตอบที่ถูกต้อง: ข้อ จ. Ciprofloxacin 500 mg รับประทานครั้งเดียว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38" t="n"/>
      <c r="L94" s="39" t="inlineStr">
        <is>
          <t>STDs &amp; vaginitis</t>
        </is>
      </c>
      <c r="M94" s="39" t="inlineStr">
        <is>
          <t>Clinic</t>
        </is>
      </c>
      <c r="N94" s="38" t="inlineStr">
        <is>
          <t>ข้อ 8 Pharma Plus เล่มม่วง (เฉลยข้อ จ)</t>
        </is>
      </c>
      <c r="O94" s="39" t="n"/>
      <c r="P94" s="39" t="n"/>
    </row>
    <row r="95" ht="13.2" customHeight="1" s="49">
      <c r="A95" s="37" t="n">
        <v>93</v>
      </c>
      <c r="B95" s="38" t="inlineStr">
        <is>
          <t>ตำรับยาของ acyclovir ดังตารางต่อไปนี้ อยู่ในรูปแบบใด</t>
        </is>
      </c>
      <c r="C95" s="38" t="n"/>
      <c r="D95" s="38" t="inlineStr">
        <is>
          <t>Lotions</t>
        </is>
      </c>
      <c r="E95" s="38" t="inlineStr">
        <is>
          <t>Ointments</t>
        </is>
      </c>
      <c r="F95" s="38" t="inlineStr">
        <is>
          <t>Creams</t>
        </is>
      </c>
      <c r="G95" s="38" t="inlineStr">
        <is>
          <t>Pastes</t>
        </is>
      </c>
      <c r="H95" s="38" t="inlineStr">
        <is>
          <t>Gels</t>
        </is>
      </c>
      <c r="I95" s="37" t="inlineStr">
        <is>
          <t>5</t>
        </is>
      </c>
      <c r="J95" s="38" t="inlineStr">
        <is>
          <t>✅ คำตอบที่ถูกต้อง: ข้อ จ. Gels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38" t="n"/>
      <c r="L95" s="39" t="inlineStr">
        <is>
          <t>Cystitis</t>
        </is>
      </c>
      <c r="M95" s="39" t="inlineStr">
        <is>
          <t>Clinic</t>
        </is>
      </c>
      <c r="N95" s="38" t="inlineStr">
        <is>
          <t>ข้อ 8 Pharma Plus เล่มม่วง (เฉลยข้อ จ)</t>
        </is>
      </c>
      <c r="O95" s="39" t="n"/>
      <c r="P95" s="39" t="n"/>
    </row>
    <row r="96" ht="13.2" customHeight="1" s="49">
      <c r="A96" s="37" t="n">
        <v>94</v>
      </c>
      <c r="B96"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38" t="n"/>
      <c r="D96" s="38" t="inlineStr">
        <is>
          <t>NVP, d4T, 3TC</t>
        </is>
      </c>
      <c r="E96" s="38" t="inlineStr">
        <is>
          <t>d4T, 3TC, indinavir/ritonavir</t>
        </is>
      </c>
      <c r="F96" s="38" t="inlineStr">
        <is>
          <t>AZT, 3TC, indinavir/ritonavir</t>
        </is>
      </c>
      <c r="G96" s="38" t="inlineStr">
        <is>
          <t>d4T, 3TC, EFV</t>
        </is>
      </c>
      <c r="H96" s="38" t="inlineStr">
        <is>
          <t>AZT, 3TC, NVP</t>
        </is>
      </c>
      <c r="I96" s="37" t="inlineStr">
        <is>
          <t>5</t>
        </is>
      </c>
      <c r="J96" s="38"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38" t="n"/>
      <c r="L96" s="39" t="inlineStr">
        <is>
          <t>HIV infection</t>
        </is>
      </c>
      <c r="M96" s="39" t="inlineStr">
        <is>
          <t>Clinic</t>
        </is>
      </c>
      <c r="N96" s="38" t="inlineStr">
        <is>
          <t>ข้อ 8 Pharma Plus เล่มม่วง (เฉลยข้อ จ)</t>
        </is>
      </c>
      <c r="O96" s="39" t="n"/>
      <c r="P96" s="39" t="n"/>
    </row>
    <row r="97" ht="13.2" customHeight="1" s="49">
      <c r="A97" s="37" t="n">
        <v>95</v>
      </c>
      <c r="B97" s="38" t="inlineStr">
        <is>
          <t>คำแนะนำในการปฏิบัติตัวสำหรับผู้ป่วยรายนี้คือ</t>
        </is>
      </c>
      <c r="C97" s="38" t="n"/>
      <c r="D97" s="38" t="inlineStr">
        <is>
          <t>อาบน้ำหลังจากตื่นนอนในตอนเช้า</t>
        </is>
      </c>
      <c r="E97" s="38" t="inlineStr">
        <is>
          <t>ตัดเล็บมือให้สั้น และล้างมือให้สะอาดหลังเข้าห้องน้ำ</t>
        </is>
      </c>
      <c r="F97" s="38" t="inlineStr">
        <is>
          <t>สวมรองเท้าทุกครั้งที่ออกจากบ้าน</t>
        </is>
      </c>
      <c r="G97" s="38" t="inlineStr">
        <is>
          <t>รับประทานอาหารที่สุก ดื่มน้ำสะอาด</t>
        </is>
      </c>
      <c r="H97" s="38" t="inlineStr">
        <is>
          <t>ซักเสื้อผ้า และผ้าปูที่นอนให้สะอาด</t>
        </is>
      </c>
      <c r="I97" s="37" t="inlineStr">
        <is>
          <t>5</t>
        </is>
      </c>
      <c r="J97" s="38"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38" t="n"/>
      <c r="L97" s="39" t="inlineStr">
        <is>
          <t>HIV infection</t>
        </is>
      </c>
      <c r="M97" s="39" t="inlineStr">
        <is>
          <t>Clinic</t>
        </is>
      </c>
      <c r="N97" s="38" t="inlineStr">
        <is>
          <t>ข้อ 8 Pharma Plus เล่มม่วง (เฉลยข้อ จ)</t>
        </is>
      </c>
      <c r="O97" s="39" t="n"/>
      <c r="P97" s="39" t="n"/>
    </row>
    <row r="98" ht="13.2" customHeight="1" s="49">
      <c r="A98" s="37" t="n">
        <v>96</v>
      </c>
      <c r="B98" s="38" t="inlineStr">
        <is>
          <t>ยาที่เกิด drug interaction กับ quinolone ได้ ยกเว้นข้อใดต่อไปนี้</t>
        </is>
      </c>
      <c r="C98" s="38" t="n"/>
      <c r="D98" s="38" t="inlineStr">
        <is>
          <t>Aluminum hydroxide</t>
        </is>
      </c>
      <c r="E98" s="38" t="inlineStr">
        <is>
          <t>Calcium carbonate</t>
        </is>
      </c>
      <c r="F98" s="38" t="inlineStr">
        <is>
          <t>Carminative mixture</t>
        </is>
      </c>
      <c r="G98" s="38" t="inlineStr">
        <is>
          <t>FBC</t>
        </is>
      </c>
      <c r="H98" s="38" t="inlineStr">
        <is>
          <t>Lithium</t>
        </is>
      </c>
      <c r="I98" s="37" t="inlineStr">
        <is>
          <t>4</t>
        </is>
      </c>
      <c r="J98" s="38"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38" t="n"/>
      <c r="L98" s="39" t="inlineStr">
        <is>
          <t>HIV infection</t>
        </is>
      </c>
      <c r="M98" s="39" t="inlineStr">
        <is>
          <t>Clinic</t>
        </is>
      </c>
      <c r="N98" s="38" t="inlineStr">
        <is>
          <t>ข้อ 9 Pharma Plus เล่มม่วง (เฉลยข้อ ง)</t>
        </is>
      </c>
      <c r="O98" s="39" t="n"/>
      <c r="P98" s="39" t="n"/>
    </row>
    <row r="99" ht="13.2" customHeight="1" s="49">
      <c r="A99" s="37" t="n">
        <v>97</v>
      </c>
      <c r="B99"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38" t="n"/>
      <c r="D99" s="38" t="inlineStr">
        <is>
          <t>Clotrimazole เหน็บช่องคลอดทำให้เกิด super infection จาก bacteria</t>
        </is>
      </c>
      <c r="E99" s="38" t="inlineStr">
        <is>
          <t>Ketoconazole ชนิดรับประทานทำให้การรับรู้รสผิดปกติ</t>
        </is>
      </c>
      <c r="F99" s="38" t="inlineStr">
        <is>
          <t>Metronidazole ทำให้คลื่นไส้ อาเจียน</t>
        </is>
      </c>
      <c r="G99" s="38" t="inlineStr">
        <is>
          <t>Doxycycline ทำให้ผมร่วง</t>
        </is>
      </c>
      <c r="H99" s="38" t="inlineStr">
        <is>
          <t>Ciprofloxacin ทำให้ตับอักเสบ</t>
        </is>
      </c>
      <c r="I99" s="37" t="inlineStr">
        <is>
          <t>4</t>
        </is>
      </c>
      <c r="J99" s="38" t="inlineStr">
        <is>
          <t>✅ คำตอบที่ถูกต้อง: ข้อ ง. Doxycycline ทำให้ผมร่วง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38" t="n"/>
      <c r="L99" s="39" t="inlineStr">
        <is>
          <t>STDs &amp; vaginitis</t>
        </is>
      </c>
      <c r="M99" s="39" t="inlineStr">
        <is>
          <t>Clinic</t>
        </is>
      </c>
      <c r="N99" s="38" t="inlineStr">
        <is>
          <t>ข้อ 9 Pharma Plus เล่มม่วง (เฉลยข้อ ง)</t>
        </is>
      </c>
      <c r="O99" s="39" t="n"/>
      <c r="P99" s="39" t="n"/>
    </row>
    <row r="100" ht="13.2" customHeight="1" s="49">
      <c r="A100" s="37" t="n">
        <v>98</v>
      </c>
      <c r="B100" s="38" t="inlineStr">
        <is>
          <t>ข้อใดถูกต้องเกี่ยวกับยาต้านไวรัสในด้านกฎหมาย</t>
        </is>
      </c>
      <c r="C100" s="38" t="n"/>
      <c r="D100" s="38" t="inlineStr">
        <is>
          <t>[NEED_REVIEW]</t>
        </is>
      </c>
      <c r="E100" s="38" t="inlineStr">
        <is>
          <t>ยาต้านไวรัสทุกชนิดต้องจ่ายตามใบสั่งแพทย์เท่านั้น</t>
        </is>
      </c>
      <c r="F100" s="38" t="inlineStr">
        <is>
          <t>ยาต้านไวรัส acyclovir ชนิดรับประทาน เป็นยาควบคุมพิเศษ</t>
        </is>
      </c>
      <c r="G100" s="38" t="inlineStr">
        <is>
          <t>ยาต้านไวรัสรักษาโรคเอดส์ จัดเป็นยาอันตราย</t>
        </is>
      </c>
      <c r="H100" s="38" t="inlineStr">
        <is>
          <t>บุคลากรทางการแพทย์ทุกวิชาชีพสามารถจ่ายยาต้านไวรัส acyclovir ชนิดทาเฉพาะที่ได้</t>
        </is>
      </c>
      <c r="I100" s="37" t="inlineStr">
        <is>
          <t>4</t>
        </is>
      </c>
      <c r="J100" s="38"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ยาต้านไวรัสไม่ได้จัดเป็นยาที่สามารถจำหน่ายได้อย่างอิสระทุกชนิด ยาต้านไวรัสสำหรับรักษา HIV และยาต้านไวรัสบางชนิดควบคุมเข้มงวด ต้องได้รับการประเมินและสั่งจ่ายภายใต้การดูแลของแพทย์
• ข้อ ข. (ยาต้านไวรัสทุกชนิดต้องจ่ายตามใบสั่งแพทย์เท่านั้น): ยาต้านไวรัสบางชนิดในรูปแบบยาทาภายนอก เช่น ยาทา acyclovir สำหรับรักษาเริมที่ริมฝีปาก จัดเป็นยาอันตรายที่สามารถจำหน่ายในร้านยาแผนปัจจุบันภายใต้การดูแลและจ่ายยาโดยเภสัชกรได้โดยไม่ต้องใช้ใบสั่งแพทย์
• ข้อ ค. (ยาต้านไวรัส acyclovir ชนิดรับประทาน เป็นยาควบคุมพิเศษ): Acyclovir ชนิดรับประทานจัดเป็นยาอันตราย (Dangerous drug) ตามประกาศกระทรวงสาธารณสุข ไม่ได้จัดเป็นยาควบคุมพิเศษ (Special controlled drug) ซึ่งสามารถจ่ายได้ในร้านยาคุณภาพที่มีเภสัชกรปฏิบัติการ
• ข้อ จ. (บุคลากรทางการแพทย์ทุกวิชาชีพสามารถจ่ายยาต้านไวรัส acyclovir ชนิดทาเฉพาะที่ได้): ยาต้านไวรัส acyclovir ชนิดใช้ภายนอกจัดเป็นยาอันตรายหรือยาแผนปัจจุบันที่ต้องสั่งจ่ายโดยแพทย์หรือเภสัชกรชั้นหนึ่งตามกฎหมายวิชาชีพ บุคลากรทางการแพทย์ทุกวิชาชีพไม่สามารถจำหน่ายหรือจ่ายยาได้โดยอิสระ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38" t="n"/>
      <c r="L100" s="39" t="inlineStr">
        <is>
          <t>HIV infection</t>
        </is>
      </c>
      <c r="M100" s="39" t="inlineStr">
        <is>
          <t>Clinic</t>
        </is>
      </c>
      <c r="N100" s="38" t="inlineStr">
        <is>
          <t>ข้อ 9 Pharma Plus เล่มม่วง (เฉลยข้อ ง)</t>
        </is>
      </c>
      <c r="O100" s="39" t="n"/>
      <c r="P100" s="39" t="n"/>
    </row>
    <row r="101" ht="13.2" customHeight="1" s="49">
      <c r="A101" s="37" t="n">
        <v>99</v>
      </c>
      <c r="B101"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38" t="n"/>
      <c r="D101" s="38" t="inlineStr">
        <is>
          <t>Steven Johnson syndrome</t>
        </is>
      </c>
      <c r="E101" s="38" t="inlineStr">
        <is>
          <t>Toxic epidermal necrolysis</t>
        </is>
      </c>
      <c r="F101" s="38" t="inlineStr">
        <is>
          <t>Rash with blisters</t>
        </is>
      </c>
      <c r="G101" s="38" t="inlineStr">
        <is>
          <t>SGPT &gt; 5X</t>
        </is>
      </c>
      <c r="H101" s="38" t="inlineStr">
        <is>
          <t>ถูกทุกข้อ</t>
        </is>
      </c>
      <c r="I101" s="37" t="inlineStr">
        <is>
          <t>4</t>
        </is>
      </c>
      <c r="J101" s="38"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38" t="n"/>
      <c r="L101" s="39" t="inlineStr">
        <is>
          <t>HIV infection</t>
        </is>
      </c>
      <c r="M101" s="39" t="inlineStr">
        <is>
          <t>Clinic</t>
        </is>
      </c>
      <c r="N101" s="38" t="inlineStr">
        <is>
          <t>ข้อ 9 Pharma Plus เล่มม่วง (เฉลยข้อ ง)</t>
        </is>
      </c>
      <c r="O101" s="39" t="n"/>
      <c r="P101" s="39" t="n"/>
    </row>
    <row r="102" ht="13.2" customHeight="1" s="49">
      <c r="A102" s="37" t="n">
        <v>100</v>
      </c>
      <c r="B102" s="38"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38" t="n"/>
      <c r="D102" s="38" t="inlineStr">
        <is>
          <t>พยาธิตัวตืด</t>
        </is>
      </c>
      <c r="E102" s="38" t="inlineStr">
        <is>
          <t>พยาธิปากขอ</t>
        </is>
      </c>
      <c r="F102" s="38" t="inlineStr">
        <is>
          <t>พยาธิเส้นด้าย</t>
        </is>
      </c>
      <c r="G102" s="38" t="inlineStr">
        <is>
          <t>พยาธิใบไม้</t>
        </is>
      </c>
      <c r="H102" s="38" t="inlineStr">
        <is>
          <t>พยาธิเท้าช้าง</t>
        </is>
      </c>
      <c r="I102" s="37" t="inlineStr">
        <is>
          <t>4</t>
        </is>
      </c>
      <c r="J102" s="38"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38" t="n"/>
      <c r="L102" s="39" t="inlineStr">
        <is>
          <t>Parasitic infections</t>
        </is>
      </c>
      <c r="M102" s="39" t="inlineStr">
        <is>
          <t>Clinic</t>
        </is>
      </c>
      <c r="N102" s="38" t="inlineStr">
        <is>
          <t>ข้อ 9 Pharma Plus เล่มม่วง (เฉลยข้อ ง)</t>
        </is>
      </c>
      <c r="O102" s="39" t="n"/>
      <c r="P102" s="39" t="n"/>
    </row>
    <row r="103" ht="13.2" customHeight="1" s="49">
      <c r="A103" s="37" t="n">
        <v>101</v>
      </c>
      <c r="B103" s="38" t="inlineStr">
        <is>
          <t>Trimethoprim สามารถทำให้อาการข้างเคียงตามข้อใด</t>
        </is>
      </c>
      <c r="C103" s="38" t="n"/>
      <c r="D103" s="38" t="inlineStr">
        <is>
          <t>Diarrhea</t>
        </is>
      </c>
      <c r="E103" s="38" t="inlineStr">
        <is>
          <t>Fatigue</t>
        </is>
      </c>
      <c r="F103" s="38" t="inlineStr">
        <is>
          <t>ปัสสาวะสีแดง</t>
        </is>
      </c>
      <c r="G103" s="38" t="inlineStr">
        <is>
          <t>Hypotension</t>
        </is>
      </c>
      <c r="H103" s="38" t="inlineStr">
        <is>
          <t>Megaloblastic anemia</t>
        </is>
      </c>
      <c r="I103" s="37" t="inlineStr">
        <is>
          <t>4</t>
        </is>
      </c>
      <c r="J103" s="38"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38" t="n"/>
      <c r="L103" s="39" t="inlineStr">
        <is>
          <t>HIV infection</t>
        </is>
      </c>
      <c r="M103" s="39" t="inlineStr">
        <is>
          <t>Clinic</t>
        </is>
      </c>
      <c r="N103" s="38" t="inlineStr">
        <is>
          <t>ข้อ 10 Pharma Plus เล่มม่วง (เฉลยข้อ ง)</t>
        </is>
      </c>
      <c r="O103" s="39" t="n"/>
      <c r="P103" s="39" t="n"/>
    </row>
    <row r="104" ht="13.2" customHeight="1" s="49">
      <c r="A104" s="37" t="n">
        <v>102</v>
      </c>
      <c r="B104"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38" t="n"/>
      <c r="D104" s="38" t="inlineStr">
        <is>
          <t>การรักษาต้องรักษาทั้งผู้ป่วยและสามี แม้ว่าสามีจะไม่มีอาการใดๆ</t>
        </is>
      </c>
      <c r="E104" s="38" t="inlineStr">
        <is>
          <t>จำเป็นต้องให้ยาเพื่อป้องกันการกลับเป็นซ้ำเนื่องจากผู้ป่วยยังอายุน้อย</t>
        </is>
      </c>
      <c r="F104" s="38" t="inlineStr">
        <is>
          <t>ห้ามดื่มนมพร้อมยา เนื่องจากนมจะทำให้ยาถูกดูดซึมได้ลดลง</t>
        </is>
      </c>
      <c r="G104" s="38" t="inlineStr">
        <is>
          <t>อย่ากลั้นปัสสาวะ</t>
        </is>
      </c>
      <c r="H104" s="38" t="inlineStr">
        <is>
          <t>ไม่ควรล้างช่องคลอดอย่างพร่ำเพรื่อ</t>
        </is>
      </c>
      <c r="I104" s="37" t="inlineStr">
        <is>
          <t>4</t>
        </is>
      </c>
      <c r="J104" s="38" t="inlineStr">
        <is>
          <t>✅ คำตอบที่ถูกต้อง: ข้อ ง. อย่ากลั้นปัสสาวะ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38" t="n"/>
      <c r="L104" s="39" t="inlineStr">
        <is>
          <t>STDs &amp; vaginitis</t>
        </is>
      </c>
      <c r="M104" s="39" t="inlineStr">
        <is>
          <t>Clinic</t>
        </is>
      </c>
      <c r="N104" s="38" t="inlineStr">
        <is>
          <t>ข้อ 10 Pharma Plus เล่มม่วง (เฉลยข้อ ง)</t>
        </is>
      </c>
      <c r="O104" s="39" t="n"/>
      <c r="P104" s="39" t="n"/>
    </row>
    <row r="105" ht="13.2" customHeight="1" s="49">
      <c r="A105" s="37" t="n">
        <v>103</v>
      </c>
      <c r="B105" s="38"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38" t="n"/>
      <c r="D105" s="38" t="inlineStr">
        <is>
          <t>Indinavir</t>
        </is>
      </c>
      <c r="E105" s="38" t="inlineStr">
        <is>
          <t>Lamivudine</t>
        </is>
      </c>
      <c r="F105" s="38" t="inlineStr">
        <is>
          <t>Nevirapine</t>
        </is>
      </c>
      <c r="G105" s="38" t="inlineStr">
        <is>
          <t>Stavudine</t>
        </is>
      </c>
      <c r="H105" s="38" t="inlineStr">
        <is>
          <t>Zidovudine</t>
        </is>
      </c>
      <c r="I105" s="37" t="inlineStr">
        <is>
          <t>4</t>
        </is>
      </c>
      <c r="J105" s="38"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38" t="n"/>
      <c r="L105" s="39" t="inlineStr">
        <is>
          <t>HIV infection</t>
        </is>
      </c>
      <c r="M105" s="39" t="inlineStr">
        <is>
          <t>Clinic</t>
        </is>
      </c>
      <c r="N105" s="38" t="inlineStr">
        <is>
          <t>ข้อ 10 Pharma Plus เล่มม่วง (เฉลยข้อ ง)</t>
        </is>
      </c>
      <c r="O105" s="39" t="n"/>
      <c r="P105" s="39" t="n"/>
    </row>
    <row r="106" ht="13.2" customHeight="1" s="49">
      <c r="A106" s="37" t="n">
        <v>104</v>
      </c>
      <c r="B106" s="38"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38" t="n"/>
      <c r="D106" s="38" t="inlineStr">
        <is>
          <t>Praziquantel 5-25 mg/kg/day po once</t>
        </is>
      </c>
      <c r="E106" s="38" t="inlineStr">
        <is>
          <t>Niclosamide 2 g single dose</t>
        </is>
      </c>
      <c r="F106" s="38" t="inlineStr">
        <is>
          <t>Albendazole 400 mg single dose</t>
        </is>
      </c>
      <c r="G106" s="38" t="inlineStr">
        <is>
          <t>Mebendazole 100 mg single dose</t>
        </is>
      </c>
      <c r="H106" s="38" t="inlineStr">
        <is>
          <t>ได้ทั้งข้อ 3 และ ข้อ 4</t>
        </is>
      </c>
      <c r="I106" s="37" t="inlineStr">
        <is>
          <t>4</t>
        </is>
      </c>
      <c r="J106" s="38"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38" t="n"/>
      <c r="L106" s="39" t="inlineStr">
        <is>
          <t>HIV infection</t>
        </is>
      </c>
      <c r="M106" s="39" t="inlineStr">
        <is>
          <t>Clinic</t>
        </is>
      </c>
      <c r="N106" s="38" t="inlineStr">
        <is>
          <t>ข้อ 10 Pharma Plus เล่มม่วง (เฉลยข้อ ง)</t>
        </is>
      </c>
      <c r="O106" s="39" t="n"/>
      <c r="P106" s="39" t="n"/>
    </row>
    <row r="107" ht="13.2" customHeight="1" s="49">
      <c r="A107" s="37" t="n">
        <v>105</v>
      </c>
      <c r="B107" s="38" t="inlineStr">
        <is>
          <t>ยาในกลุ่มใดต่อไปนี้ออกฤทธิ์เป็น Bactericidal</t>
        </is>
      </c>
      <c r="C107" s="38" t="n"/>
      <c r="D107" s="38" t="inlineStr">
        <is>
          <t>Cephalosporin</t>
        </is>
      </c>
      <c r="E107" s="38" t="inlineStr">
        <is>
          <t>Tetracycline</t>
        </is>
      </c>
      <c r="F107" s="38" t="inlineStr">
        <is>
          <t>Erythromycin</t>
        </is>
      </c>
      <c r="G107" s="38" t="inlineStr">
        <is>
          <t>Chloramphenicol</t>
        </is>
      </c>
      <c r="H107" s="38" t="inlineStr">
        <is>
          <t>Trimethoprim</t>
        </is>
      </c>
      <c r="I107" s="37" t="inlineStr">
        <is>
          <t>3</t>
        </is>
      </c>
      <c r="J107" s="38"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38" t="n"/>
      <c r="L107" s="39" t="inlineStr">
        <is>
          <t>HIV infection</t>
        </is>
      </c>
      <c r="M107" s="39" t="inlineStr">
        <is>
          <t>Clinic</t>
        </is>
      </c>
      <c r="N107" s="38" t="inlineStr">
        <is>
          <t>ข้อ 11 Pharma Plus เล่มม่วง (เฉลยข้อ ค)</t>
        </is>
      </c>
      <c r="O107" s="39" t="n"/>
      <c r="P107" s="39" t="n"/>
    </row>
    <row r="108" ht="13.2" customHeight="1" s="49">
      <c r="A108" s="37" t="n">
        <v>106</v>
      </c>
      <c r="B108" s="38"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38" t="n"/>
      <c r="D108" s="38" t="inlineStr">
        <is>
          <t>Tinea capitis</t>
        </is>
      </c>
      <c r="E108" s="38" t="inlineStr">
        <is>
          <t>Tinea caporis</t>
        </is>
      </c>
      <c r="F108" s="38" t="inlineStr">
        <is>
          <t>Tinea curis</t>
        </is>
      </c>
      <c r="G108" s="38" t="inlineStr">
        <is>
          <t>Tinea versicolor</t>
        </is>
      </c>
      <c r="H108" s="38" t="inlineStr">
        <is>
          <t>Tinea pedis</t>
        </is>
      </c>
      <c r="I108" s="37" t="inlineStr">
        <is>
          <t>3</t>
        </is>
      </c>
      <c r="J108" s="38"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38" t="n"/>
      <c r="L108" s="39" t="inlineStr">
        <is>
          <t>HIV infection</t>
        </is>
      </c>
      <c r="M108" s="39" t="inlineStr">
        <is>
          <t>Clinic</t>
        </is>
      </c>
      <c r="N108" s="38" t="inlineStr">
        <is>
          <t>ข้อ 11 Pharma Plus เล่มม่วง (เฉลยข้อ ค)</t>
        </is>
      </c>
      <c r="O108" s="39" t="n"/>
      <c r="P108" s="39" t="n"/>
    </row>
    <row r="109" ht="13.2" customHeight="1" s="49">
      <c r="A109" s="37" t="n">
        <v>107</v>
      </c>
      <c r="B109" s="38" t="inlineStr">
        <is>
          <t>การรักษาใดเหมาะสมในผู้ป่วยรายนี้</t>
        </is>
      </c>
      <c r="C109" s="38" t="n"/>
      <c r="D109" s="38" t="inlineStr">
        <is>
          <t>2HRZE/4HR และทานยาต้าน HIV ตามปกติ</t>
        </is>
      </c>
      <c r="E109" s="38" t="inlineStr">
        <is>
          <t>2HRZE/4HR และเพิ่ม ritonavir เป็น 800 mg q 12 hr</t>
        </is>
      </c>
      <c r="F109" s="38" t="inlineStr">
        <is>
          <t>2HRZE/4HR และเปลี่ยน ritonavir เป็น efavarenz</t>
        </is>
      </c>
      <c r="G109" s="38" t="inlineStr">
        <is>
          <t>2HES/10HE เพื่อป้องกัน rifampicin เกิด drug interaction กับ ritonavir</t>
        </is>
      </c>
      <c r="H109" s="38" t="inlineStr">
        <is>
          <t>2HES/10HE เพื่อป้องกัน rifampicin เกิด drug interaction กับ fluconazole</t>
        </is>
      </c>
      <c r="I109" s="37" t="inlineStr">
        <is>
          <t>3</t>
        </is>
      </c>
      <c r="J109" s="38"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38" t="n"/>
      <c r="L109" s="39" t="inlineStr">
        <is>
          <t>HIV infection</t>
        </is>
      </c>
      <c r="M109" s="39" t="inlineStr">
        <is>
          <t>Clinic</t>
        </is>
      </c>
      <c r="N109" s="38" t="inlineStr">
        <is>
          <t>ข้อ 11 Pharma Plus เล่มม่วง (เฉลยข้อ ค)</t>
        </is>
      </c>
      <c r="O109" s="39" t="n"/>
      <c r="P109" s="39" t="n"/>
    </row>
    <row r="110" ht="13.2" customHeight="1" s="49">
      <c r="A110" s="37" t="n">
        <v>108</v>
      </c>
      <c r="B110" s="38" t="inlineStr">
        <is>
          <t>ข้อใดผิดเกี่ยวกับการรักษาการติดพยาธิเส้นด้าย</t>
        </is>
      </c>
      <c r="C110" s="38" t="n"/>
      <c r="D110" s="38" t="inlineStr">
        <is>
          <t>ควรให้การรักษาซ้ำในสัปดาห์ที่ 2</t>
        </is>
      </c>
      <c r="E110" s="38" t="inlineStr">
        <is>
          <t>ควรรักษาสมาชิกในครอบครัวทั้งหมดพร้อมกัน</t>
        </is>
      </c>
      <c r="F110" s="38" t="inlineStr">
        <is>
          <t>ควรรักษาสมาชิกในครอบครัวที่เป็นเด็กพร้อมกัน</t>
        </is>
      </c>
      <c r="G110" s="38" t="inlineStr">
        <is>
          <t>หากมีอาการคันมากบริเวณรอบทวารหนักเวลากลางคืน ควรปรึกษาแพทย์หรือเภสัชกรเพื่อรับยาครีมหรือขี้ผึ้งทาแก้คัน</t>
        </is>
      </c>
      <c r="H110" s="38" t="inlineStr">
        <is>
          <t>รับประทานยาหลังอาหารทันที</t>
        </is>
      </c>
      <c r="I110" s="37" t="inlineStr">
        <is>
          <t>3</t>
        </is>
      </c>
      <c r="J110" s="38"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38" t="n"/>
      <c r="L110" s="39" t="inlineStr">
        <is>
          <t>Parasitic infections</t>
        </is>
      </c>
      <c r="M110" s="39" t="inlineStr">
        <is>
          <t>Clinic</t>
        </is>
      </c>
      <c r="N110" s="38" t="inlineStr">
        <is>
          <t>ข้อ 11 Pharma Plus เล่มม่วง (เฉลยข้อ ค)</t>
        </is>
      </c>
      <c r="O110" s="39" t="n"/>
      <c r="P110" s="39" t="n"/>
    </row>
    <row r="111" ht="13.2" customHeight="1" s="49">
      <c r="A111" s="37" t="n">
        <v>109</v>
      </c>
      <c r="B111" s="38" t="inlineStr">
        <is>
          <t>ยาในข้อใดออกฤทธิ์เป็น Concentration-dependent bactericidal activity</t>
        </is>
      </c>
      <c r="C111" s="38" t="n"/>
      <c r="D111" s="38" t="inlineStr">
        <is>
          <t>Penicillin</t>
        </is>
      </c>
      <c r="E111" s="38" t="inlineStr">
        <is>
          <t>Ciprofloxacin</t>
        </is>
      </c>
      <c r="F111" s="38" t="inlineStr">
        <is>
          <t>Erythromycin</t>
        </is>
      </c>
      <c r="G111" s="38" t="inlineStr">
        <is>
          <t>Cefazolin</t>
        </is>
      </c>
      <c r="H111" s="38" t="inlineStr">
        <is>
          <t>Azithromycin</t>
        </is>
      </c>
      <c r="I111" s="37" t="inlineStr">
        <is>
          <t>3</t>
        </is>
      </c>
      <c r="J111" s="38"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38" t="n"/>
      <c r="L111" s="39" t="inlineStr">
        <is>
          <t>HIV infection</t>
        </is>
      </c>
      <c r="M111" s="39" t="inlineStr">
        <is>
          <t>Clinic</t>
        </is>
      </c>
      <c r="N111" s="38" t="inlineStr">
        <is>
          <t>ข้อ 12 Pharma Plus เล่มม่วง (เฉลยข้อ ค)</t>
        </is>
      </c>
      <c r="O111" s="39" t="n"/>
      <c r="P111" s="39" t="n"/>
    </row>
    <row r="112" ht="13.2" customHeight="1" s="49">
      <c r="A112" s="37" t="n">
        <v>110</v>
      </c>
      <c r="B112" s="38"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38" t="n"/>
      <c r="D112" s="38" t="inlineStr">
        <is>
          <t>14 วัน</t>
        </is>
      </c>
      <c r="E112" s="38" t="inlineStr">
        <is>
          <t>2 เดือน</t>
        </is>
      </c>
      <c r="F112" s="38" t="inlineStr">
        <is>
          <t>3 เดือน</t>
        </is>
      </c>
      <c r="G112" s="38" t="inlineStr">
        <is>
          <t>4 เดือน</t>
        </is>
      </c>
      <c r="H112" s="38" t="inlineStr">
        <is>
          <t>5 เดือน</t>
        </is>
      </c>
      <c r="I112" s="37" t="inlineStr">
        <is>
          <t>3</t>
        </is>
      </c>
      <c r="J112" s="38" t="inlineStr">
        <is>
          <t>✅ คำตอบที่ถูกต้อง: ข้อ ค. 3 เดือน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38" t="n"/>
      <c r="L112" s="39" t="inlineStr">
        <is>
          <t>Pneumonia</t>
        </is>
      </c>
      <c r="M112" s="39" t="inlineStr">
        <is>
          <t>Clinic</t>
        </is>
      </c>
      <c r="N112" s="38" t="inlineStr">
        <is>
          <t>ข้อ 12 Pharma Plus เล่มม่วง (เฉลยข้อ ค)</t>
        </is>
      </c>
      <c r="O112" s="39" t="n"/>
      <c r="P112" s="39" t="n"/>
    </row>
    <row r="113" ht="13.2" customHeight="1" s="49">
      <c r="A113" s="37" t="n">
        <v>111</v>
      </c>
      <c r="B113" s="38" t="inlineStr">
        <is>
          <t>หลังจากนี้ไม่ควรดำเนินการรักษาโรคของนางฟ้าได้อย่างไร</t>
        </is>
      </c>
      <c r="C113" s="38" t="n"/>
      <c r="D113" s="38" t="inlineStr">
        <is>
          <t>ดำเนินการรักษา TB ต่อไปอีก 6-9 สัปดาห์</t>
        </is>
      </c>
      <c r="E113" s="38" t="inlineStr">
        <is>
          <t>ให้ pyridoxine 10 mg/day ควบคู่กับการรักษา TB</t>
        </is>
      </c>
      <c r="F113" s="38" t="inlineStr">
        <is>
          <t>ให้การรักษาวัณโรคแบบ DOTS</t>
        </is>
      </c>
      <c r="G113" s="38" t="inlineStr">
        <is>
          <t>รับประทานยาติดต่อกันอย่างสม่ำเสมอ</t>
        </is>
      </c>
      <c r="H113" s="38" t="inlineStr">
        <is>
          <t>ตรวจ serology B hepatitis</t>
        </is>
      </c>
      <c r="I113" s="37" t="inlineStr">
        <is>
          <t>3</t>
        </is>
      </c>
      <c r="J113" s="38"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38" t="n"/>
      <c r="L113" s="39" t="inlineStr">
        <is>
          <t>HIV infection</t>
        </is>
      </c>
      <c r="M113" s="39" t="inlineStr">
        <is>
          <t>Clinic</t>
        </is>
      </c>
      <c r="N113" s="38" t="inlineStr">
        <is>
          <t>ข้อ 12 Pharma Plus เล่มม่วง (เฉลยข้อ ค)</t>
        </is>
      </c>
      <c r="O113" s="39" t="n"/>
      <c r="P113" s="39" t="n"/>
    </row>
    <row r="114" ht="13.2" customHeight="1" s="49">
      <c r="A114" s="37" t="n">
        <v>112</v>
      </c>
      <c r="B114" s="38" t="inlineStr">
        <is>
          <t>คำแนะนำใดมีประโยชน์น้อยที่สุดในการป้องกันการติดพยาธิดังกล่าว</t>
        </is>
      </c>
      <c r="C114" s="38" t="n"/>
      <c r="D114" s="38" t="inlineStr">
        <is>
          <t>ควรรับประทานอาหารที่ปรุงสุก สะอาด</t>
        </is>
      </c>
      <c r="E114" s="38" t="inlineStr">
        <is>
          <t>ล้างมือก่อนรับประทานอาหารทุกครั้ง</t>
        </is>
      </c>
      <c r="F114" s="38" t="inlineStr">
        <is>
          <t>ควรสวมรองเท้าทุกครั้งที่ออกจากบ้าน</t>
        </is>
      </c>
      <c r="G114" s="38" t="inlineStr">
        <is>
          <t>ซักเสื้อผ้า ผ้าห่ม ผ้าปูที่นอนเสมอ</t>
        </is>
      </c>
      <c r="H114" s="38" t="inlineStr">
        <is>
          <t>ตัดเล็บมือให้สั้น</t>
        </is>
      </c>
      <c r="I114" s="37" t="inlineStr">
        <is>
          <t>3</t>
        </is>
      </c>
      <c r="J114" s="38"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38" t="n"/>
      <c r="L114" s="39" t="inlineStr">
        <is>
          <t>Parasitic infections</t>
        </is>
      </c>
      <c r="M114" s="39" t="inlineStr">
        <is>
          <t>Clinic</t>
        </is>
      </c>
      <c r="N114" s="38" t="inlineStr">
        <is>
          <t>ข้อ 12 Pharma Plus เล่มม่วง (เฉลยข้อ ค)</t>
        </is>
      </c>
      <c r="O114" s="39" t="n"/>
      <c r="P114" s="39" t="n"/>
    </row>
    <row r="115" ht="13.2" customHeight="1" s="49">
      <c r="A115" s="37" t="n">
        <v>113</v>
      </c>
      <c r="B115" s="38" t="inlineStr">
        <is>
          <t>Vancomycin ผลิตมาจากเชื้ออะไร</t>
        </is>
      </c>
      <c r="C115" s="38" t="n"/>
      <c r="D115" s="38" t="inlineStr">
        <is>
          <t>Streptomyces orchidaceus</t>
        </is>
      </c>
      <c r="E115" s="38" t="inlineStr">
        <is>
          <t>Streptomyces fradiae</t>
        </is>
      </c>
      <c r="F115" s="38" t="inlineStr">
        <is>
          <t>Bacillus subtilis</t>
        </is>
      </c>
      <c r="G115" s="38" t="inlineStr">
        <is>
          <t>Streptococcus orientalis</t>
        </is>
      </c>
      <c r="H115" s="38" t="inlineStr">
        <is>
          <t>ไม่มีข้อถูก</t>
        </is>
      </c>
      <c r="I115" s="37" t="inlineStr">
        <is>
          <t>2</t>
        </is>
      </c>
      <c r="J115" s="38"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38" t="n"/>
      <c r="L115" s="39" t="inlineStr">
        <is>
          <t>HIV infection</t>
        </is>
      </c>
      <c r="M115" s="39" t="inlineStr">
        <is>
          <t>Clinic</t>
        </is>
      </c>
      <c r="N115" s="38" t="inlineStr">
        <is>
          <t>ข้อ 13 Pharma Plus เล่มม่วง (เฉลยข้อ ข ค)</t>
        </is>
      </c>
      <c r="O115" s="39" t="n"/>
      <c r="P115" s="39" t="n"/>
    </row>
    <row r="116" ht="13.2" customHeight="1" s="49">
      <c r="A116" s="37" t="n">
        <v>114</v>
      </c>
      <c r="B116" s="38" t="inlineStr">
        <is>
          <t>ข้อใดคือ กลไกการออกฤทธิ์ของยา griseofulvin</t>
        </is>
      </c>
      <c r="C116" s="38" t="n"/>
      <c r="D116" s="38" t="inlineStr">
        <is>
          <t>ยับยั้งการสังเคราะห์ ergosterol</t>
        </is>
      </c>
      <c r="E116" s="38" t="inlineStr">
        <is>
          <t>ยับยั้งการสร้าง mycolic acid ใน cell wall</t>
        </is>
      </c>
      <c r="F116" s="38" t="inlineStr">
        <is>
          <t>ยับยั้งการสร้าง mitosis ของ dermatophytes</t>
        </is>
      </c>
      <c r="G116" s="38" t="inlineStr">
        <is>
          <t>จับกับ phospholipids ยับยั้งการสร้าง cell wall</t>
        </is>
      </c>
      <c r="H116" s="38" t="inlineStr">
        <is>
          <t>จับกับ sterol ยับยั้งการสร้างผนังเซลล์</t>
        </is>
      </c>
      <c r="I116" s="37" t="inlineStr">
        <is>
          <t>2</t>
        </is>
      </c>
      <c r="J116" s="38"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38" t="n"/>
      <c r="L116" s="39" t="inlineStr">
        <is>
          <t>HIV infection</t>
        </is>
      </c>
      <c r="M116" s="39" t="inlineStr">
        <is>
          <t>Clinic</t>
        </is>
      </c>
      <c r="N116" s="38" t="inlineStr">
        <is>
          <t>ข้อ 13 Pharma Plus เล่มม่วง (เฉลยข้อ ข ค)</t>
        </is>
      </c>
      <c r="O116" s="39" t="n"/>
      <c r="P116" s="39" t="n"/>
    </row>
    <row r="117" ht="13.2" customHeight="1" s="49">
      <c r="A117" s="37" t="n">
        <v>115</v>
      </c>
      <c r="B117" s="38"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38" t="n"/>
      <c r="D117" s="38" t="inlineStr">
        <is>
          <t>2HR/16HE: INH 300 mg, Ethambutol 800 mg, Streptomycin 1 g</t>
        </is>
      </c>
      <c r="E117" s="38" t="inlineStr">
        <is>
          <t>2HRE/7HR: INH 300 mg, Rifampicin 450 mg, Ethambutol 800 mg</t>
        </is>
      </c>
      <c r="F117" s="38" t="inlineStr">
        <is>
          <t>2HR/16HE: INH 300 mg, Ethambutol 800 mg, Streptomycin 0.75 g</t>
        </is>
      </c>
      <c r="G117" s="38" t="inlineStr">
        <is>
          <t>2HRE/7HR: INH 300 mg, Rifampicin 600 mg, Ethambutol 1200 mg</t>
        </is>
      </c>
      <c r="H117" s="38" t="inlineStr">
        <is>
          <t>2HRE/7HR: INH 300 mg, Rifampicin 450 mg, Ethambutol 800 mg</t>
        </is>
      </c>
      <c r="I117" s="37" t="inlineStr">
        <is>
          <t>2</t>
        </is>
      </c>
      <c r="J117" s="38"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38" t="n"/>
      <c r="L117" s="39" t="inlineStr">
        <is>
          <t>Tuberculosis</t>
        </is>
      </c>
      <c r="M117" s="39" t="inlineStr">
        <is>
          <t>Clinic</t>
        </is>
      </c>
      <c r="N117" s="38" t="inlineStr">
        <is>
          <t>ข้อ 13 Pharma Plus เล่มม่วง (เฉลยข้อ ข ค)</t>
        </is>
      </c>
      <c r="O117" s="39" t="n"/>
      <c r="P117" s="39" t="n"/>
    </row>
    <row r="118" ht="13.2" customHeight="1" s="49">
      <c r="A118" s="37" t="n">
        <v>116</v>
      </c>
      <c r="B118" s="38" t="inlineStr">
        <is>
          <t>ยาใดมีผลข้างเคียงทำให้เกิดผิวหนังแพ้ต่อแสงผิวไหม้รู้สึกชาบริเวณที่ถูกแสง</t>
        </is>
      </c>
      <c r="C118" s="38" t="n"/>
      <c r="D118" s="38" t="inlineStr">
        <is>
          <t>Ciprofloxacin</t>
        </is>
      </c>
      <c r="E118" s="38" t="inlineStr">
        <is>
          <t>Erythromycin</t>
        </is>
      </c>
      <c r="F118" s="38" t="inlineStr">
        <is>
          <t>Cefazolin</t>
        </is>
      </c>
      <c r="G118" s="38" t="inlineStr">
        <is>
          <t>Azithromycin</t>
        </is>
      </c>
      <c r="H118" s="38" t="inlineStr">
        <is>
          <t>Doxycycline</t>
        </is>
      </c>
      <c r="I118" s="37" t="inlineStr">
        <is>
          <t>5</t>
        </is>
      </c>
      <c r="J118" s="38"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38" t="n"/>
      <c r="L118" s="39" t="inlineStr">
        <is>
          <t>HIV infection</t>
        </is>
      </c>
      <c r="M118" s="39" t="inlineStr">
        <is>
          <t>Clinic</t>
        </is>
      </c>
      <c r="N118" s="38" t="inlineStr">
        <is>
          <t>ข้อ 14 Pharma Plus เล่มม่วง (เฉลยข้อ จ)</t>
        </is>
      </c>
      <c r="O118" s="39" t="n"/>
      <c r="P118" s="39" t="n"/>
    </row>
    <row r="119" ht="13.2" customHeight="1" s="49">
      <c r="A119" s="37" t="n">
        <v>117</v>
      </c>
      <c r="B119" s="38" t="inlineStr">
        <is>
          <t>ถ้าต้องการใช้สมุนไพรในการรักษาอาการดังกล่าว สมุนไพรที่เลือกใช้</t>
        </is>
      </c>
      <c r="C119" s="38" t="n"/>
      <c r="D119" s="38" t="inlineStr">
        <is>
          <t>พญายอ</t>
        </is>
      </c>
      <c r="E119" s="38" t="inlineStr">
        <is>
          <t>ทองพันชั่ง</t>
        </is>
      </c>
      <c r="F119" s="38" t="inlineStr">
        <is>
          <t>มะแว้งต้น</t>
        </is>
      </c>
      <c r="G119" s="38" t="inlineStr">
        <is>
          <t>ใบบัวบก</t>
        </is>
      </c>
      <c r="H119" s="38" t="inlineStr">
        <is>
          <t>เปล้าน้อย</t>
        </is>
      </c>
      <c r="I119" s="37" t="inlineStr">
        <is>
          <t>5</t>
        </is>
      </c>
      <c r="J119" s="38"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38" t="n"/>
      <c r="L119" s="39" t="inlineStr">
        <is>
          <t>HIV infection</t>
        </is>
      </c>
      <c r="M119" s="39" t="inlineStr">
        <is>
          <t>Clinic</t>
        </is>
      </c>
      <c r="N119" s="38" t="inlineStr">
        <is>
          <t>ข้อ 14 Pharma Plus เล่มม่วง (เฉลยข้อ จ)</t>
        </is>
      </c>
      <c r="O119" s="39" t="n"/>
      <c r="P119" s="39" t="n"/>
    </row>
    <row r="120" ht="13.2" customHeight="1" s="49">
      <c r="A120" s="37" t="n">
        <v>118</v>
      </c>
      <c r="B120" s="38" t="inlineStr">
        <is>
          <t>จากข้อ 13 นางฟ้าใสตานยาได้ 1 สัปดาห์ แล้วเกิดผิวหนังลอก (exfoliative dermatitis) ท่านจะทำอย่างไร</t>
        </is>
      </c>
      <c r="C120" s="38" t="n"/>
      <c r="D120" s="38" t="inlineStr">
        <is>
          <t>หยุด rifampicin แล้ว re-challenge ด้วยขนาดต่ำๆ</t>
        </is>
      </c>
      <c r="E120" s="38" t="inlineStr">
        <is>
          <t>หยุด INH แล้ว re-challenge ด้วยขนาดต่ำๆ</t>
        </is>
      </c>
      <c r="F120" s="38" t="inlineStr">
        <is>
          <t>เปลี่ยน rifampicin เป็น ofloxacin 400 mg bid</t>
        </is>
      </c>
      <c r="G120" s="38" t="inlineStr">
        <is>
          <t>หยุด ethambutol แล้ว re-challenge ด้วยขนาดต่ำๆ</t>
        </is>
      </c>
      <c r="H120" s="38" t="inlineStr">
        <is>
          <t>ให้ยา CPM ร่วมกับยาเดิม</t>
        </is>
      </c>
      <c r="I120" s="37" t="inlineStr">
        <is>
          <t>5</t>
        </is>
      </c>
      <c r="J120" s="38"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38" t="n"/>
      <c r="L120" s="39" t="inlineStr">
        <is>
          <t>HIV infection</t>
        </is>
      </c>
      <c r="M120" s="39" t="inlineStr">
        <is>
          <t>Clinic</t>
        </is>
      </c>
      <c r="N120" s="38" t="inlineStr">
        <is>
          <t>ข้อ 14 Pharma Plus เล่มม่วง (เฉลยข้อ จ)</t>
        </is>
      </c>
      <c r="O120" s="39" t="n"/>
      <c r="P120" s="39" t="n"/>
    </row>
    <row r="121" ht="13.2" customHeight="1" s="49">
      <c r="A121" s="37" t="n">
        <v>119</v>
      </c>
      <c r="B121" s="38" t="inlineStr">
        <is>
          <t>Gray baby syndrome มักเกิดในเด็กที่ได้รับยาอะไรในขนาดสูง</t>
        </is>
      </c>
      <c r="C121" s="38" t="n"/>
      <c r="D121" s="38" t="inlineStr">
        <is>
          <t>Azithromycin</t>
        </is>
      </c>
      <c r="E121" s="38" t="inlineStr">
        <is>
          <t>Doxycycline</t>
        </is>
      </c>
      <c r="F121" s="38" t="inlineStr">
        <is>
          <t>Chloramphenicol</t>
        </is>
      </c>
      <c r="G121" s="38" t="inlineStr">
        <is>
          <t>Neomycin</t>
        </is>
      </c>
      <c r="H121" s="38" t="inlineStr">
        <is>
          <t>Cephalexin</t>
        </is>
      </c>
      <c r="I121" s="37" t="inlineStr">
        <is>
          <t>4</t>
        </is>
      </c>
      <c r="J121" s="38"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38" t="n"/>
      <c r="L121" s="39" t="inlineStr">
        <is>
          <t>HIV infection</t>
        </is>
      </c>
      <c r="M121" s="39" t="inlineStr">
        <is>
          <t>Clinic</t>
        </is>
      </c>
      <c r="N121" s="38" t="inlineStr">
        <is>
          <t>ข้อ 15 Pharma Plus เล่มม่วง (เฉลยข้อ ง)</t>
        </is>
      </c>
      <c r="O121" s="39" t="n"/>
      <c r="P121" s="39" t="n"/>
    </row>
    <row r="122" ht="13.2" customHeight="1" s="49">
      <c r="A122" s="37" t="n">
        <v>120</v>
      </c>
      <c r="B122" s="38" t="inlineStr">
        <is>
          <t>ที่ฉลากยา griseofulvin มีคำว่า micronized form ข้อดีของ micronized form คือข้อใด</t>
        </is>
      </c>
      <c r="C122" s="38" t="n"/>
      <c r="D122" s="38" t="inlineStr">
        <is>
          <t>เพื่อเพิ่มการกระจายตัวไปยังตำแหน่งที่ออกฤทธิ์</t>
        </is>
      </c>
      <c r="E122" s="38" t="inlineStr">
        <is>
          <t>เพื่อลด first pass metabolism</t>
        </is>
      </c>
      <c r="F122" s="38" t="inlineStr">
        <is>
          <t>ให้อยู่ในร่างกายานขึ้น</t>
        </is>
      </c>
      <c r="G122" s="38" t="inlineStr">
        <is>
          <t>เพื่อป้องกันการดื้อยาของเชื้อรา</t>
        </is>
      </c>
      <c r="H122" s="38" t="inlineStr">
        <is>
          <t>เพื่อเพิ่มการดูดซึมยาจากทางเดินอาหาร</t>
        </is>
      </c>
      <c r="I122" s="37" t="inlineStr">
        <is>
          <t>4</t>
        </is>
      </c>
      <c r="J122" s="38" t="inlineStr">
        <is>
          <t>✅ คำตอบที่ถูกต้อง: ข้อ ง. เพื่อป้องกันการดื้อยาของเชื้อรา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8" t="n"/>
      <c r="L122" s="39" t="inlineStr">
        <is>
          <t>Cystitis</t>
        </is>
      </c>
      <c r="M122" s="39" t="inlineStr">
        <is>
          <t>Clinic</t>
        </is>
      </c>
      <c r="N122" s="38" t="inlineStr">
        <is>
          <t>ข้อ 15 Pharma Plus เล่มม่วง (เฉลยข้อ ง)</t>
        </is>
      </c>
      <c r="O122" s="39" t="n"/>
      <c r="P122" s="39" t="n"/>
    </row>
    <row r="123" ht="13.2" customHeight="1" s="49">
      <c r="A123" s="37" t="n">
        <v>121</v>
      </c>
      <c r="B123" s="38"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38" t="n"/>
      <c r="D123" s="38" t="inlineStr">
        <is>
          <t>กลไกการออกฤทธิ์ คือ DNA polymerase inhibitor อาการข้างเคียงคือ neuropathy</t>
        </is>
      </c>
      <c r="E123" s="38" t="inlineStr">
        <is>
          <t>กลไกการออกฤทธิ์ คือ protein synthesis อาการข้างเคียงคือ GI disturbance</t>
        </is>
      </c>
      <c r="F123" s="38" t="inlineStr">
        <is>
          <t>กลไกการออกฤทธิ์ คือ cell wall อาการข้างเคียงคือ SJS</t>
        </is>
      </c>
      <c r="G123" s="38" t="inlineStr">
        <is>
          <t>กลไกการออกฤทธิ์ คือ DNA synthesis อาการข้างเคียงคือ anemia</t>
        </is>
      </c>
      <c r="H123" s="38" t="inlineStr">
        <is>
          <t>กลไกการออกฤทธิ์ คือ ergosterol อาการข้างเคียงคือ gynecomastia</t>
        </is>
      </c>
      <c r="I123" s="37" t="inlineStr">
        <is>
          <t>4</t>
        </is>
      </c>
      <c r="J123" s="38"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38" t="n"/>
      <c r="L123" s="39" t="inlineStr">
        <is>
          <t>HIV infection</t>
        </is>
      </c>
      <c r="M123" s="39" t="inlineStr">
        <is>
          <t>Clinic</t>
        </is>
      </c>
      <c r="N123" s="38" t="inlineStr">
        <is>
          <t>ข้อ 15 Pharma Plus เล่มม่วง (เฉลยข้อ ง)</t>
        </is>
      </c>
      <c r="O123" s="39" t="n"/>
      <c r="P123" s="39" t="n"/>
    </row>
    <row r="124" ht="13.2" customHeight="1" s="49">
      <c r="A124" s="37" t="n">
        <v>122</v>
      </c>
      <c r="B124" s="38" t="inlineStr">
        <is>
          <t>คุณสมบัติของยาตามโครงสร้างนี้ ข้อใดผิด</t>
        </is>
      </c>
      <c r="C124" s="38" t="n"/>
      <c r="D124" s="38" t="inlineStr">
        <is>
          <t>ละลายน้ำได้น้อย</t>
        </is>
      </c>
      <c r="E124" s="38" t="inlineStr">
        <is>
          <t>มีคุณสมบัติในการฆ่าเชื้อเป็นแบบ concentration-dependent</t>
        </is>
      </c>
      <c r="F124" s="38" t="inlineStr">
        <is>
          <t>คุณสมบัติเป็น weak base</t>
        </is>
      </c>
      <c r="G124" s="38" t="inlineStr">
        <is>
          <t>เกิด Gl cramping</t>
        </is>
      </c>
      <c r="H124" s="38" t="inlineStr">
        <is>
          <t>ยาเข้าสู่สมองได้น้อยมาก</t>
        </is>
      </c>
      <c r="I124" s="37" t="inlineStr">
        <is>
          <t>2</t>
        </is>
      </c>
      <c r="J124" s="38"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38" t="n"/>
      <c r="L124" s="39" t="inlineStr">
        <is>
          <t>HIV infection</t>
        </is>
      </c>
      <c r="M124" s="39" t="inlineStr">
        <is>
          <t>Clinic</t>
        </is>
      </c>
      <c r="N124" s="38" t="inlineStr">
        <is>
          <t>ข้อ 16 Pharma Plus เล่มม่วง (เฉลยข้อ ข จ)</t>
        </is>
      </c>
      <c r="O124" s="39" t="n"/>
      <c r="P124" s="39" t="n"/>
    </row>
    <row r="125" ht="13.2" customHeight="1" s="49">
      <c r="A125" s="37" t="n">
        <v>123</v>
      </c>
      <c r="B125" s="38"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38" t="n"/>
      <c r="D125" s="38" t="inlineStr">
        <is>
          <t>มีเฉพาะยาฉีดเท่านั้น</t>
        </is>
      </c>
      <c r="E125" s="38" t="inlineStr">
        <is>
          <t>มีเฉพาะยาใช้ภายนอก</t>
        </is>
      </c>
      <c r="F125" s="38" t="inlineStr">
        <is>
          <t>มีอาการข้างเคียงน้อย</t>
        </is>
      </c>
      <c r="G125" s="38" t="inlineStr">
        <is>
          <t>ถูกเมตาบอไลต์ช้า อยู่ในร่างกายได้นาน</t>
        </is>
      </c>
      <c r="H125" s="38" t="inlineStr">
        <is>
          <t>มีปฏิกิริยาระหว่างยาลดลง</t>
        </is>
      </c>
      <c r="I125" s="37" t="inlineStr">
        <is>
          <t>2</t>
        </is>
      </c>
      <c r="J125" s="38"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38" t="n"/>
      <c r="L125" s="39" t="inlineStr">
        <is>
          <t>HIV infection</t>
        </is>
      </c>
      <c r="M125" s="39" t="inlineStr">
        <is>
          <t>Clinic</t>
        </is>
      </c>
      <c r="N125" s="38" t="inlineStr">
        <is>
          <t>ข้อ 16 Pharma Plus เล่มม่วง (เฉลยข้อ ข จ)</t>
        </is>
      </c>
      <c r="O125" s="39" t="n"/>
      <c r="P125" s="39" t="n"/>
    </row>
    <row r="126" ht="13.2" customHeight="1" s="49">
      <c r="A126" s="37" t="n">
        <v>124</v>
      </c>
      <c r="B126" s="38" t="inlineStr">
        <is>
          <t>ยาในข้อต่อไปนี้ เมื่อให้ร่วมกับยาอื่น อาทิ ritonavir มีผลทำให้ระดับยา ritonavir ในพลาสมาลดลง</t>
        </is>
      </c>
      <c r="C126" s="38" t="n"/>
      <c r="D126" s="38" t="inlineStr">
        <is>
          <t>Co- trimoxazole - CYP3A inducers</t>
        </is>
      </c>
      <c r="E126" s="38" t="inlineStr">
        <is>
          <t>Fluconazole - CYP3A inhibitors</t>
        </is>
      </c>
      <c r="F126" s="38" t="inlineStr">
        <is>
          <t>Isoniazid - CYP 2C inducers</t>
        </is>
      </c>
      <c r="G126" s="38" t="inlineStr">
        <is>
          <t>Pyrazinamide - CYP 2C inhibitors</t>
        </is>
      </c>
      <c r="H126" s="38" t="inlineStr">
        <is>
          <t>Rifampicin - CYP3A inducers</t>
        </is>
      </c>
      <c r="I126" s="37" t="inlineStr">
        <is>
          <t>2</t>
        </is>
      </c>
      <c r="J126" s="38"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38" t="n"/>
      <c r="L126" s="39" t="inlineStr">
        <is>
          <t>HIV infection</t>
        </is>
      </c>
      <c r="M126" s="39" t="inlineStr">
        <is>
          <t>Clinic</t>
        </is>
      </c>
      <c r="N126" s="38" t="inlineStr">
        <is>
          <t>ข้อ 16 Pharma Plus เล่มม่วง (เฉลยข้อ ข จ)</t>
        </is>
      </c>
      <c r="O126" s="39" t="n"/>
      <c r="P126" s="39" t="n"/>
    </row>
    <row r="127" ht="13.2" customHeight="1" s="49">
      <c r="A127" s="37" t="n">
        <v>125</v>
      </c>
      <c r="B127" s="38" t="inlineStr">
        <is>
          <t>ข้อใดไม่ใช่เชื้อกลุ่ม anaerobic</t>
        </is>
      </c>
      <c r="C127" s="38" t="n"/>
      <c r="D127" s="38" t="inlineStr">
        <is>
          <t>Peptococcus</t>
        </is>
      </c>
      <c r="E127" s="38" t="inlineStr">
        <is>
          <t>Peptostreptococcus</t>
        </is>
      </c>
      <c r="F127" s="38" t="inlineStr">
        <is>
          <t>Clostridium</t>
        </is>
      </c>
      <c r="G127" s="38" t="inlineStr">
        <is>
          <t>Chlamydia</t>
        </is>
      </c>
      <c r="H127" s="38" t="inlineStr">
        <is>
          <t>Escherichia</t>
        </is>
      </c>
      <c r="I127" s="37" t="inlineStr">
        <is>
          <t>3</t>
        </is>
      </c>
      <c r="J127" s="38"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38" t="n"/>
      <c r="L127" s="39" t="inlineStr">
        <is>
          <t>HIV infection</t>
        </is>
      </c>
      <c r="M127" s="39" t="inlineStr">
        <is>
          <t>Clinic</t>
        </is>
      </c>
      <c r="N127" s="38" t="inlineStr">
        <is>
          <t>ข้อ 17 Pharma Plus เล่มม่วง (เฉลยข้อ ค)</t>
        </is>
      </c>
      <c r="O127" s="39" t="n"/>
      <c r="P127" s="39" t="n"/>
    </row>
    <row r="128" ht="13.2" customHeight="1" s="49">
      <c r="A128" s="37" t="n">
        <v>126</v>
      </c>
      <c r="B128" s="38" t="inlineStr">
        <is>
          <t>จากโครงสร้างยา Itraconazole สารนี้มีคุณสมบัติเป็นอย่างไร</t>
        </is>
      </c>
      <c r="C128" s="38" t="n"/>
      <c r="D128" s="38" t="inlineStr">
        <is>
          <t>เป็นกรดอ่อน</t>
        </is>
      </c>
      <c r="E128" s="38" t="inlineStr">
        <is>
          <t>เป็นเบสอ่อน</t>
        </is>
      </c>
      <c r="F128" s="38" t="inlineStr">
        <is>
          <t>ละลายได้ดีในน้ำ</t>
        </is>
      </c>
      <c r="G128" s="38" t="inlineStr">
        <is>
          <t>ละลายได้ดีใน methanol</t>
        </is>
      </c>
      <c r="H128" s="38" t="inlineStr">
        <is>
          <t>ละลายได้ดีในสารละลายเบสแก่</t>
        </is>
      </c>
      <c r="I128" s="37" t="inlineStr">
        <is>
          <t>3</t>
        </is>
      </c>
      <c r="J128" s="38"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38" t="n"/>
      <c r="L128" s="39" t="inlineStr">
        <is>
          <t>HIV infection</t>
        </is>
      </c>
      <c r="M128" s="39" t="inlineStr">
        <is>
          <t>Clinic</t>
        </is>
      </c>
      <c r="N128" s="38" t="inlineStr">
        <is>
          <t>ข้อ 17 Pharma Plus เล่มม่วง (เฉลยข้อ ค)</t>
        </is>
      </c>
      <c r="O128" s="39" t="n"/>
      <c r="P128" s="39" t="n"/>
    </row>
    <row r="129" ht="13.2" customHeight="1" s="49">
      <c r="A129" s="37" t="n">
        <v>127</v>
      </c>
      <c r="B129" s="38" t="inlineStr">
        <is>
          <t>ยา rifampicin ใช้ป้องกันหรือรักษาโรคใดได้ นอกจากวัณโรค</t>
        </is>
      </c>
      <c r="C129" s="38" t="n"/>
      <c r="D129" s="38" t="inlineStr">
        <is>
          <t>Meningococcal infection</t>
        </is>
      </c>
      <c r="E129" s="38" t="inlineStr">
        <is>
          <t>HACEK endocarditis</t>
        </is>
      </c>
      <c r="F129" s="38" t="inlineStr">
        <is>
          <t>Leptospirosis</t>
        </is>
      </c>
      <c r="G129" s="38" t="inlineStr">
        <is>
          <t>Severe malaria</t>
        </is>
      </c>
      <c r="H129" s="38" t="inlineStr">
        <is>
          <t>Typhus</t>
        </is>
      </c>
      <c r="I129" s="37" t="inlineStr">
        <is>
          <t>3</t>
        </is>
      </c>
      <c r="J129" s="38"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38" t="n"/>
      <c r="L129" s="39" t="inlineStr">
        <is>
          <t>Tuberculosis</t>
        </is>
      </c>
      <c r="M129" s="39" t="inlineStr">
        <is>
          <t>Clinic</t>
        </is>
      </c>
      <c r="N129" s="38" t="inlineStr">
        <is>
          <t>ข้อ 17 Pharma Plus เล่มม่วง (เฉลยข้อ ค)</t>
        </is>
      </c>
      <c r="O129" s="39" t="n"/>
      <c r="P129" s="39" t="n"/>
    </row>
    <row r="130" ht="13.2" customHeight="1" s="49">
      <c r="A130" s="37" t="n">
        <v>128</v>
      </c>
      <c r="B130" s="38" t="inlineStr">
        <is>
          <t>ยากลุ่มใดที่ขัดขวางการทำงานของไรโบโซมชนิด 50S</t>
        </is>
      </c>
      <c r="C130" s="38" t="n"/>
      <c r="D130" s="38" t="inlineStr">
        <is>
          <t>Erythromycin</t>
        </is>
      </c>
      <c r="E130" s="38" t="inlineStr">
        <is>
          <t>Doxycycline</t>
        </is>
      </c>
      <c r="F130" s="38" t="inlineStr">
        <is>
          <t>Chloramphenicol</t>
        </is>
      </c>
      <c r="G130" s="38" t="inlineStr">
        <is>
          <t>Cephalexin</t>
        </is>
      </c>
      <c r="H130" s="38" t="inlineStr">
        <is>
          <t>Rifampicin</t>
        </is>
      </c>
      <c r="I130" s="37" t="inlineStr">
        <is>
          <t>5</t>
        </is>
      </c>
      <c r="J130" s="38"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38" t="n"/>
      <c r="L130" s="39" t="inlineStr">
        <is>
          <t>HIV infection</t>
        </is>
      </c>
      <c r="M130" s="39" t="inlineStr">
        <is>
          <t>Clinic</t>
        </is>
      </c>
      <c r="N130" s="38" t="inlineStr">
        <is>
          <t>ข้อ 18 Pharma Plus เล่มม่วง (เฉลยข้อ จ)</t>
        </is>
      </c>
      <c r="O130" s="39" t="n"/>
      <c r="P130" s="39" t="n"/>
    </row>
    <row r="131" ht="13.2" customHeight="1" s="49">
      <c r="A131" s="37" t="n">
        <v>129</v>
      </c>
      <c r="B131" s="38" t="inlineStr">
        <is>
          <t>Itraconazole เป็น high hydrophilic at pH 8.1 Log P = 5.96 (octanol/water) pKa= 3.7 การเพิ่ม dissolution ข้อใดผิด</t>
        </is>
      </c>
      <c r="C131" s="38" t="n"/>
      <c r="D131" s="38" t="inlineStr">
        <is>
          <t>ใช้ crystalline Itraconazole</t>
        </is>
      </c>
      <c r="E131" s="38" t="inlineStr">
        <is>
          <t>ใช้ micronized Itraconazole</t>
        </is>
      </c>
      <c r="F131" s="38" t="inlineStr">
        <is>
          <t>SLS ในตำรับ</t>
        </is>
      </c>
      <c r="G131" s="38" t="inlineStr">
        <is>
          <t>เตรียมแบบ Solid dispersion</t>
        </is>
      </c>
      <c r="H131" s="38" t="inlineStr">
        <is>
          <t>ไม่มีข้อถูก</t>
        </is>
      </c>
      <c r="I131" s="37" t="inlineStr">
        <is>
          <t>5</t>
        </is>
      </c>
      <c r="J131" s="38"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8" t="n"/>
      <c r="L131" s="39" t="inlineStr">
        <is>
          <t>Cystitis</t>
        </is>
      </c>
      <c r="M131" s="39" t="inlineStr">
        <is>
          <t>Clinic</t>
        </is>
      </c>
      <c r="N131" s="38" t="inlineStr">
        <is>
          <t>ข้อ 18 Pharma Plus เล่มม่วง (เฉลยข้อ จ)</t>
        </is>
      </c>
      <c r="O131" s="39" t="n"/>
      <c r="P131" s="39" t="n"/>
    </row>
    <row r="132" ht="13.2" customHeight="1" s="49">
      <c r="A132" s="37" t="n">
        <v>130</v>
      </c>
      <c r="B132" s="38"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38" t="n"/>
      <c r="D132" s="38" t="inlineStr">
        <is>
          <t>Isoniazid, Rifampicin, Pyrazinamide</t>
        </is>
      </c>
      <c r="E132" s="38" t="inlineStr">
        <is>
          <t>Rifampicin, Pyrazinamide, Streptomycin</t>
        </is>
      </c>
      <c r="F132" s="38" t="inlineStr">
        <is>
          <t>Isoniazid, Pyrazinamide, Ethambutol</t>
        </is>
      </c>
      <c r="G132" s="38" t="inlineStr">
        <is>
          <t>Rifampicin, Ethambutol, Streptomycin</t>
        </is>
      </c>
      <c r="H132" s="38" t="inlineStr">
        <is>
          <t>Isoniazid, Streptomycin, Ethambutol</t>
        </is>
      </c>
      <c r="I132" s="37" t="inlineStr">
        <is>
          <t>5</t>
        </is>
      </c>
      <c r="J132" s="38"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38" t="n"/>
      <c r="L132" s="39" t="inlineStr">
        <is>
          <t>HIV infection</t>
        </is>
      </c>
      <c r="M132" s="39" t="inlineStr">
        <is>
          <t>Clinic</t>
        </is>
      </c>
      <c r="N132" s="38" t="inlineStr">
        <is>
          <t>ข้อ 18 Pharma Plus เล่มม่วง (เฉลยข้อ จ)</t>
        </is>
      </c>
      <c r="O132" s="39" t="n"/>
      <c r="P132" s="39" t="n"/>
    </row>
    <row r="133" ht="13.2" customHeight="1" s="49">
      <c r="A133" s="37" t="n">
        <v>131</v>
      </c>
      <c r="B133" s="38" t="inlineStr">
        <is>
          <t>ยาใดยับยั้งการสังเคราะห์โปรตีนโดยการขัดขวางการทำงานของไรโบโซมชนิด 30S และออกฤทธิ์แบบ Bactericidal</t>
        </is>
      </c>
      <c r="C133" s="38" t="n"/>
      <c r="D133" s="38" t="inlineStr">
        <is>
          <t>Azithromycin</t>
        </is>
      </c>
      <c r="E133" s="38" t="inlineStr">
        <is>
          <t>Doxycycline</t>
        </is>
      </c>
      <c r="F133" s="38" t="inlineStr">
        <is>
          <t>Chloramphenicol</t>
        </is>
      </c>
      <c r="G133" s="38" t="inlineStr">
        <is>
          <t>Neomycin</t>
        </is>
      </c>
      <c r="H133" s="38" t="inlineStr">
        <is>
          <t>Cephalexin</t>
        </is>
      </c>
      <c r="I133" s="37" t="inlineStr">
        <is>
          <t>4</t>
        </is>
      </c>
      <c r="J133" s="38"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38" t="n"/>
      <c r="L133" s="39" t="inlineStr">
        <is>
          <t>HIV infection</t>
        </is>
      </c>
      <c r="M133" s="39" t="inlineStr">
        <is>
          <t>Clinic</t>
        </is>
      </c>
      <c r="N133" s="38" t="inlineStr">
        <is>
          <t>ข้อ 19 Pharma Plus เล่มม่วง (เฉลยข้อ ง จ)</t>
        </is>
      </c>
      <c r="O133" s="39" t="n"/>
      <c r="P133" s="39" t="n"/>
    </row>
    <row r="134" ht="13.2" customHeight="1" s="49">
      <c r="A134" s="37" t="n">
        <v>132</v>
      </c>
      <c r="B134" s="38" t="inlineStr">
        <is>
          <t>ข้อใดถูกต้องเกี่ยวกับการรักษาวัณโรค</t>
        </is>
      </c>
      <c r="C134" s="38" t="n"/>
      <c r="D134" s="38" t="inlineStr">
        <is>
          <t>การตรวจเสมหะเป็นวิธีที่ง่าย ประหยัด แต่ไม่เฉพาะเจาะจง</t>
        </is>
      </c>
      <c r="E134" s="38" t="inlineStr">
        <is>
          <t>ผู้ป่วยเบาหวานเป็นสาเหตุทำให้เกิดความชุกของวัณโรคมากขึ้น</t>
        </is>
      </c>
      <c r="F134" s="38" t="inlineStr">
        <is>
          <t>ผู้ที่ใช้ยากดภูมิต่างๆจะมีสิทธิ์ติดเชื้อวัณโรคได้ง่าย</t>
        </is>
      </c>
      <c r="G134" s="38" t="inlineStr">
        <is>
          <t>หลักการรักษาวัณโรคป้องกันไม่ให้ติดต่อไปสู่อื่น+ลองทดสอบประสิทธิภาพยาโดยใช้เวลาสั้น</t>
        </is>
      </c>
      <c r="H134" s="38" t="inlineStr">
        <is>
          <t>การรักษาวัณโรคคือใช้ยาขนาดสูงสุด+ใช้เวลานานๆ</t>
        </is>
      </c>
      <c r="I134" s="37" t="inlineStr">
        <is>
          <t>4</t>
        </is>
      </c>
      <c r="J134" s="38"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38" t="n"/>
      <c r="L134" s="39" t="inlineStr">
        <is>
          <t>Tuberculosis</t>
        </is>
      </c>
      <c r="M134" s="39" t="inlineStr">
        <is>
          <t>Clinic</t>
        </is>
      </c>
      <c r="N134" s="38" t="inlineStr">
        <is>
          <t>ข้อ 19 Pharma Plus เล่มม่วง (เฉลยข้อ ง จ)</t>
        </is>
      </c>
      <c r="O134" s="39" t="n"/>
      <c r="P134" s="39" t="n"/>
    </row>
    <row r="135" ht="13.2" customHeight="1" s="49">
      <c r="A135" s="37" t="n">
        <v>133</v>
      </c>
      <c r="B135" s="38" t="inlineStr">
        <is>
          <t>Cefepime เป็นยากลุ่ม cephalosporin gen ใด</t>
        </is>
      </c>
      <c r="C135" s="38" t="n"/>
      <c r="D135" s="38" t="inlineStr">
        <is>
          <t>Dolutegravir 50 mg OD</t>
        </is>
      </c>
      <c r="E135" s="38" t="inlineStr">
        <is>
          <t>Vancomycin 1 g IV Q12H</t>
        </is>
      </c>
      <c r="F135" s="38" t="inlineStr">
        <is>
          <t>Meropenem 1 g IV Q8H</t>
        </is>
      </c>
      <c r="G135" s="38" t="inlineStr">
        <is>
          <t>Cefazolin 1 g IV Q8H</t>
        </is>
      </c>
      <c r="H135" s="38" t="inlineStr">
        <is>
          <t>Amoxicillin/Clavulanate 1 g BID</t>
        </is>
      </c>
      <c r="I135" s="37" t="inlineStr">
        <is>
          <t>1</t>
        </is>
      </c>
      <c r="J135"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38" t="n"/>
      <c r="L135" s="39" t="inlineStr">
        <is>
          <t>HIV infection</t>
        </is>
      </c>
      <c r="M135" s="39" t="inlineStr">
        <is>
          <t>Clinic</t>
        </is>
      </c>
      <c r="N135" s="38" t="inlineStr">
        <is>
          <t>ข้อ 20 Pharma Plus เล่มม่วง (เฉลยข้อ ก)</t>
        </is>
      </c>
      <c r="O135" s="39" t="n"/>
      <c r="P135" s="39" t="n"/>
    </row>
    <row r="136" ht="13.2" customHeight="1" s="49">
      <c r="A136" s="37" t="n">
        <v>134</v>
      </c>
      <c r="B136" s="38" t="inlineStr">
        <is>
          <t>ยาในข้อใดจัดเป็น second line ในการรักษา TB</t>
        </is>
      </c>
      <c r="C136" s="38" t="n"/>
      <c r="D136" s="38" t="inlineStr">
        <is>
          <t>Streptomycin</t>
        </is>
      </c>
      <c r="E136" s="38" t="inlineStr">
        <is>
          <t>Augmentin</t>
        </is>
      </c>
      <c r="F136" s="38" t="inlineStr">
        <is>
          <t>Cyclosporine</t>
        </is>
      </c>
      <c r="G136" s="38" t="inlineStr">
        <is>
          <t>Ofloxacin</t>
        </is>
      </c>
      <c r="H136" s="38" t="inlineStr">
        <is>
          <t>Capreomycin</t>
        </is>
      </c>
      <c r="I136" s="37" t="inlineStr">
        <is>
          <t>1</t>
        </is>
      </c>
      <c r="J136" s="38"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38" t="n"/>
      <c r="L136" s="39" t="inlineStr">
        <is>
          <t>Tuberculosis</t>
        </is>
      </c>
      <c r="M136" s="39" t="inlineStr">
        <is>
          <t>Clinic</t>
        </is>
      </c>
      <c r="N136" s="38" t="inlineStr">
        <is>
          <t>ข้อ 20 Pharma Plus เล่มม่วง (เฉลยข้อ ก)</t>
        </is>
      </c>
      <c r="O136" s="39" t="n"/>
      <c r="P136" s="39" t="n"/>
    </row>
    <row r="137" ht="13.2" customHeight="1" s="49">
      <c r="A137" s="37" t="n">
        <v>135</v>
      </c>
      <c r="B137" s="38" t="inlineStr">
        <is>
          <t>ข้อใดถูกต้องเกี่ยวกับยาต้านไวรัสเอดส์</t>
        </is>
      </c>
      <c r="C137" s="38" t="n"/>
      <c r="D137" s="38" t="inlineStr">
        <is>
          <t>NNRTIs สามารถออกฤทธิ์ได้โดยต้องผ่านกระบวนการเปลี่ยนแปลงในร่างกายก่อน</t>
        </is>
      </c>
      <c r="E137" s="38" t="inlineStr">
        <is>
          <t>NRTIs นอกจากรักษา HIV infection ยังสามารถรักษา Hep B ได้ด้วย</t>
        </is>
      </c>
      <c r="F137" s="38" t="inlineStr">
        <is>
          <t>NRTIs จะต้องถูกเติมหมู่ฟอสเฟตก่อนถึงจะเข้าไปยับยั้ง reverse transcriptase ได้</t>
        </is>
      </c>
      <c r="G137" s="38" t="inlineStr">
        <is>
          <t>Abacavir และ entecavir จัดอยู่ในกลุ่ม protease inhibitor (PIs)</t>
        </is>
      </c>
      <c r="H137" s="38" t="inlineStr">
        <is>
          <t>PIs ทุกชนิดใช้เพื่อรักษาการติดเชื้อไวรัสเอดส์เพียงอย่างเดียว</t>
        </is>
      </c>
      <c r="I137" s="37" t="inlineStr">
        <is>
          <t>3</t>
        </is>
      </c>
      <c r="J137" s="38"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38" t="n"/>
      <c r="L137" s="39" t="inlineStr">
        <is>
          <t>HIV infection</t>
        </is>
      </c>
      <c r="M137" s="39" t="inlineStr">
        <is>
          <t>Clinic</t>
        </is>
      </c>
      <c r="N137" s="38" t="inlineStr">
        <is>
          <t>ข้อ 21 Pharma Plus เล่มม่วง (เฉลยข้อ ค)</t>
        </is>
      </c>
      <c r="O137" s="39" t="n"/>
      <c r="P137" s="39" t="n"/>
    </row>
    <row r="138" ht="13.2" customHeight="1" s="49">
      <c r="A138" s="37" t="n">
        <v>136</v>
      </c>
      <c r="B138" s="38" t="inlineStr">
        <is>
          <t>ข้อใดผิดเกี่ยวกับยาในกลุ่ม NNRTIs</t>
        </is>
      </c>
      <c r="C138" s="38" t="n"/>
      <c r="D138" s="38" t="inlineStr">
        <is>
          <t>ยาในกลุ่มนี้ไม่ต้องเติมหมู่ฟอสเฟตจากร่างกายในการออกฤทธิ์</t>
        </is>
      </c>
      <c r="E138" s="38" t="inlineStr">
        <is>
          <t>Nevirapine ห้ามให้ในผู้ป่วยหญิง HIV ที่มี CD4+ สูงกว่า 250 cell/mm3</t>
        </is>
      </c>
      <c r="F138" s="38" t="inlineStr">
        <is>
          <t>Efavirenz ควรรับประทานยาพร้อมอาหารที่มีไขมันสูง</t>
        </is>
      </c>
      <c r="G138" s="38" t="inlineStr">
        <is>
          <t>อาการไม่พึงประสงค์ที่สำคัญของ nevirapine คือ SJS, Hepatitis</t>
        </is>
      </c>
      <c r="H138" s="38" t="inlineStr">
        <is>
          <t>NNRTIs ที่ได้รับการรับรองจาก FDA ล่าสุด คือ rilpivirine</t>
        </is>
      </c>
      <c r="I138" s="37" t="inlineStr">
        <is>
          <t>4</t>
        </is>
      </c>
      <c r="J138" s="38"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38" t="n"/>
      <c r="L138" s="39" t="inlineStr">
        <is>
          <t>HIV infection</t>
        </is>
      </c>
      <c r="M138" s="39" t="inlineStr">
        <is>
          <t>Clinic</t>
        </is>
      </c>
      <c r="N138" s="38" t="inlineStr">
        <is>
          <t>ข้อ 22 Pharma Plus เล่มม่วง (เฉลยข้อ ง)</t>
        </is>
      </c>
      <c r="O138" s="39" t="n"/>
      <c r="P138" s="39" t="n"/>
    </row>
    <row r="139" ht="13.2" customHeight="1" s="49">
      <c r="A139" s="37" t="n">
        <v>137</v>
      </c>
      <c r="B139" s="38" t="inlineStr">
        <is>
          <t>ข้อใดผิดเกี่ยวกับยาในกลุ่ม protease inhibitor</t>
        </is>
      </c>
      <c r="C139" s="38" t="n"/>
      <c r="D139" s="38" t="inlineStr">
        <is>
          <t>PIs ห้ามให้ร่วมกับ ergotamine เนื่องจากจะทำให้เกิดภาวะ ergotism</t>
        </is>
      </c>
      <c r="E139" s="38" t="inlineStr">
        <is>
          <t>PIs ทุกตัวมีผลทำให้การกระจายตัวของไขมันผิดปกติแต่ไม่ได้ทำให้ระดับไขมันในเลือดผิดปกติ</t>
        </is>
      </c>
      <c r="F139" s="38" t="inlineStr">
        <is>
          <t>Ritonavir ช่วยทำให้ระดับของ lopinavir ในเลือดสูงขึ้น</t>
        </is>
      </c>
      <c r="G139" s="38" t="inlineStr">
        <is>
          <t>Atazanavir ทำให้ผู้ป่วยมีความร่วมมือในการรับประทานยาจากการรับประทานเพียงวันละครั้ง</t>
        </is>
      </c>
      <c r="H139" s="38" t="inlineStr">
        <is>
          <t>Indinavir ทำให้เกิด nephrolithiasis ต้องดื่มน้ำอย่างเพียงพอ</t>
        </is>
      </c>
      <c r="I139" s="37" t="inlineStr">
        <is>
          <t>1</t>
        </is>
      </c>
      <c r="J139" s="38"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38" t="n"/>
      <c r="L139" s="39" t="inlineStr">
        <is>
          <t>HIV infection</t>
        </is>
      </c>
      <c r="M139" s="39" t="inlineStr">
        <is>
          <t>Clinic</t>
        </is>
      </c>
      <c r="N139" s="38" t="inlineStr">
        <is>
          <t>ข้อ 23 Pharma Plus เล่มม่วง (เฉลยข้อ ก)</t>
        </is>
      </c>
      <c r="O139" s="39" t="n"/>
      <c r="P139" s="39" t="n"/>
    </row>
    <row r="140" ht="13.2" customHeight="1" s="49">
      <c r="A140" s="37" t="n">
        <v>138</v>
      </c>
      <c r="B140" s="38"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38" t="n"/>
      <c r="D140" s="38" t="inlineStr">
        <is>
          <t>Zidovudine</t>
        </is>
      </c>
      <c r="E140" s="38" t="inlineStr">
        <is>
          <t>Lamivudine</t>
        </is>
      </c>
      <c r="F140" s="38" t="inlineStr">
        <is>
          <t>Nevirapine</t>
        </is>
      </c>
      <c r="G140" s="38" t="inlineStr">
        <is>
          <t>Efavirenz</t>
        </is>
      </c>
      <c r="H140" s="38" t="inlineStr">
        <is>
          <t>Stavudine</t>
        </is>
      </c>
      <c r="I140" s="37" t="inlineStr">
        <is>
          <t>1</t>
        </is>
      </c>
      <c r="J140" s="38"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38" t="n"/>
      <c r="L140" s="39" t="inlineStr">
        <is>
          <t>HIV infection</t>
        </is>
      </c>
      <c r="M140" s="39" t="inlineStr">
        <is>
          <t>Clinic</t>
        </is>
      </c>
      <c r="N140" s="38" t="inlineStr">
        <is>
          <t>ข้อ 24 Pharma Plus เล่มม่วง (เฉลยข้อ ก)</t>
        </is>
      </c>
      <c r="O140" s="39" t="n"/>
      <c r="P140" s="39" t="n"/>
    </row>
    <row r="141" ht="13.2" customHeight="1" s="49">
      <c r="A141" s="37" t="n">
        <v>139</v>
      </c>
      <c r="B141" s="38"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38" t="n"/>
      <c r="D141" s="38" t="inlineStr">
        <is>
          <t>Abacavir</t>
        </is>
      </c>
      <c r="E141" s="38" t="inlineStr">
        <is>
          <t>Ritonavir</t>
        </is>
      </c>
      <c r="F141" s="38" t="inlineStr">
        <is>
          <t>Nevirapine</t>
        </is>
      </c>
      <c r="G141" s="38" t="inlineStr">
        <is>
          <t>Lamivudine</t>
        </is>
      </c>
      <c r="H141" s="38" t="inlineStr">
        <is>
          <t>Diravirdine</t>
        </is>
      </c>
      <c r="I141" s="37" t="inlineStr">
        <is>
          <t>2</t>
        </is>
      </c>
      <c r="J141" s="38"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38" t="n"/>
      <c r="L141" s="39" t="inlineStr">
        <is>
          <t>HIV infection</t>
        </is>
      </c>
      <c r="M141" s="39" t="inlineStr">
        <is>
          <t>Clinic</t>
        </is>
      </c>
      <c r="N141" s="38" t="inlineStr">
        <is>
          <t>ข้อ 25 Pharma Plus เล่มม่วง (เฉลยข้อ ข)</t>
        </is>
      </c>
      <c r="O141" s="39" t="n"/>
      <c r="P141" s="39" t="n"/>
    </row>
    <row r="142" ht="13.2" customHeight="1" s="49">
      <c r="A142" s="37" t="n">
        <v>140</v>
      </c>
      <c r="B142" s="38" t="inlineStr">
        <is>
          <t>เมื่อพิจารณาโครงสร้างของ ritonavir ท่านคิดว่าข้อใดไม่ถูกต้อง</t>
        </is>
      </c>
      <c r="C142" s="38" t="n"/>
      <c r="D142" s="38" t="inlineStr">
        <is>
          <t>เมื่อให้ยาร่วมกับอาหารจะดูดซึมได้มากขึ้น</t>
        </is>
      </c>
      <c r="E142" s="38" t="inlineStr">
        <is>
          <t>ยามีการละลายน้ำต่ำ จึงดูดซึมไม่ดี</t>
        </is>
      </c>
      <c r="F142" s="38" t="inlineStr">
        <is>
          <t>สลายตัวได้ง่ายในความร้อน</t>
        </is>
      </c>
      <c r="G142" s="38" t="inlineStr">
        <is>
          <t>มีลักษณะเป็น peptide-like</t>
        </is>
      </c>
      <c r="H142" s="38" t="inlineStr">
        <is>
          <t>ยามี ค่า log P 5.22 แสดงว่าละลายน้ำได้ไม่ดี</t>
        </is>
      </c>
      <c r="I142" s="37" t="inlineStr">
        <is>
          <t>1</t>
        </is>
      </c>
      <c r="J142" s="38"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38" t="n"/>
      <c r="L142" s="39" t="inlineStr">
        <is>
          <t>HIV infection</t>
        </is>
      </c>
      <c r="M142" s="39" t="inlineStr">
        <is>
          <t>Clinic</t>
        </is>
      </c>
      <c r="N142" s="38" t="inlineStr">
        <is>
          <t>ข้อ 26 Pharma Plus เล่มม่วง (เฉลยข้อ ก)</t>
        </is>
      </c>
      <c r="O142" s="39" t="n"/>
      <c r="P142" s="39" t="n"/>
    </row>
    <row r="143" ht="13.2" customHeight="1" s="49">
      <c r="A143" s="37" t="n">
        <v>141</v>
      </c>
      <c r="B143" s="38" t="inlineStr">
        <is>
          <t>สมุนไพรใดมีฤทธิ์ยับยั้ง HIV ได้ในหลอดทดลอง และเริ่มมีการใช้ในผู้ป่วย HIV บ้างแล้ว</t>
        </is>
      </c>
      <c r="C143" s="38" t="n"/>
      <c r="D143" s="38" t="inlineStr">
        <is>
          <t>ฟ้าทะลายโจร</t>
        </is>
      </c>
      <c r="E143" s="38" t="inlineStr">
        <is>
          <t>มะระขี้นก</t>
        </is>
      </c>
      <c r="F143" s="38" t="inlineStr">
        <is>
          <t>ปลาไหลเผือก</t>
        </is>
      </c>
      <c r="G143" s="38" t="inlineStr">
        <is>
          <t>หญ้าปักกิ่ง</t>
        </is>
      </c>
      <c r="H143" s="38" t="inlineStr">
        <is>
          <t>ดอกดาวเรือง</t>
        </is>
      </c>
      <c r="I143" s="37" t="inlineStr">
        <is>
          <t>2</t>
        </is>
      </c>
      <c r="J143" s="38"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38" t="n"/>
      <c r="L143" s="39" t="inlineStr">
        <is>
          <t>HIV infection</t>
        </is>
      </c>
      <c r="M143" s="39" t="inlineStr">
        <is>
          <t>Clinic</t>
        </is>
      </c>
      <c r="N143" s="38" t="inlineStr">
        <is>
          <t>ข้อ 27 Pharma Plus เล่มม่วง (เฉลยข้อ ข)</t>
        </is>
      </c>
      <c r="O143" s="39" t="n"/>
      <c r="P143" s="39" t="n"/>
    </row>
    <row r="144" ht="13.2" customHeight="1" s="49">
      <c r="A144" s="37" t="n">
        <v>142</v>
      </c>
      <c r="B144" s="38" t="inlineStr">
        <is>
          <t>ยาหลักที่ใช้ในการรักษา PCP คือ</t>
        </is>
      </c>
      <c r="C144" s="38" t="n"/>
      <c r="D144" s="38" t="inlineStr">
        <is>
          <t>Zidovudine</t>
        </is>
      </c>
      <c r="E144" s="38" t="inlineStr">
        <is>
          <t>Cotrimoxazole</t>
        </is>
      </c>
      <c r="F144" s="38" t="inlineStr">
        <is>
          <t>Ceftriaxone</t>
        </is>
      </c>
      <c r="G144" s="38" t="inlineStr">
        <is>
          <t>Acyclovir</t>
        </is>
      </c>
      <c r="H144" s="38" t="inlineStr">
        <is>
          <t>Ciprofloxacin</t>
        </is>
      </c>
      <c r="I144" s="37" t="inlineStr">
        <is>
          <t>1</t>
        </is>
      </c>
      <c r="J144" s="38" t="inlineStr">
        <is>
          <t>✅ คำตอบที่ถูกต้อง: ข้อ ก. Zidovudine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38" t="n"/>
      <c r="L144" s="39" t="inlineStr">
        <is>
          <t>Pneumonia</t>
        </is>
      </c>
      <c r="M144" s="39" t="inlineStr">
        <is>
          <t>Clinic</t>
        </is>
      </c>
      <c r="N144" s="38" t="inlineStr">
        <is>
          <t>ข้อ 28 Pharma Plus เล่มม่วง (เฉลยข้อ ก)</t>
        </is>
      </c>
      <c r="O144" s="39" t="n"/>
      <c r="P144" s="39" t="n"/>
    </row>
    <row r="145" ht="13.2" customHeight="1" s="49">
      <c r="A145" s="37" t="n">
        <v>143</v>
      </c>
      <c r="B145" s="38"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38" t="n"/>
      <c r="D145" s="38" t="inlineStr">
        <is>
          <t>กลไกการออกฤทธิ์คือ DNA polymerase inhibitor อาการข้างเคียงคือ neuropathy</t>
        </is>
      </c>
      <c r="E145" s="38" t="inlineStr">
        <is>
          <t>กลไกการออกฤทธิ์คือ Protein synthesis อาการข้างเคียงคือ GI disturbance</t>
        </is>
      </c>
      <c r="F145" s="38" t="inlineStr">
        <is>
          <t>กลไกการออกฤทธิ์คือ cell wall อาการข้างเคียงคือ SJS</t>
        </is>
      </c>
      <c r="G145" s="38" t="inlineStr">
        <is>
          <t>กลไกการออกฤทธิ์คือ DNA synthesis อาการข้างเคียงคือ anemia</t>
        </is>
      </c>
      <c r="H145" s="38" t="inlineStr">
        <is>
          <t>กลไกการออกฤทธิ์คือ ergosterol อาการข้างเคียงคือ gynecomastia</t>
        </is>
      </c>
      <c r="I145" s="37" t="inlineStr">
        <is>
          <t>1</t>
        </is>
      </c>
      <c r="J145" s="38"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38" t="n"/>
      <c r="L145" s="39" t="inlineStr">
        <is>
          <t>Cystitis</t>
        </is>
      </c>
      <c r="M145" s="39" t="inlineStr">
        <is>
          <t>Clinic</t>
        </is>
      </c>
      <c r="N145" s="38" t="inlineStr">
        <is>
          <t>ข้อ 29 Pharma Plus เล่มม่วง (เฉลยข้อ ก)</t>
        </is>
      </c>
      <c r="O145" s="39" t="n"/>
      <c r="P145" s="39" t="n"/>
    </row>
    <row r="146" ht="13.2" customHeight="1" s="49">
      <c r="A146" s="37" t="n">
        <v>144</v>
      </c>
      <c r="B146" s="38" t="inlineStr">
        <is>
          <t>คำแนะนำเกี่ยวกับเรื่องการใช้ยาเพื่อป้องกัน PCP อย่างไรจึงจะเหมาะสม</t>
        </is>
      </c>
      <c r="C146" s="38" t="n"/>
      <c r="D146" s="38" t="inlineStr">
        <is>
          <t>ห้ามรับประทานร่วมกับนม ยาลดกรด</t>
        </is>
      </c>
      <c r="E146" s="38" t="inlineStr">
        <is>
          <t>รับประทานยาอย่างสม่ำเสมอและปัสสาวะอาจมีสีแดงได้</t>
        </is>
      </c>
      <c r="F146" s="38" t="inlineStr">
        <is>
          <t>รักษาสุขภาพให้แข็งแรงและทำจิตใจให้สดชื่นแจ่มใส</t>
        </is>
      </c>
      <c r="G146" s="38" t="inlineStr">
        <is>
          <t>ให้กินยาหลังอาหารทันที เนื่องจากมีผลระคายเคืองกระเพาะอาหาร</t>
        </is>
      </c>
      <c r="H146" s="38" t="inlineStr">
        <is>
          <t>อาจทำให้เกิดผื่นชนิดรุนแรง ควรสังเกตอาการและแจ้งให้แพทย์ทราบทันที</t>
        </is>
      </c>
      <c r="I146" s="37" t="inlineStr">
        <is>
          <t>4</t>
        </is>
      </c>
      <c r="J146" s="38" t="inlineStr">
        <is>
          <t>✅ คำตอบที่ถูกต้อง: ข้อ ง. ให้กินยาหลังอาหารทันที เนื่องจากมีผลระคายเคืองกระเพาะอาหาร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38" t="n"/>
      <c r="L146" s="39" t="inlineStr">
        <is>
          <t>Cystitis</t>
        </is>
      </c>
      <c r="M146" s="39" t="inlineStr">
        <is>
          <t>Clinic</t>
        </is>
      </c>
      <c r="N146" s="38" t="inlineStr">
        <is>
          <t>ข้อ 30 Pharma Plus เล่มม่วง (เฉลยข้อ ง)</t>
        </is>
      </c>
      <c r="O146" s="39" t="n"/>
      <c r="P146" s="39" t="n"/>
    </row>
    <row r="147" ht="13.2" customHeight="1" s="49">
      <c r="A147" s="37" t="n">
        <v>145</v>
      </c>
      <c r="B147" s="38" t="inlineStr">
        <is>
          <t>ผู้ป่วยรายนี้หลังจากกลับบ้านควรได้รับยาป้องกัน PCP แบบ secondary prophylaxis อย่างไร</t>
        </is>
      </c>
      <c r="C147" s="38" t="n"/>
      <c r="D147" s="38" t="inlineStr">
        <is>
          <t>Cotrimoxazole (80 TMP/400 SMZ) 1/2 เม็ด วันละ 1 ครั้ง</t>
        </is>
      </c>
      <c r="E147" s="38" t="inlineStr">
        <is>
          <t>Cotrimoxazole (80 TMP/400 SMZ) 2 เม็ด วันละ 1 ครั้ง</t>
        </is>
      </c>
      <c r="F147" s="38" t="inlineStr">
        <is>
          <t>Cotrimoxazole (80 TMP/400 SMZ) 2 เม็ด สัปดาห์ละ 3 ครั้ง</t>
        </is>
      </c>
      <c r="G147" s="38" t="inlineStr">
        <is>
          <t>Cotrimozazole vaginal tablets ครึ่งเม็ด วันละ 3 ครั้ง</t>
        </is>
      </c>
      <c r="H147" s="38" t="inlineStr">
        <is>
          <t>Fluconazole 2 เม็ด ทุกสัปดาห์</t>
        </is>
      </c>
      <c r="I147" s="37" t="inlineStr">
        <is>
          <t>2</t>
        </is>
      </c>
      <c r="J147" s="38"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38" t="n"/>
      <c r="L147" s="39" t="inlineStr">
        <is>
          <t>HIV infection</t>
        </is>
      </c>
      <c r="M147" s="39" t="inlineStr">
        <is>
          <t>Clinic</t>
        </is>
      </c>
      <c r="N147" s="38" t="inlineStr">
        <is>
          <t>ข้อ 31 Pharma Plus เล่มม่วง (เฉลยข้อ ข)</t>
        </is>
      </c>
      <c r="O147" s="39" t="n"/>
      <c r="P147" s="39" t="n"/>
    </row>
    <row r="148" ht="13.2" customHeight="1" s="49">
      <c r="A148" s="37" t="n">
        <v>146</v>
      </c>
      <c r="B148" s="38" t="inlineStr">
        <is>
          <t>ยาต้านเชื้อราที่สามารถรักษา oral candidiasis ยกเว้นข้อใด</t>
        </is>
      </c>
      <c r="C148" s="38" t="n"/>
      <c r="D148" s="38" t="inlineStr">
        <is>
          <t>Cotrimazole lozenges</t>
        </is>
      </c>
      <c r="E148" s="38" t="inlineStr">
        <is>
          <t>Nystatin suspensions</t>
        </is>
      </c>
      <c r="F148" s="38" t="inlineStr">
        <is>
          <t>Miconazole oral gels</t>
        </is>
      </c>
      <c r="G148" s="38" t="inlineStr">
        <is>
          <t>Ketoconazole tablets</t>
        </is>
      </c>
      <c r="H148" s="38" t="inlineStr">
        <is>
          <t>Fluconazole tablets</t>
        </is>
      </c>
      <c r="I148" s="37" t="inlineStr">
        <is>
          <t>1</t>
        </is>
      </c>
      <c r="J148" s="38"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38" t="n"/>
      <c r="L148" s="39" t="inlineStr">
        <is>
          <t>HIV infection</t>
        </is>
      </c>
      <c r="M148" s="39" t="inlineStr">
        <is>
          <t>Clinic</t>
        </is>
      </c>
      <c r="N148" s="38" t="inlineStr">
        <is>
          <t>ข้อ 32 Pharma Plus เล่มม่วง (เฉลยข้อ )</t>
        </is>
      </c>
      <c r="O148" s="39" t="n"/>
      <c r="P148" s="39" t="n"/>
    </row>
    <row r="149" ht="13.2" customHeight="1" s="49">
      <c r="A149" s="37" t="n">
        <v>147</v>
      </c>
      <c r="B149" s="38"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38" t="n"/>
      <c r="D149" s="38" t="inlineStr">
        <is>
          <t>พบเชื้อมากในมูลนกพิราบ</t>
        </is>
      </c>
      <c r="E149" s="38" t="inlineStr">
        <is>
          <t>พบในดินและอุจจาระค้างคาว</t>
        </is>
      </c>
      <c r="F149" s="38" t="inlineStr">
        <is>
          <t>เชื้อเป็น normal flora ในระบบทางเดินอาหาร</t>
        </is>
      </c>
      <c r="G149" s="38" t="inlineStr">
        <is>
          <t>อยู่ตามธรรมชาติ เชื้อเข้าสู่ร่างกายทางบาดแผลที่ผิวหนัง</t>
        </is>
      </c>
      <c r="H149" s="38" t="inlineStr">
        <is>
          <t>เป็น opportunistic fungi</t>
        </is>
      </c>
      <c r="I149" s="37" t="inlineStr">
        <is>
          <t>5</t>
        </is>
      </c>
      <c r="J149" s="38"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38" t="n"/>
      <c r="L149" s="39" t="inlineStr">
        <is>
          <t>HIV infection</t>
        </is>
      </c>
      <c r="M149" s="39" t="inlineStr">
        <is>
          <t>Clinic</t>
        </is>
      </c>
      <c r="N149" s="38" t="inlineStr">
        <is>
          <t>ข้อ 33 Pharma Plus เล่มม่วง (เฉลยข้อ จ)</t>
        </is>
      </c>
      <c r="O149" s="39" t="n"/>
      <c r="P149" s="39" t="n"/>
    </row>
    <row r="150" ht="13.2" customHeight="1" s="49">
      <c r="A150" s="37" t="n">
        <v>148</v>
      </c>
      <c r="B150" s="38" t="inlineStr">
        <is>
          <t>ผู้ป่วยรายนี้จำเป็นต้องได้รับยาเพื่อป้องกัน cryptococcosis หรือไม่ (ถ้าควรได้รับ ผู้ป่วยจะต้องได้รับยาใด)</t>
        </is>
      </c>
      <c r="C150" s="38" t="n"/>
      <c r="D150" s="38" t="inlineStr">
        <is>
          <t>[NEED_REVIEW]</t>
        </is>
      </c>
      <c r="E150" s="38" t="inlineStr">
        <is>
          <t>[NEED_REVIEW]</t>
        </is>
      </c>
      <c r="F150" s="38" t="inlineStr">
        <is>
          <t>[NEED_REVIEW]</t>
        </is>
      </c>
      <c r="G150" s="38" t="inlineStr">
        <is>
          <t>[NEED_REVIEW]</t>
        </is>
      </c>
      <c r="H150" s="38" t="inlineStr">
        <is>
          <t>[NEED_REVIEW]</t>
        </is>
      </c>
      <c r="I150" s="37" t="inlineStr">
        <is>
          <t>5</t>
        </is>
      </c>
      <c r="J150" s="38"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38" t="n"/>
      <c r="L150" s="39" t="inlineStr">
        <is>
          <t>HIV infection</t>
        </is>
      </c>
      <c r="M150" s="39" t="inlineStr">
        <is>
          <t>Clinic</t>
        </is>
      </c>
      <c r="N150" s="38" t="inlineStr">
        <is>
          <t>ข้อ 34 Pharma Plus เล่มม่วง (เฉลยข้อ จ)</t>
        </is>
      </c>
      <c r="O150" s="39" t="n"/>
      <c r="P150" s="39" t="n"/>
    </row>
    <row r="151" ht="13.2" customHeight="1" s="49">
      <c r="A151" s="37" t="n">
        <v>149</v>
      </c>
      <c r="B151" s="38" t="inlineStr">
        <is>
          <t>ผู้ป่วยรายนี้จะพิจารณาหยุดยาป้องกัน histoplasmosis เมื่อใด</t>
        </is>
      </c>
      <c r="C151" s="38" t="n"/>
      <c r="D151" s="38" t="inlineStr">
        <is>
          <t>CD4 ≥ 50 cells/mm³</t>
        </is>
      </c>
      <c r="E151" s="38" t="inlineStr">
        <is>
          <t>CD4 ≥ 100 cells/mm³</t>
        </is>
      </c>
      <c r="F151" s="38" t="inlineStr">
        <is>
          <t>CD4 ≥ 150 cells/mm³</t>
        </is>
      </c>
      <c r="G151" s="38" t="inlineStr">
        <is>
          <t>CD4 ≥ 200 cells/mm³</t>
        </is>
      </c>
      <c r="H151" s="38" t="inlineStr">
        <is>
          <t>CD4 ≥ 250 cells/mm³</t>
        </is>
      </c>
      <c r="I151" s="37" t="inlineStr">
        <is>
          <t>3</t>
        </is>
      </c>
      <c r="J151" s="38"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ซึ่งเกณฑ์สากลกำหนดไว้ที่ระดับตั้งแต่ 150 cells/mm³ ขึ้นไป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38" t="n"/>
      <c r="L151" s="39" t="inlineStr">
        <is>
          <t>HIV infection</t>
        </is>
      </c>
      <c r="M151" s="39" t="inlineStr">
        <is>
          <t>Clinic</t>
        </is>
      </c>
      <c r="N151" s="38" t="inlineStr">
        <is>
          <t>ข้อ 35 Pharma Plus เล่มม่วง (เฉลยข้อ ค)</t>
        </is>
      </c>
      <c r="O151" s="39" t="n"/>
      <c r="P151" s="39" t="n"/>
    </row>
    <row r="152" ht="13.2" customHeight="1" s="49">
      <c r="A152" s="37" t="n">
        <v>150</v>
      </c>
      <c r="B152" s="38"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38" t="n"/>
      <c r="D152" s="38" t="inlineStr">
        <is>
          <t>Cryptococcus sp.</t>
        </is>
      </c>
      <c r="E152" s="38" t="inlineStr">
        <is>
          <t>Aspergillus sp.</t>
        </is>
      </c>
      <c r="F152" s="38" t="inlineStr">
        <is>
          <t>Candida sp.</t>
        </is>
      </c>
      <c r="G152" s="38" t="inlineStr">
        <is>
          <t>Histoplasma sp.</t>
        </is>
      </c>
      <c r="H152" s="38" t="inlineStr">
        <is>
          <t>Blastomyces sp.</t>
        </is>
      </c>
      <c r="I152" s="37" t="inlineStr">
        <is>
          <t>1</t>
        </is>
      </c>
      <c r="J152" s="38"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38" t="n"/>
      <c r="L152" s="39" t="inlineStr">
        <is>
          <t>HIV infection</t>
        </is>
      </c>
      <c r="M152" s="39" t="inlineStr">
        <is>
          <t>Clinic</t>
        </is>
      </c>
      <c r="N152" s="38" t="inlineStr">
        <is>
          <t>ข้อ 36 Pharma Plus เล่มม่วง (เฉลยข้อ ก)</t>
        </is>
      </c>
      <c r="O152" s="39" t="n"/>
      <c r="P152" s="39" t="n"/>
    </row>
    <row r="153" ht="13.2" customHeight="1" s="49">
      <c r="A153" s="37" t="n">
        <v>151</v>
      </c>
      <c r="B153" s="38" t="inlineStr">
        <is>
          <t>การรักษาที่เหมาะสมสำหรับผู้ป่วยรายนี้คือข้อใด</t>
        </is>
      </c>
      <c r="C153" s="38" t="n"/>
      <c r="D153" s="38" t="inlineStr">
        <is>
          <t>Induction phase: Amphotericin B 0.6-0.7 mg/kg/day หยดเข้าหลอดเลือดดำเป็นเวลา 7-14 วัน, Consolidation phase: Itraconazole 200 mg กินวันละ 2 ครั้ง เป็นเวลา 10-12 สัปดาห์</t>
        </is>
      </c>
      <c r="E153" s="38" t="inlineStr">
        <is>
          <t>Induction phase: Amphotericin B 0.7-1.0 mg/kg/day IV ร่วมกับ Fluconazole 800 mg/day</t>
        </is>
      </c>
      <c r="F153" s="38" t="inlineStr">
        <is>
          <t>Induction phase: Amphotericin B 0.3-0.5 mg/kg/day หยดเข้าหลอดเลือดดำ เป็นเวลา 7-14 วัน, Consolidation phase: Fluconazole 200 mg กินวันละครั้ง เป็นเวลา 14-21 วัน</t>
        </is>
      </c>
      <c r="G153" s="38"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38" t="inlineStr">
        <is>
          <t>Fluconazole 400-800 mg/day ร่วมกับ intrathecal Amphotericin B 1-1.5 mg/day</t>
        </is>
      </c>
      <c r="I153" s="37" t="inlineStr">
        <is>
          <t>2</t>
        </is>
      </c>
      <c r="J153" s="38"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38" t="n"/>
      <c r="L153" s="39" t="inlineStr">
        <is>
          <t>HIV infection</t>
        </is>
      </c>
      <c r="M153" s="39" t="inlineStr">
        <is>
          <t>Clinic</t>
        </is>
      </c>
      <c r="N153" s="38" t="inlineStr">
        <is>
          <t>ข้อ 37 Pharma Plus เล่มม่วง (เฉลยข้อ ข)</t>
        </is>
      </c>
      <c r="O153" s="39" t="n"/>
      <c r="P153" s="39" t="n"/>
    </row>
    <row r="154" ht="13.2" customHeight="1" s="49">
      <c r="A154" s="37" t="n">
        <v>152</v>
      </c>
      <c r="B154" s="38"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38" t="n"/>
      <c r="D154" s="38" t="inlineStr">
        <is>
          <t>วัณโรค</t>
        </is>
      </c>
      <c r="E154" s="38" t="inlineStr">
        <is>
          <t>ปอดบวม</t>
        </is>
      </c>
      <c r="F154" s="38" t="inlineStr">
        <is>
          <t>หนองใน</t>
        </is>
      </c>
      <c r="G154" s="38" t="inlineStr">
        <is>
          <t>เชื้อราแคนดิดา</t>
        </is>
      </c>
      <c r="H154" s="38" t="inlineStr">
        <is>
          <t>เอดส์</t>
        </is>
      </c>
      <c r="I154" s="37" t="inlineStr">
        <is>
          <t>1</t>
        </is>
      </c>
      <c r="J154" s="38"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38" t="n"/>
      <c r="L154" s="39" t="inlineStr">
        <is>
          <t>HIV infection</t>
        </is>
      </c>
      <c r="M154" s="39" t="inlineStr">
        <is>
          <t>Clinic</t>
        </is>
      </c>
      <c r="N154" s="38" t="inlineStr">
        <is>
          <t>ข้อ 38 Pharma Plus เล่มม่วง (เฉลยข้อ )</t>
        </is>
      </c>
      <c r="O154" s="39" t="n"/>
      <c r="P154" s="39" t="n"/>
    </row>
    <row r="155" ht="13.2" customHeight="1" s="49">
      <c r="A155" s="37" t="n">
        <v>153</v>
      </c>
      <c r="B155" s="38" t="inlineStr">
        <is>
          <t>ยา GPOvir ขององค์การเภสัชกรรมประกอบด้วย</t>
        </is>
      </c>
      <c r="C155" s="38" t="n"/>
      <c r="D155" s="38" t="inlineStr">
        <is>
          <t>Zidovudine + Didanosine + Ritonavir</t>
        </is>
      </c>
      <c r="E155" s="38" t="inlineStr">
        <is>
          <t>Stavudine + Lamivudine + Saquinavir</t>
        </is>
      </c>
      <c r="F155" s="38" t="inlineStr">
        <is>
          <t>Stavudine + Lamivudine + Nevirapine</t>
        </is>
      </c>
      <c r="G155" s="38" t="inlineStr">
        <is>
          <t>Stavudine + Lamivudine + Tenofovir</t>
        </is>
      </c>
      <c r="H155" s="38" t="inlineStr">
        <is>
          <t>ไม่มีข้อใดถูก</t>
        </is>
      </c>
      <c r="I155" s="37" t="inlineStr">
        <is>
          <t>3</t>
        </is>
      </c>
      <c r="J155" s="38"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38" t="n"/>
      <c r="L155" s="39" t="inlineStr">
        <is>
          <t>HIV infection</t>
        </is>
      </c>
      <c r="M155" s="39" t="inlineStr">
        <is>
          <t>Clinic</t>
        </is>
      </c>
      <c r="N155" s="38" t="inlineStr">
        <is>
          <t>ข้อ 39 Pharma Plus เล่มม่วง (เฉลยข้อ ค)</t>
        </is>
      </c>
      <c r="O155" s="39" t="n"/>
      <c r="P155" s="39" t="n"/>
    </row>
    <row r="156" ht="13.2" customHeight="1" s="49">
      <c r="A156" s="37" t="n">
        <v>154</v>
      </c>
      <c r="B156" s="38"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38" t="n"/>
      <c r="D156" s="38" t="inlineStr">
        <is>
          <t>Abacavir</t>
        </is>
      </c>
      <c r="E156" s="38" t="inlineStr">
        <is>
          <t>Ritonavir</t>
        </is>
      </c>
      <c r="F156" s="38" t="inlineStr">
        <is>
          <t>Nevirapine</t>
        </is>
      </c>
      <c r="G156" s="38" t="inlineStr">
        <is>
          <t>Lamivudine</t>
        </is>
      </c>
      <c r="H156" s="38" t="inlineStr">
        <is>
          <t>Diravirdine</t>
        </is>
      </c>
      <c r="I156" s="37" t="inlineStr">
        <is>
          <t>2</t>
        </is>
      </c>
      <c r="J156" s="38"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38" t="n"/>
      <c r="L156" s="39" t="inlineStr">
        <is>
          <t>HIV infection</t>
        </is>
      </c>
      <c r="M156" s="39" t="inlineStr">
        <is>
          <t>Clinic</t>
        </is>
      </c>
      <c r="N156" s="38" t="inlineStr">
        <is>
          <t>ข้อ 40 Pharma Plus เล่มม่วง (เฉลยข้อ ข)</t>
        </is>
      </c>
      <c r="O156" s="39" t="n"/>
      <c r="P156" s="39" t="n"/>
    </row>
    <row r="157" ht="13.2" customHeight="1" s="49">
      <c r="A157" s="37" t="n">
        <v>155</v>
      </c>
      <c r="B157" s="38" t="inlineStr">
        <is>
          <t>ฝ้าขาวที่เกิดที่กระพุ้งแก้มในรูปแบบยาน้ำกลั้วปาก สามารถรักษาได้โดยยาชนิดใด</t>
        </is>
      </c>
      <c r="C157" s="38" t="n"/>
      <c r="D157" s="38" t="inlineStr">
        <is>
          <t>Cotrimazole</t>
        </is>
      </c>
      <c r="E157" s="38" t="inlineStr">
        <is>
          <t>Nystatin</t>
        </is>
      </c>
      <c r="F157" s="38" t="inlineStr">
        <is>
          <t>Claritromycin</t>
        </is>
      </c>
      <c r="G157" s="38" t="inlineStr">
        <is>
          <t>Itraconazole</t>
        </is>
      </c>
      <c r="H157" s="38" t="inlineStr">
        <is>
          <t>Amphotericin B</t>
        </is>
      </c>
      <c r="I157" s="37" t="inlineStr">
        <is>
          <t>2</t>
        </is>
      </c>
      <c r="J157" s="38"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38" t="n"/>
      <c r="L157" s="39" t="inlineStr">
        <is>
          <t>HIV infection</t>
        </is>
      </c>
      <c r="M157" s="39" t="inlineStr">
        <is>
          <t>Clinic</t>
        </is>
      </c>
      <c r="N157" s="38" t="inlineStr">
        <is>
          <t>ข้อ 41 Pharma Plus เล่มม่วง (เฉลยข้อ ข ง)</t>
        </is>
      </c>
      <c r="O157" s="39" t="n"/>
      <c r="P157" s="39" t="n"/>
    </row>
    <row r="158" ht="13.2" customHeight="1" s="49">
      <c r="A158" s="37" t="n">
        <v>156</v>
      </c>
      <c r="B158" s="38" t="inlineStr">
        <is>
          <t>จงบอกกลไกออกฤทธิ์ของ zidovudine</t>
        </is>
      </c>
      <c r="C158" s="38" t="n"/>
      <c r="D158" s="38" t="inlineStr">
        <is>
          <t>Inhibit protein synthesis</t>
        </is>
      </c>
      <c r="E158" s="38" t="inlineStr">
        <is>
          <t>Inhibit HIV protease</t>
        </is>
      </c>
      <c r="F158" s="38" t="inlineStr">
        <is>
          <t>Inhibit HIV reverse transcriptase</t>
        </is>
      </c>
      <c r="G158" s="38" t="inlineStr">
        <is>
          <t>Inhibit thymidine kinase</t>
        </is>
      </c>
      <c r="H158" s="38" t="inlineStr">
        <is>
          <t>Inhibit cell wall synthesis</t>
        </is>
      </c>
      <c r="I158" s="37" t="inlineStr">
        <is>
          <t>3</t>
        </is>
      </c>
      <c r="J158" s="38"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38" t="n"/>
      <c r="L158" s="39" t="inlineStr">
        <is>
          <t>HIV infection</t>
        </is>
      </c>
      <c r="M158" s="39" t="inlineStr">
        <is>
          <t>Clinic</t>
        </is>
      </c>
      <c r="N158" s="38" t="inlineStr">
        <is>
          <t>ข้อ 42 Pharma Plus เล่มม่วง (เฉลยข้อ ค)</t>
        </is>
      </c>
      <c r="O158" s="39" t="n"/>
      <c r="P158" s="39" t="n"/>
    </row>
    <row r="159" ht="13.2" customHeight="1" s="49">
      <c r="A159" s="37" t="n">
        <v>157</v>
      </c>
      <c r="B159" s="38" t="inlineStr">
        <is>
          <t>พิจารณาโครงสร้างของ Ritonavir ท่านคิดว่าข้อใดไม่ถูกต้อง</t>
        </is>
      </c>
      <c r="C159" s="38" t="n"/>
      <c r="D159" s="38" t="inlineStr">
        <is>
          <t>เมื่อให้ยาร่วมกับอาหารยาจะออกฤทธิ์ช้าลง</t>
        </is>
      </c>
      <c r="E159" s="38" t="inlineStr">
        <is>
          <t>ยามีการละลายน้ำต่ำ จึงดูดซึมได้ไม่ดี</t>
        </is>
      </c>
      <c r="F159" s="38" t="inlineStr">
        <is>
          <t>เนื่องจากเป็น peptide-like จึงสลายตัวได้ง่ายในกรดในกระเพาะอาหาร</t>
        </is>
      </c>
      <c r="G159" s="38" t="inlineStr">
        <is>
          <t>ไม่มี basic functionality จึงไม่ ionize ในทางเดินอาหาร</t>
        </is>
      </c>
      <c r="H159" s="38" t="inlineStr">
        <is>
          <t>ยามี polar functionality จึงละลายน้ำได้ดี</t>
        </is>
      </c>
      <c r="I159" s="37" t="inlineStr">
        <is>
          <t>1</t>
        </is>
      </c>
      <c r="J159" s="38"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38" t="n"/>
      <c r="L159" s="39" t="inlineStr">
        <is>
          <t>HIV infection</t>
        </is>
      </c>
      <c r="M159" s="39" t="inlineStr">
        <is>
          <t>Clinic</t>
        </is>
      </c>
      <c r="N159" s="38" t="inlineStr">
        <is>
          <t>ข้อ 43 Pharma Plus เล่มม่วง (เฉลยข้อ ก ง จ)</t>
        </is>
      </c>
      <c r="O159" s="39" t="n"/>
      <c r="P159" s="39" t="n"/>
    </row>
    <row r="160" ht="13.2" customHeight="1" s="49">
      <c r="A160" s="37" t="n">
        <v>158</v>
      </c>
      <c r="B160" s="38"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38" t="n"/>
      <c r="D160" s="38" t="inlineStr">
        <is>
          <t>ยาเสียเนื่องจาก air oxidation</t>
        </is>
      </c>
      <c r="E160" s="38" t="inlineStr">
        <is>
          <t>ยาเสียเนื่องจาก hydrolysis ของส่วน hydrozone</t>
        </is>
      </c>
      <c r="F160" s="38" t="inlineStr">
        <is>
          <t>ยาไม่เสีย เป็นธรรมชาติของยาเม็ดชนิดนี้</t>
        </is>
      </c>
      <c r="G160" s="38" t="inlineStr">
        <is>
          <t>ยาเสียเนื่องจากความชื้นในอากาศ</t>
        </is>
      </c>
      <c r="H160" s="38" t="inlineStr">
        <is>
          <t>ยาไม่เสีย สีที่เกิดขึ้นนั้นเกิดกับการแต่งสี</t>
        </is>
      </c>
      <c r="I160" s="37" t="inlineStr">
        <is>
          <t>3</t>
        </is>
      </c>
      <c r="J160" s="38"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38" t="n"/>
      <c r="L160" s="39" t="inlineStr">
        <is>
          <t>HIV infection</t>
        </is>
      </c>
      <c r="M160" s="39" t="inlineStr">
        <is>
          <t>Clinic</t>
        </is>
      </c>
      <c r="N160" s="38" t="inlineStr">
        <is>
          <t>ข้อ 44 Pharma Plus เล่มม่วง (เฉลยข้อ ค)</t>
        </is>
      </c>
      <c r="O160" s="39" t="n"/>
      <c r="P160" s="39" t="n"/>
    </row>
    <row r="161" ht="13.2" customHeight="1" s="49">
      <c r="A161" s="37" t="n">
        <v>159</v>
      </c>
      <c r="B161" s="38"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38" t="n"/>
      <c r="D161" s="38" t="inlineStr">
        <is>
          <t>ขาด Vitamin D เนื่องจากได้รับแสงแดดไม่พอ</t>
        </is>
      </c>
      <c r="E161" s="38" t="inlineStr">
        <is>
          <t>ขาด Vitamin B6 เนื่องจากได้รับการรักษาด้วยยา isoniazid</t>
        </is>
      </c>
      <c r="F161" s="38" t="inlineStr">
        <is>
          <t>ขาด folate เนื่องจากสูญเสียปัสสาวะเพิ่มขึ้น</t>
        </is>
      </c>
      <c r="G161" s="38" t="inlineStr">
        <is>
          <t>ขาด Vitamin B12 เนื่องจากการดูดซึมผิดปกติ</t>
        </is>
      </c>
      <c r="H161" s="38" t="inlineStr">
        <is>
          <t>ขาด Zn เนื่องจากยาท าให้เบื่ออาหาร จึงได้รับ Zn จากอาหารน้อยลง</t>
        </is>
      </c>
      <c r="I161" s="37" t="inlineStr">
        <is>
          <t>1</t>
        </is>
      </c>
      <c r="J161" s="38"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38" t="n"/>
      <c r="L161" s="39" t="inlineStr">
        <is>
          <t>HIV infection</t>
        </is>
      </c>
      <c r="M161" s="39" t="inlineStr">
        <is>
          <t>Infectious Diseases</t>
        </is>
      </c>
      <c r="N161" s="38" t="inlineStr">
        <is>
          <t>Mock PLE-CC 1 ข้อ 104</t>
        </is>
      </c>
      <c r="O161" s="39" t="n"/>
      <c r="P161" s="39" t="n"/>
      <c r="Q161" s="2" t="n"/>
    </row>
    <row r="162" ht="13.2" customHeight="1" s="49">
      <c r="A162" s="37" t="n">
        <v>160</v>
      </c>
      <c r="B162" s="38" t="inlineStr">
        <is>
          <t>อาการของผู้ป่วยเข้าได้กับโรคใด</t>
        </is>
      </c>
      <c r="C162" s="38" t="n"/>
      <c r="D162" s="38" t="inlineStr">
        <is>
          <t>photosensitivity</t>
        </is>
      </c>
      <c r="E162" s="38" t="inlineStr">
        <is>
          <t>eczema</t>
        </is>
      </c>
      <c r="F162" s="38" t="inlineStr">
        <is>
          <t>impetigo</t>
        </is>
      </c>
      <c r="G162" s="38" t="inlineStr">
        <is>
          <t>canker sore</t>
        </is>
      </c>
      <c r="H162" s="38" t="inlineStr">
        <is>
          <t>Cold sore</t>
        </is>
      </c>
      <c r="I162" s="37" t="inlineStr">
        <is>
          <t>4</t>
        </is>
      </c>
      <c r="J162" s="38"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38" t="n"/>
      <c r="L162" s="39" t="inlineStr">
        <is>
          <t>HIV infection</t>
        </is>
      </c>
      <c r="M162" s="39" t="inlineStr">
        <is>
          <t>Infectious Diseases</t>
        </is>
      </c>
      <c r="N162" s="38" t="inlineStr">
        <is>
          <t>Mock PLE-CC 1 ข้อ 119</t>
        </is>
      </c>
      <c r="O162" s="39" t="n"/>
      <c r="P162" s="39" t="n"/>
      <c r="Q162" s="2" t="n"/>
    </row>
    <row r="163" ht="13.2" customHeight="1" s="49">
      <c r="A163" s="37" t="n">
        <v>161</v>
      </c>
      <c r="B163" s="38" t="inlineStr">
        <is>
          <t>ข้อใดไม่ใช่ปัจจัยกระตุ้นที่สำคัญที่ทำให้โรคนี้กำเริบ</t>
        </is>
      </c>
      <c r="C163" s="38" t="n"/>
      <c r="D163" s="38" t="inlineStr">
        <is>
          <t>การนอนหลับไม่เพียงพอ</t>
        </is>
      </c>
      <c r="E163" s="38" t="inlineStr">
        <is>
          <t>ภาวะเครียด</t>
        </is>
      </c>
      <c r="F163" s="38" t="inlineStr">
        <is>
          <t>เจอแสงแดดจัด</t>
        </is>
      </c>
      <c r="G163" s="38" t="inlineStr">
        <is>
          <t>การได้รับ amoxicillin</t>
        </is>
      </c>
      <c r="H163" s="38" t="inlineStr">
        <is>
          <t>ติดเชื้อไวรัสเช่นไข้หวัด</t>
        </is>
      </c>
      <c r="I163" s="37" t="inlineStr">
        <is>
          <t>2</t>
        </is>
      </c>
      <c r="J163" s="38"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38" t="n"/>
      <c r="L163" s="39" t="inlineStr">
        <is>
          <t>HIV infection</t>
        </is>
      </c>
      <c r="M163" s="39" t="inlineStr">
        <is>
          <t>Infectious Diseases</t>
        </is>
      </c>
      <c r="N163" s="38" t="inlineStr">
        <is>
          <t>Mock PLE-CC 1 ข้อ 123</t>
        </is>
      </c>
      <c r="O163" s="39" t="n"/>
      <c r="P163" s="39" t="n"/>
      <c r="Q163" s="2" t="n"/>
    </row>
    <row r="164" ht="13.2" customHeight="1" s="49">
      <c r="A164" s="37" t="n">
        <v>162</v>
      </c>
      <c r="B164" s="38"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38" t="n"/>
      <c r="D164" s="38" t="inlineStr">
        <is>
          <t>Omeprazole + Metronidazole + Bismuth subsalicylate + tetracycline</t>
        </is>
      </c>
      <c r="E164" s="38" t="inlineStr">
        <is>
          <t>Omeprazole + Levofloxacin + Amoxicillin</t>
        </is>
      </c>
      <c r="F164" s="38" t="inlineStr">
        <is>
          <t>Lansoprazole + Clarithromycin + Amoxicillin</t>
        </is>
      </c>
      <c r="G164" s="38" t="inlineStr">
        <is>
          <t>Lansoprazole + Amoxicillin + Metronidazole + Bismuth subsalicylate</t>
        </is>
      </c>
      <c r="H164" s="38" t="inlineStr">
        <is>
          <t>Lansoprazole + Clarithromycin + Bismuth subsalicylate + Amoxicillin (ไม่มั่นใจ choice ข้อนี้)</t>
        </is>
      </c>
      <c r="I164" s="37" t="inlineStr">
        <is>
          <t>1</t>
        </is>
      </c>
      <c r="J164" s="38"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38" t="n"/>
      <c r="L164" s="39" t="inlineStr">
        <is>
          <t>HIV infection</t>
        </is>
      </c>
      <c r="M164" s="39" t="inlineStr">
        <is>
          <t>Infectious Diseases</t>
        </is>
      </c>
      <c r="N164" s="38" t="inlineStr">
        <is>
          <t>PLE_CC1_2567_Key ข้อ 9</t>
        </is>
      </c>
      <c r="O164" s="39" t="n"/>
      <c r="P164" s="39" t="n"/>
      <c r="Q164" s="2" t="n"/>
    </row>
    <row r="165" ht="13.2" customHeight="1" s="49">
      <c r="A165" s="37" t="n">
        <v>163</v>
      </c>
      <c r="B165" s="38"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38" t="n"/>
      <c r="D165" s="38" t="inlineStr">
        <is>
          <t>Cefixime</t>
        </is>
      </c>
      <c r="E165" s="38" t="inlineStr">
        <is>
          <t>Levofloxacin</t>
        </is>
      </c>
      <c r="F165" s="38" t="inlineStr">
        <is>
          <t>Clindamycin</t>
        </is>
      </c>
      <c r="G165" s="38" t="inlineStr">
        <is>
          <t>Erythromycin</t>
        </is>
      </c>
      <c r="H165" s="38" t="inlineStr">
        <is>
          <t>Amoxicillin clavulanate</t>
        </is>
      </c>
      <c r="I165" s="37" t="inlineStr">
        <is>
          <t>1</t>
        </is>
      </c>
      <c r="J165" s="38"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38" t="n"/>
      <c r="L165" s="39" t="inlineStr">
        <is>
          <t>Pneumonia</t>
        </is>
      </c>
      <c r="M165" s="39" t="inlineStr">
        <is>
          <t>Infectious Diseases</t>
        </is>
      </c>
      <c r="N165" s="38" t="inlineStr">
        <is>
          <t>PLE_CC1_2567_Key ข้อ 37</t>
        </is>
      </c>
      <c r="O165" s="39" t="n"/>
      <c r="P165" s="39" t="n"/>
      <c r="Q165" s="2" t="n"/>
    </row>
    <row r="166" ht="13.2" customHeight="1" s="49">
      <c r="A166" s="37" t="n">
        <v>164</v>
      </c>
      <c r="B166" s="38" t="inlineStr">
        <is>
          <t>Case HIV CD4 &lt; 150 ต้องได้ยาป้องกัน OI (Opportunistic Infection) อะไรบ้าง " A</t>
        </is>
      </c>
      <c r="C166" s="38" t="n"/>
      <c r="D166" s="38" t="inlineStr">
        <is>
          <t>Co-trimoxazole</t>
        </is>
      </c>
      <c r="E166" s="38" t="inlineStr">
        <is>
          <t>Fluconazole</t>
        </is>
      </c>
      <c r="F166" s="38" t="inlineStr">
        <is>
          <t>Azithromycin</t>
        </is>
      </c>
      <c r="G166" s="38" t="inlineStr">
        <is>
          <t>Co-trimoxazole + Fluconazole</t>
        </is>
      </c>
      <c r="H166" s="38" t="inlineStr">
        <is>
          <t>Co-trimoxazole + Fluconazole + azithromycin X ร</t>
        </is>
      </c>
      <c r="I166" s="37" t="inlineStr">
        <is>
          <t>1</t>
        </is>
      </c>
      <c r="J166" s="38"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t>
        </is>
      </c>
      <c r="K166" s="38" t="n"/>
      <c r="L166" s="39" t="inlineStr">
        <is>
          <t>HIV infection</t>
        </is>
      </c>
      <c r="M166" s="39" t="inlineStr">
        <is>
          <t>Infectious Diseases</t>
        </is>
      </c>
      <c r="N166" s="38" t="inlineStr">
        <is>
          <t>PLE_CC1_2567_Key ข้อ 75</t>
        </is>
      </c>
      <c r="O166" s="39" t="n"/>
      <c r="P166" s="39" t="n"/>
      <c r="Q166" s="2" t="n"/>
    </row>
    <row r="167" ht="13.2" customHeight="1" s="49">
      <c r="A167" s="37" t="n">
        <v>165</v>
      </c>
      <c r="B167" s="38" t="inlineStr">
        <is>
          <t>โครงสร้างหมายเลขใดของ triamcinolone acetonide มีบทบาทสำคัญในการเพิ่ม lipophilicity PLE-PC1 Preparation 2567</t>
        </is>
      </c>
      <c r="C167" s="38" t="n"/>
      <c r="D167" s="38" t="inlineStr">
        <is>
          <t>Infectious Diseases</t>
        </is>
      </c>
      <c r="E167" s="38" t="inlineStr">
        <is>
          <t>Ciprofloxacin 500 mg BID</t>
        </is>
      </c>
      <c r="F167" s="38" t="inlineStr">
        <is>
          <t>Azithromycin 500 mg OD</t>
        </is>
      </c>
      <c r="G167" s="38" t="inlineStr">
        <is>
          <t>Doxycycline 100 mg BID</t>
        </is>
      </c>
      <c r="H167" s="38" t="inlineStr">
        <is>
          <t>Cotrimoxazole 160/800 mg BID</t>
        </is>
      </c>
      <c r="I167" s="37" t="inlineStr">
        <is>
          <t>1</t>
        </is>
      </c>
      <c r="J16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38" t="n"/>
      <c r="L167" s="39" t="inlineStr">
        <is>
          <t>HIV infection</t>
        </is>
      </c>
      <c r="M167" s="39" t="inlineStr">
        <is>
          <t>Infectious Diseases</t>
        </is>
      </c>
      <c r="N167" s="38" t="inlineStr">
        <is>
          <t>PLE_CC1_2567_Key ข้อ 95</t>
        </is>
      </c>
      <c r="O167" s="39" t="n"/>
      <c r="P167" s="39" t="n"/>
    </row>
    <row r="168" ht="13.2" customHeight="1" s="49">
      <c r="A168" s="37" t="n">
        <v>166</v>
      </c>
      <c r="B168" s="38" t="inlineStr">
        <is>
          <t>อาการใดที่ใช@แยก acute bacterial rhinosinusitis ออกจากการติดเชื้อในระบบทางเดินหายใจส6วนบน</t>
        </is>
      </c>
      <c r="C168" s="38" t="n"/>
      <c r="D168" s="38" t="inlineStr">
        <is>
          <t>Maxillary pain</t>
        </is>
      </c>
      <c r="E168" s="38" t="inlineStr">
        <is>
          <t>Sneezing</t>
        </is>
      </c>
      <c r="F168" s="38" t="inlineStr">
        <is>
          <t>Purulent conjunctivitis</t>
        </is>
      </c>
      <c r="G168" s="38" t="inlineStr">
        <is>
          <t>ไอ</t>
        </is>
      </c>
      <c r="H168" s="38" t="inlineStr">
        <is>
          <t>[NEED_REVIEW]</t>
        </is>
      </c>
      <c r="I168" s="37" t="inlineStr">
        <is>
          <t>1</t>
        </is>
      </c>
      <c r="J168" s="38"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38" t="n"/>
      <c r="L168" s="39" t="inlineStr">
        <is>
          <t>URTI</t>
        </is>
      </c>
      <c r="M168" s="39" t="inlineStr">
        <is>
          <t>Infectious Diseases</t>
        </is>
      </c>
      <c r="N168" s="38" t="inlineStr">
        <is>
          <t>PLE_CC1_2567_Key ข้อ 104</t>
        </is>
      </c>
      <c r="O168" s="39" t="n"/>
      <c r="P168" s="39" t="n"/>
      <c r="Q168" s="2" t="n"/>
    </row>
    <row r="169" ht="13.2" customHeight="1" s="49">
      <c r="A169" s="37" t="n">
        <v>167</v>
      </c>
      <c r="B169" s="38"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38" t="n"/>
      <c r="D169" s="38" t="inlineStr">
        <is>
          <t>Infectious Diseases</t>
        </is>
      </c>
      <c r="E169" s="38" t="inlineStr">
        <is>
          <t>Tenofovir/Emtricitabine 300/200 mg OD</t>
        </is>
      </c>
      <c r="F169" s="38" t="inlineStr">
        <is>
          <t>Dolutegravir 50 mg OD</t>
        </is>
      </c>
      <c r="G169" s="38" t="inlineStr">
        <is>
          <t>Vancomycin 1 g IV Q12H</t>
        </is>
      </c>
      <c r="H169" s="38" t="inlineStr">
        <is>
          <t>Meropenem 1 g IV Q8H</t>
        </is>
      </c>
      <c r="I169" s="37" t="inlineStr">
        <is>
          <t>1</t>
        </is>
      </c>
      <c r="J169"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38" t="n"/>
      <c r="L169" s="39" t="inlineStr">
        <is>
          <t>HIV infection</t>
        </is>
      </c>
      <c r="M169" s="39" t="inlineStr">
        <is>
          <t>Infectious Diseases</t>
        </is>
      </c>
      <c r="N169" s="38" t="inlineStr">
        <is>
          <t>PLE_CC1_2567_Set1_Key ข้อ 9</t>
        </is>
      </c>
      <c r="O169" s="39" t="n"/>
      <c r="P169" s="39" t="n"/>
    </row>
    <row r="170" ht="13.2" customHeight="1" s="49">
      <c r="A170" s="37" t="n">
        <v>168</v>
      </c>
      <c r="B170" s="38" t="inlineStr">
        <is>
          <t>จากตำรับน้ำตาเทียม หากไม่มี Hydroxypropyl-guar สามารถใช้สารในข้อใดทำหน้าที่แทนได้ สารเพิ่มความหนืด ติดเชื้อ bacteria</t>
        </is>
      </c>
      <c r="C170" s="38" t="n"/>
      <c r="D170" s="38" t="inlineStr">
        <is>
          <t>ethyl cellulose</t>
        </is>
      </c>
      <c r="E170" s="38" t="inlineStr">
        <is>
          <t>Cellulose acetate</t>
        </is>
      </c>
      <c r="F170" s="38" t="inlineStr">
        <is>
          <t>Polysorbate 80</t>
        </is>
      </c>
      <c r="G170" s="38" t="inlineStr">
        <is>
          <t>Sorbitol</t>
        </is>
      </c>
      <c r="H170" s="38" t="inlineStr">
        <is>
          <t>PVA</t>
        </is>
      </c>
      <c r="I170" s="37" t="inlineStr">
        <is>
          <t>1</t>
        </is>
      </c>
      <c r="J170" s="38"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t>
        </is>
      </c>
      <c r="K170" s="38" t="n"/>
      <c r="L170" s="39" t="inlineStr">
        <is>
          <t>HIV infection</t>
        </is>
      </c>
      <c r="M170" s="39" t="inlineStr">
        <is>
          <t>Infectious Diseases</t>
        </is>
      </c>
      <c r="N170" s="38" t="inlineStr">
        <is>
          <t>PLE_CC1_2567_Set1_Key ข้อ 32</t>
        </is>
      </c>
      <c r="O170" s="39" t="n"/>
      <c r="P170" s="39" t="n"/>
      <c r="Q170" s="2" t="n"/>
    </row>
    <row r="171" ht="13.2" customHeight="1" s="49">
      <c r="A171" s="37" t="n">
        <v>169</v>
      </c>
      <c r="B171" s="38" t="inlineStr">
        <is>
          <t>Case HIV CD4 &lt; 150 ต้องได้ยาป้องกัน OI (Opportunistic Infection) อะไรบ้าง " A</t>
        </is>
      </c>
      <c r="C171" s="38" t="n"/>
      <c r="D171" s="38" t="inlineStr">
        <is>
          <t>Docusate Sodium - lubricant</t>
        </is>
      </c>
      <c r="E171" s="38" t="inlineStr">
        <is>
          <t>glycerin - Osmotic</t>
        </is>
      </c>
      <c r="F171" s="38" t="inlineStr">
        <is>
          <t>psyllium husk - stimulant</t>
        </is>
      </c>
      <c r="G171" s="38" t="inlineStr">
        <is>
          <t>bisacodyl - bulk forming</t>
        </is>
      </c>
      <c r="H171" s="38" t="inlineStr">
        <is>
          <t>[NEED_REVIEW]</t>
        </is>
      </c>
      <c r="I171" s="37" t="inlineStr">
        <is>
          <t>1</t>
        </is>
      </c>
      <c r="J171" s="38"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([NEED_REVIEW]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38" t="n"/>
      <c r="L171" s="39" t="inlineStr">
        <is>
          <t>HIV infection</t>
        </is>
      </c>
      <c r="M171" s="39" t="inlineStr">
        <is>
          <t>Infectious Diseases</t>
        </is>
      </c>
      <c r="N171" s="38" t="inlineStr">
        <is>
          <t>PLE_CC1_2567_Set1_Key ข้อ 75</t>
        </is>
      </c>
      <c r="O171" s="39" t="n"/>
      <c r="P171" s="39" t="n"/>
      <c r="Q171" s="2" t="n"/>
    </row>
    <row r="172" ht="13.2" customHeight="1" s="49">
      <c r="A172" s="37" t="n">
        <v>170</v>
      </c>
      <c r="B172" s="38" t="inlineStr">
        <is>
          <t>ยาชนิดใดน่าจะเป็นสาเหตุของการแพ้มากที่สุดในผู้ป่วยรายนี้ &amp; &lt; PLE-PC1 Preparation 2567 PLE-PC1 Preparation 2567</t>
        </is>
      </c>
      <c r="C172" s="38" t="n"/>
      <c r="D172" s="38" t="inlineStr">
        <is>
          <t>Infectious Diseases</t>
        </is>
      </c>
      <c r="E172" s="38" t="inlineStr">
        <is>
          <t>Doxycycline 100 mg BID</t>
        </is>
      </c>
      <c r="F172" s="38" t="inlineStr">
        <is>
          <t>Cotrimoxazole 160/800 mg BID</t>
        </is>
      </c>
      <c r="G172" s="38" t="inlineStr">
        <is>
          <t>Metronidazole 400 mg TID</t>
        </is>
      </c>
      <c r="H172" s="38" t="inlineStr">
        <is>
          <t>Nitrofurantoin 100 mg BID</t>
        </is>
      </c>
      <c r="I172" s="37" t="inlineStr">
        <is>
          <t>1</t>
        </is>
      </c>
      <c r="J172"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38" t="n"/>
      <c r="L172" s="39" t="inlineStr">
        <is>
          <t>HIV infection</t>
        </is>
      </c>
      <c r="M172" s="39" t="inlineStr">
        <is>
          <t>Infectious Diseases</t>
        </is>
      </c>
      <c r="N172" s="38" t="inlineStr">
        <is>
          <t>PLE_CC1_2567_Set1_Key ข้อ 77</t>
        </is>
      </c>
      <c r="O172" s="39" t="n"/>
      <c r="P172" s="39" t="n"/>
    </row>
    <row r="173" ht="13.2" customHeight="1" s="49">
      <c r="A173" s="37" t="n">
        <v>171</v>
      </c>
      <c r="B173" s="38"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38" t="n"/>
      <c r="D173" s="38" t="inlineStr">
        <is>
          <t>Infectious Diseases</t>
        </is>
      </c>
      <c r="E173" s="38" t="inlineStr">
        <is>
          <t>Nitrofurantoin 100 mg BID</t>
        </is>
      </c>
      <c r="F173" s="38" t="inlineStr">
        <is>
          <t>Tenofovir/Emtricitabine 300/200 mg OD</t>
        </is>
      </c>
      <c r="G173" s="38" t="inlineStr">
        <is>
          <t>Dolutegravir 50 mg OD</t>
        </is>
      </c>
      <c r="H173" s="38" t="inlineStr">
        <is>
          <t>Vancomycin 1 g IV Q12H</t>
        </is>
      </c>
      <c r="I173" s="37" t="inlineStr">
        <is>
          <t>1</t>
        </is>
      </c>
      <c r="J173"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38" t="n"/>
      <c r="L173" s="39" t="inlineStr">
        <is>
          <t>HIV infection</t>
        </is>
      </c>
      <c r="M173" s="39" t="inlineStr">
        <is>
          <t>Infectious Diseases</t>
        </is>
      </c>
      <c r="N173" s="38" t="inlineStr">
        <is>
          <t>PLE_CC1_2567_Set1_Key ข้อ 86</t>
        </is>
      </c>
      <c r="O173" s="39" t="n"/>
      <c r="P173" s="39" t="n"/>
    </row>
    <row r="174" ht="13.2" customHeight="1" s="49">
      <c r="A174" s="37" t="n">
        <v>172</v>
      </c>
      <c r="B174" s="38" t="inlineStr">
        <is>
          <t>สูตรยาPrep. ตัวเลือก</t>
        </is>
      </c>
      <c r="C174" s="38" t="n"/>
      <c r="D174" s="38" t="inlineStr">
        <is>
          <t>Infectious Diseases</t>
        </is>
      </c>
      <c r="E174" s="38" t="inlineStr">
        <is>
          <t>Vancomycin 1 g IV Q12H</t>
        </is>
      </c>
      <c r="F174" s="38" t="inlineStr">
        <is>
          <t>Meropenem 1 g IV Q8H</t>
        </is>
      </c>
      <c r="G174" s="38" t="inlineStr">
        <is>
          <t>Cefazolin 1 g IV Q8H</t>
        </is>
      </c>
      <c r="H174" s="38" t="inlineStr">
        <is>
          <t>Amoxicillin/Clavulanate 1 g BID</t>
        </is>
      </c>
      <c r="I174" s="37" t="inlineStr">
        <is>
          <t>1</t>
        </is>
      </c>
      <c r="J174"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38" t="n"/>
      <c r="L174" s="39" t="inlineStr">
        <is>
          <t>HIV infection</t>
        </is>
      </c>
      <c r="M174" s="39" t="inlineStr">
        <is>
          <t>Infectious Diseases</t>
        </is>
      </c>
      <c r="N174" s="38" t="inlineStr">
        <is>
          <t>PLE-CC1 ปี 2566 Day 1 ข้อ 1</t>
        </is>
      </c>
      <c r="O174" s="39" t="n"/>
      <c r="P174" s="39" t="n"/>
    </row>
    <row r="175" ht="13.2" customHeight="1" s="49">
      <c r="A175" s="37" t="n">
        <v>173</v>
      </c>
      <c r="B175" s="38" t="inlineStr">
        <is>
          <t>Fasting blood glucose ??? Prophylaxis สำหรับป้องกันHIV ใช้สูตรยาใด Favipiravir ขายในร้านยาได้มั้ยเพราะอะไร</t>
        </is>
      </c>
      <c r="C175" s="38" t="n"/>
      <c r="D175" s="38" t="inlineStr">
        <is>
          <t>Infectious Diseases</t>
        </is>
      </c>
      <c r="E175" s="38" t="inlineStr">
        <is>
          <t>Amoxicillin/Clavulanate 1 g BID</t>
        </is>
      </c>
      <c r="F175" s="38" t="inlineStr">
        <is>
          <t>Ceftriaxone 1 g IV OD</t>
        </is>
      </c>
      <c r="G175" s="38" t="inlineStr">
        <is>
          <t>Ciprofloxacin 500 mg BID</t>
        </is>
      </c>
      <c r="H175" s="38" t="inlineStr">
        <is>
          <t>Azithromycin 500 mg OD</t>
        </is>
      </c>
      <c r="I175" s="37" t="inlineStr">
        <is>
          <t>1</t>
        </is>
      </c>
      <c r="J175"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38" t="n"/>
      <c r="L175" s="39" t="inlineStr">
        <is>
          <t>HIV infection</t>
        </is>
      </c>
      <c r="M175" s="39" t="inlineStr">
        <is>
          <t>Infectious Diseases</t>
        </is>
      </c>
      <c r="N175" s="38" t="inlineStr">
        <is>
          <t>PLE-CC1 ปี 2566 Day 1 ข้อ 5</t>
        </is>
      </c>
      <c r="O175" s="39" t="n"/>
      <c r="P175" s="39" t="n"/>
    </row>
    <row r="176" ht="13.2" customHeight="1" s="49">
      <c r="A176" s="37" t="n">
        <v>174</v>
      </c>
      <c r="B176" s="38" t="inlineStr">
        <is>
          <t>Oral antibiotics</t>
        </is>
      </c>
      <c r="C176" s="38" t="n"/>
      <c r="D176" s="38" t="inlineStr">
        <is>
          <t>Infectious Diseases</t>
        </is>
      </c>
      <c r="E176" s="38" t="inlineStr">
        <is>
          <t>Azithromycin 500 mg OD</t>
        </is>
      </c>
      <c r="F176" s="38" t="inlineStr">
        <is>
          <t>Doxycycline 100 mg BID</t>
        </is>
      </c>
      <c r="G176" s="38" t="inlineStr">
        <is>
          <t>Cotrimoxazole 160/800 mg BID</t>
        </is>
      </c>
      <c r="H176" s="38" t="inlineStr">
        <is>
          <t>Metronidazole 400 mg TID</t>
        </is>
      </c>
      <c r="I176" s="37" t="inlineStr">
        <is>
          <t>1</t>
        </is>
      </c>
      <c r="J17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38" t="n"/>
      <c r="L176" s="39" t="inlineStr">
        <is>
          <t>HIV infection</t>
        </is>
      </c>
      <c r="M176" s="39" t="inlineStr">
        <is>
          <t>Infectious Diseases</t>
        </is>
      </c>
      <c r="N176" s="38" t="inlineStr">
        <is>
          <t>PLE-CC1 ปี 2566 Day 2 ข้อ 4</t>
        </is>
      </c>
      <c r="O176" s="39" t="n"/>
      <c r="P176" s="39" t="n"/>
    </row>
    <row r="177" ht="13.2" customHeight="1" s="49">
      <c r="A177" s="37" t="n">
        <v>175</v>
      </c>
      <c r="B177" s="38" t="inlineStr">
        <is>
          <t>ondansetron + dexsamethasone + Aprepitant</t>
        </is>
      </c>
      <c r="C177" s="38" t="n"/>
      <c r="D177" s="38" t="inlineStr">
        <is>
          <t>Infectious Diseases</t>
        </is>
      </c>
      <c r="E177" s="38" t="inlineStr">
        <is>
          <t>Metronidazole 400 mg TID</t>
        </is>
      </c>
      <c r="F177" s="38" t="inlineStr">
        <is>
          <t>Nitrofurantoin 100 mg BID</t>
        </is>
      </c>
      <c r="G177" s="38" t="inlineStr">
        <is>
          <t>Tenofovir/Emtricitabine 300/200 mg OD</t>
        </is>
      </c>
      <c r="H177" s="38" t="inlineStr">
        <is>
          <t>Dolutegravir 50 mg OD</t>
        </is>
      </c>
      <c r="I177" s="37" t="inlineStr">
        <is>
          <t>1</t>
        </is>
      </c>
      <c r="J17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38" t="n"/>
      <c r="L177" s="39" t="inlineStr">
        <is>
          <t>HIV infection</t>
        </is>
      </c>
      <c r="M177" s="39" t="inlineStr">
        <is>
          <t>Infectious Diseases</t>
        </is>
      </c>
      <c r="N177" s="38" t="inlineStr">
        <is>
          <t>PLE-CC1 ปี 2566 Day 2 ข้อ 1</t>
        </is>
      </c>
      <c r="O177" s="39" t="n"/>
      <c r="P177" s="39" t="n"/>
    </row>
    <row r="178" ht="13.2" customHeight="1" s="49">
      <c r="A178" s="37" t="n">
        <v>176</v>
      </c>
      <c r="B178" s="38" t="inlineStr">
        <is>
          <t>เริมที่ปากให้Acyclovir ยังไง(การทำงานของไตปกติ) ตัวเลือก</t>
        </is>
      </c>
      <c r="C178" s="38" t="n"/>
      <c r="D178" s="38" t="inlineStr">
        <is>
          <t>Infectious Diseases</t>
        </is>
      </c>
      <c r="E178" s="38" t="inlineStr">
        <is>
          <t>Dolutegravir 50 mg OD</t>
        </is>
      </c>
      <c r="F178" s="38" t="inlineStr">
        <is>
          <t>Vancomycin 1 g IV Q12H</t>
        </is>
      </c>
      <c r="G178" s="38" t="inlineStr">
        <is>
          <t>Meropenem 1 g IV Q8H</t>
        </is>
      </c>
      <c r="H178" s="38" t="inlineStr">
        <is>
          <t>Cefazolin 1 g IV Q8H</t>
        </is>
      </c>
      <c r="I178" s="37" t="inlineStr">
        <is>
          <t>1</t>
        </is>
      </c>
      <c r="J178"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38" t="n"/>
      <c r="L178" s="39" t="inlineStr">
        <is>
          <t>HIV infection</t>
        </is>
      </c>
      <c r="M178" s="39" t="inlineStr">
        <is>
          <t>Infectious Diseases</t>
        </is>
      </c>
      <c r="N178" s="38" t="inlineStr">
        <is>
          <t>PLE-CC1 ปี 2566 Day 2 ข้อ 7</t>
        </is>
      </c>
      <c r="O178" s="39" t="n"/>
      <c r="P178" s="39" t="n"/>
    </row>
    <row r="179" ht="13.2" customHeight="1" s="49">
      <c r="A179" s="37" t="n">
        <v>177</v>
      </c>
      <c r="B179" s="38" t="inlineStr">
        <is>
          <t>พืชที่ใช้รักษาเริม. ตัวเลือก</t>
        </is>
      </c>
      <c r="C179" s="38" t="n"/>
      <c r="D179" s="38" t="inlineStr">
        <is>
          <t>Infectious Diseases</t>
        </is>
      </c>
      <c r="E179" s="38" t="inlineStr">
        <is>
          <t>Cefazolin 1 g IV Q8H</t>
        </is>
      </c>
      <c r="F179" s="38" t="inlineStr">
        <is>
          <t>Amoxicillin/Clavulanate 1 g BID</t>
        </is>
      </c>
      <c r="G179" s="38" t="inlineStr">
        <is>
          <t>Ceftriaxone 1 g IV OD</t>
        </is>
      </c>
      <c r="H179" s="38" t="inlineStr">
        <is>
          <t>Ciprofloxacin 500 mg BID</t>
        </is>
      </c>
      <c r="I179" s="37" t="inlineStr">
        <is>
          <t>1</t>
        </is>
      </c>
      <c r="J179"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38" t="n"/>
      <c r="L179" s="39" t="inlineStr">
        <is>
          <t>HIV infection</t>
        </is>
      </c>
      <c r="M179" s="39" t="inlineStr">
        <is>
          <t>Infectious Diseases</t>
        </is>
      </c>
      <c r="N179" s="38" t="inlineStr">
        <is>
          <t>PLE-CC1 ปี 2566 Day 2 ข้อ 26</t>
        </is>
      </c>
      <c r="O179" s="39" t="n"/>
      <c r="P179" s="39" t="n"/>
    </row>
    <row r="180" ht="13.2" customHeight="1" s="49">
      <c r="A180" s="37" t="n">
        <v>178</v>
      </c>
      <c r="B180" s="38" t="inlineStr">
        <is>
          <t>Amoxicillin 500 mg bid 10วัน</t>
        </is>
      </c>
      <c r="C180" s="38" t="n"/>
      <c r="D180" s="38" t="inlineStr">
        <is>
          <t>Infectious Diseases</t>
        </is>
      </c>
      <c r="E180" s="38" t="inlineStr">
        <is>
          <t>Ciprofloxacin 500 mg BID</t>
        </is>
      </c>
      <c r="F180" s="38" t="inlineStr">
        <is>
          <t>Azithromycin 500 mg OD</t>
        </is>
      </c>
      <c r="G180" s="38" t="inlineStr">
        <is>
          <t>Doxycycline 100 mg BID</t>
        </is>
      </c>
      <c r="H180" s="38" t="inlineStr">
        <is>
          <t>Cotrimoxazole 160/800 mg BID</t>
        </is>
      </c>
      <c r="I180" s="37" t="inlineStr">
        <is>
          <t>1</t>
        </is>
      </c>
      <c r="J180" s="38" t="inlineStr">
        <is>
          <t>✅ คำตอบที่ถูกต้อง: ข้อ ก. Infectious Diseases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38" t="n"/>
      <c r="L180" s="39" t="inlineStr">
        <is>
          <t>URTI</t>
        </is>
      </c>
      <c r="M180" s="39" t="inlineStr">
        <is>
          <t>Infectious Diseases</t>
        </is>
      </c>
      <c r="N180" s="38" t="inlineStr">
        <is>
          <t>PLE-CC1 ปี 2566 Day 2 ข้อ 1</t>
        </is>
      </c>
      <c r="O180" s="39" t="n"/>
      <c r="P180" s="39" t="n"/>
    </row>
    <row r="181" ht="13.2" customHeight="1" s="49">
      <c r="A181" s="37" t="n">
        <v>179</v>
      </c>
      <c r="B181" s="38" t="inlineStr">
        <is>
          <t>คำถามต่อจากสถานการณ์เคสตกขาวสีเขียวเหลืองมีฟองถามว่าข้อใดเป็นปัจจัยที่ทำให้ติดเชื้อดังกล่าว ตัวเลือก</t>
        </is>
      </c>
      <c r="C181" s="38" t="n"/>
      <c r="D181" s="38" t="inlineStr">
        <is>
          <t>Infectious Diseases</t>
        </is>
      </c>
      <c r="E181" s="38" t="inlineStr">
        <is>
          <t>ใส่เสื้อผ้า</t>
        </is>
      </c>
      <c r="F181" s="38" t="inlineStr">
        <is>
          <t>Metronidazole 400 mg TID</t>
        </is>
      </c>
      <c r="G181" s="38" t="inlineStr">
        <is>
          <t>Nitrofurantoin 100 mg BID</t>
        </is>
      </c>
      <c r="H181" s="38" t="inlineStr">
        <is>
          <t>Tenofovir/Emtricitabine 300/200 mg OD</t>
        </is>
      </c>
      <c r="I181" s="37" t="inlineStr">
        <is>
          <t>1</t>
        </is>
      </c>
      <c r="J181" s="38"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การสวมใส่เสื้อผ้าทั่วไปไม่ใช่ปัจจัยเสี่ยงของการติดเชื้อ Trichomonas vaginalis ซึ่งเป็นการติดเชื้อโปรโตซัวผ่านการมีเพศสัมพันธ์เป็นหลัก
• ข้อ ค. (Metronidazole 400 mg TID): Metronidazole 400 mg TID เป็นสูตรยาทางเลือกในการรักษาการติดเชื้อ Trichomoniasis ไม่ใช่ปัจจัยเสี่ยงที่ทำให้เกิดการติดเชื้อ
• ข้อ ง. (Nitrofurantoin 100 mg BID): Nitrofurantoin เป็นยาฆ่าเชื้อแบคทีเรียในทางเดินปัสสาวะสำหรับโรคกระเพาะปัสสาวะอักเสบ ไม่มีบทบาทต่อพยาธิกำเนิดของการติดเชื้อในช่องคลอด
• ข้อ จ. (Tenofovir/Emtricitabine 300/200 mg OD): Tenofovir/Emtricitabine เป็นสูตรยาต้านไวรัสสำหรับ HIV PrEP หรือการรักษา HIV ไม่มีความเกี่ยวข้องกับความเสี่ยงต่อการติดเชื้อ Trichomonas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38" t="n"/>
      <c r="L181" s="39" t="inlineStr">
        <is>
          <t>STDs &amp; vaginitis</t>
        </is>
      </c>
      <c r="M181" s="39" t="inlineStr">
        <is>
          <t>Infectious Diseases</t>
        </is>
      </c>
      <c r="N181" s="38" t="inlineStr">
        <is>
          <t>PLE-CC1 ปี 2566 Day 2 ข้อ 66</t>
        </is>
      </c>
      <c r="O181" s="39" t="n"/>
      <c r="P181" s="39" t="n"/>
    </row>
    <row r="182" ht="13.2" customHeight="1" s="49">
      <c r="A182" s="37" t="n">
        <v>180</v>
      </c>
      <c r="B182" s="38" t="inlineStr">
        <is>
          <t>Aprepitant + Ondansetron + Dexamethasone</t>
        </is>
      </c>
      <c r="C182" s="38" t="n"/>
      <c r="D182" s="38" t="inlineStr">
        <is>
          <t>Infectious Diseases</t>
        </is>
      </c>
      <c r="E182" s="38" t="inlineStr">
        <is>
          <t>Tenofovir/Emtricitabine 300/200 mg OD</t>
        </is>
      </c>
      <c r="F182" s="38" t="inlineStr">
        <is>
          <t>Dolutegravir 50 mg OD</t>
        </is>
      </c>
      <c r="G182" s="38" t="inlineStr">
        <is>
          <t>Vancomycin 1 g IV Q12H</t>
        </is>
      </c>
      <c r="H182" s="38" t="inlineStr">
        <is>
          <t>Meropenem 1 g IV Q8H</t>
        </is>
      </c>
      <c r="I182" s="37" t="inlineStr">
        <is>
          <t>5</t>
        </is>
      </c>
      <c r="J182" s="38"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Infectious Diseases เป็นชื่อหมวดวิชา ไม่ใช่รายการยาหรือสารบำบัดรักษาทางคลินิก จึงไม่สามารถใช้เป็นคำตอบทางการแพทย์ได้
• ข้อ ข. (Tenofovir/Emtricitabine 300/200 mg OD): Tenofovir/Emtricitabine เป็นยาต้านไวรัสกลุ่ม NRTI สำหรับการรักษาและป้องกัน HIV ไม่เกี่ยวข้องกับสูตรป้องกันอาการคลื่นไส้อาเจียนจากเคมีบำบัดหรือการต้านแบคทีเรีย
• ข้อ ค. (Dolutegravir 50 mg OD): Dolutegravir เป็นยาต้านไวรัสกลุ่ม INSTI ใช้รักษาการติดเชื้อ HIV ไม่มีฤทธิ์ต้านอาการคลื่นไส้อาเจียนหรือรักษาแบคทีเรียรุนแรง
• ข้อ ง. (Vancomycin 1 g IV Q12H): Vancomycin เป็นยาปฏิชีวนะกลุ่ม Glycopeptide ที่ออกฤทธิ์เฉพาะต่อแบคทีเรียแกรมบวก เช่น MRSA และ Enterococcus ไม่ครอบคลุมแบคทีเรียแกรมลบ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38" t="n"/>
      <c r="L182" s="39" t="inlineStr">
        <is>
          <t>HIV infection</t>
        </is>
      </c>
      <c r="M182" s="39" t="inlineStr">
        <is>
          <t>Infectious Diseases</t>
        </is>
      </c>
      <c r="N182" s="38" t="inlineStr">
        <is>
          <t>PLE-CC1 ปี 2566 Day 2 ข้อ 5</t>
        </is>
      </c>
      <c r="O182" s="39" t="n"/>
      <c r="P182" s="39" t="n"/>
    </row>
    <row r="183" ht="13.2" customHeight="1" s="49">
      <c r="A183" s="37" t="n">
        <v>181</v>
      </c>
      <c r="B183" s="38"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38" t="n"/>
      <c r="D183" s="38" t="inlineStr">
        <is>
          <t>Venlafaxine</t>
        </is>
      </c>
      <c r="E183" s="38" t="inlineStr">
        <is>
          <t>NSAIDs สักตัว ลืมชื่อ (น;าจะ naproxen ไม;ก็ diclofenac)</t>
        </is>
      </c>
      <c r="F183" s="38" t="inlineStr">
        <is>
          <t>[NEED_REVIEW]</t>
        </is>
      </c>
      <c r="G183" s="38" t="inlineStr">
        <is>
          <t>[NEED_REVIEW]</t>
        </is>
      </c>
      <c r="H183" s="38" t="inlineStr">
        <is>
          <t>[NEED_REVIEW]</t>
        </is>
      </c>
      <c r="I183" s="37" t="inlineStr">
        <is>
          <t>1</t>
        </is>
      </c>
      <c r="J183" s="38"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(NSAIDs สักตัว ลืมชื่อ (น;าจะ naproxen ไม;ก็ diclofenac)): NSAIDs เช่น Naproxen หรือ Diclofenac มีประสิทธิภาพบรรเทาอาการปวดจากการอักเสบของเนื้อเยื่อ แต่ไม่มีประสิทธิภาพในการรักษาอาการปวดประสาท (neuropathic pain)
• ข้อ ค. ([NEED_REVIEW]
• ข้อ ง. ([NEED_REVIEW]
• ข้อ จ. ([NEED_REVIEW]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38" t="n"/>
      <c r="L183" s="39" t="inlineStr">
        <is>
          <t>HIV infection</t>
        </is>
      </c>
      <c r="M183" s="39" t="inlineStr">
        <is>
          <t>Infectious Diseases</t>
        </is>
      </c>
      <c r="N183" s="38" t="inlineStr">
        <is>
          <t>PLE_CC1_2565_Day1_Key ข้อ 12</t>
        </is>
      </c>
      <c r="O183" s="39" t="n"/>
      <c r="P183" s="39" t="n"/>
      <c r="Q183" s="2" t="n"/>
    </row>
    <row r="184" ht="13.2" customHeight="1" s="49">
      <c r="A184" s="37" t="n">
        <v>182</v>
      </c>
      <c r="B184" s="38"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38" t="n"/>
      <c r="D184" s="38" t="inlineStr">
        <is>
          <t>Amoxicillin + Clarithromycin + Omeprazole for 14 days</t>
        </is>
      </c>
      <c r="E184" s="38" t="inlineStr">
        <is>
          <t>Amoxicillin + Metronidazole + Omeprazole for 14 days</t>
        </is>
      </c>
      <c r="F184" s="38" t="inlineStr">
        <is>
          <t>[NEED_REVIEW]</t>
        </is>
      </c>
      <c r="G184" s="38" t="inlineStr">
        <is>
          <t>[NEED_REVIEW]</t>
        </is>
      </c>
      <c r="H184" s="38" t="inlineStr">
        <is>
          <t>[NEED_REVIEW]</t>
        </is>
      </c>
      <c r="I184" s="37" t="inlineStr">
        <is>
          <t>1</t>
        </is>
      </c>
      <c r="J184" s="38"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Metronidazole + Omeprazole for 14 days): สูตร Amoxicillin ร่วมกับ Metronidazole และ PPI เป็นสูตรทางเลือกสำหรับผู้ที่แพ้ Clarithromycin หรือมีอัตราดื้อยา Clarithromycin สูง ไม่ใช่สูตร Clarithromycin triple มาตรฐานดั้งเดิม
• ข้อ ค. ([NEED_REVIEW]
• ข้อ ง. ([NEED_REVIEW]
• ข้อ จ. ([NEED_REVIEW]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38" t="n"/>
      <c r="L184" s="39" t="inlineStr">
        <is>
          <t>HIV infection</t>
        </is>
      </c>
      <c r="M184" s="39" t="inlineStr">
        <is>
          <t>Infectious Diseases</t>
        </is>
      </c>
      <c r="N184" s="38" t="inlineStr">
        <is>
          <t>PLE_CC1_2565_Day1_Key ข้อ 28</t>
        </is>
      </c>
      <c r="O184" s="39" t="n"/>
      <c r="P184" s="39" t="n"/>
      <c r="Q184" s="2" t="n"/>
    </row>
    <row r="185" ht="13.2" customHeight="1" s="49">
      <c r="A185" s="37" t="n">
        <v>183</v>
      </c>
      <c r="B185" s="38" t="inlineStr">
        <is>
          <t>physicochemical properties แบบไหนทำใหtransdermal patch ออกฤทธิ์ดีที่สุด …………………..………………………………..………………………………..………………………………..……………………………….. ………………………………..………………………………..………………………………..………………………………..…………………… Hint: Choice เปMน Molecular weight, Melting po Low molecular weight (&lt;600Da) Lipophilic and Efﬁcacious at low dose Low melting point LogK 1.0-4</t>
        </is>
      </c>
      <c r="C185" s="38" t="n"/>
      <c r="D185" s="38" t="inlineStr">
        <is>
          <t>Atopic dermatitis</t>
        </is>
      </c>
      <c r="E185" s="38" t="inlineStr">
        <is>
          <t>Contact dermatitis</t>
        </is>
      </c>
      <c r="F185" s="38" t="inlineStr">
        <is>
          <t>Scabies</t>
        </is>
      </c>
      <c r="G185" s="38" t="inlineStr">
        <is>
          <t>Pediculosis Pubis</t>
        </is>
      </c>
      <c r="H185" s="38" t="inlineStr">
        <is>
          <t>[NEED_REVIEW]</t>
        </is>
      </c>
      <c r="I185" s="37" t="inlineStr">
        <is>
          <t>1</t>
        </is>
      </c>
      <c r="J185" s="38"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(Contact dermatitis): Contact dermatitis มักมีประวัติสัมผัสสารก่อภูมิแพ้หรือสารระคายเคืองเฉพาะที่ชัดเจน และไม่ติดต่อสู่คู่นอนที่นอนเตียงเดียวกัน
• ข้อ ค. (Scabies): Scabies (โรคหิด) มีลักษณะตุ่มน้ำคันมากเวลากลางคืนบริเวณง่ามนิ้วมือและติดต่อสู่คนใกล้ชิดบนเตียงเดียวกันได้ ซึ่งตรงกับโจทย์เคสคลินิกมากที่สุด
• ข้อ ง. (Pediculosis Pubis): Pediculosis Pubis (โลน) มีอาการคันและตรวจพบตัวแมลงหรือไข่บริเวณขนหัวเหน่าเป็นหลัก ไม่พบเป็นตุ่มน้ำใสบริเวณง่ามนิ้วมือ
• ข้อ จ. ([NEED_REVIEW]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38" t="n"/>
      <c r="L185" s="39" t="inlineStr">
        <is>
          <t>HIV infection</t>
        </is>
      </c>
      <c r="M185" s="39" t="inlineStr">
        <is>
          <t>Infectious Diseases</t>
        </is>
      </c>
      <c r="N185" s="38" t="inlineStr">
        <is>
          <t>PLE_CC1_2565_Day1_Key ข้อ 48</t>
        </is>
      </c>
      <c r="O185" s="39" t="n"/>
      <c r="P185" s="39" t="n"/>
      <c r="Q185" s="2" t="n"/>
    </row>
    <row r="186" ht="13.2" customHeight="1" s="49">
      <c r="A186" s="37" t="n">
        <v>184</v>
      </c>
      <c r="B186" s="38" t="inlineStr">
        <is>
          <t>part อื่นๆ</t>
        </is>
      </c>
      <c r="C186" s="38" t="n"/>
      <c r="D186" s="38" t="inlineStr">
        <is>
          <t>Infectious Diseases</t>
        </is>
      </c>
      <c r="E186" s="38" t="inlineStr">
        <is>
          <t>Nitrofurantoin 100 mg BID</t>
        </is>
      </c>
      <c r="F186" s="38" t="inlineStr">
        <is>
          <t>Tenofovir/Emtricitabine 300/200 mg OD</t>
        </is>
      </c>
      <c r="G186" s="38" t="inlineStr">
        <is>
          <t>Dolutegravir 50 mg OD</t>
        </is>
      </c>
      <c r="H186" s="38" t="inlineStr">
        <is>
          <t>Vancomycin 1 g IV Q12H</t>
        </is>
      </c>
      <c r="I186" s="37" t="inlineStr">
        <is>
          <t>1</t>
        </is>
      </c>
      <c r="J18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38" t="n"/>
      <c r="L186" s="39" t="inlineStr">
        <is>
          <t>HIV infection</t>
        </is>
      </c>
      <c r="M186" s="39" t="inlineStr">
        <is>
          <t>Infectious Diseases</t>
        </is>
      </c>
      <c r="N186" s="38" t="inlineStr">
        <is>
          <t>PLE_CC1_2565_Day1_Key ข้อ 20</t>
        </is>
      </c>
      <c r="O186" s="39" t="n"/>
      <c r="P186" s="39" t="n"/>
    </row>
    <row r="187" ht="13.2" customHeight="1" s="49">
      <c r="A187" s="37" t="n">
        <v>185</v>
      </c>
      <c r="B187" s="38"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38" t="n"/>
      <c r="D187" s="38" t="inlineStr">
        <is>
          <t>ยาเปQนรูปแบบ ophthalmic suspension</t>
        </is>
      </c>
      <c r="E187" s="38" t="inlineStr">
        <is>
          <t>ไม-จำเปQนต$องใส- preservative เพราะยาตา sterile อยู-แล$ว</t>
        </is>
      </c>
      <c r="F187" s="38" t="inlineStr">
        <is>
          <t>ต$องปรับ pH ให$เท-ากับน้ำตา คือ pH 7.4</t>
        </is>
      </c>
      <c r="G187" s="38" t="inlineStr">
        <is>
          <t>ต$องปรับ pH 7.4 เพื่อให$เปQน isotonic</t>
        </is>
      </c>
      <c r="H187" s="38" t="inlineStr">
        <is>
          <t>ใช$ NaCl ในการทำให$สารละลายเปQน isotonic solution</t>
        </is>
      </c>
      <c r="I187" s="37" t="inlineStr">
        <is>
          <t>1</t>
        </is>
      </c>
      <c r="J187" s="38"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(ไม-จำเปQนต$องใส- preservative เพราะยาตา sterile อยู-แล$ว): ยาหยอดตาชนิดขวดที่เปิดใช้ซ้ำ (multi-dose) จำเป็นต้องเติมสารกันเสีย เช่น Benzalkonium chloride เพื่อป้องกันการปนเปื้อนของเชื้อจุลชีพหลังเปิดใช้
• ข้อ ค. (ต$องปรับ pH ให$เท-ากับน้ำตา คือ pH 7.4): pH ของตำรับยาตาไม่จำเป็นต้องเท่ากับ 7.4 เสมอไป โดยสามารถปรับให้อยู่ในช่วงที่ตัวยาคงตัวและดวงตาทนรับได้ (pH 6.5-8.5)
• ข้อ ง. (ต$องปรับ pH 7.4 เพื่อให$เปQน isotonic): ความเข้มข้นของอนุภาคและสารละลายในตำรับเป็นตัวกำหนด osmolarity เพื่อความเป็น isotonic ไม่ใช่การปรับระดับ pH
• ข้อ จ. (ใช$ NaCl ในการทำให$สารละลายเปQน isotonic solution): NaCl ทำหน้าที่เป็น tonicity-adjusting agent เพื่อปรับความดันออสโมติกของสารละลายให้สมดุลเท่ากับน้ำตา (isotonicity) ซึ่งเป็นหน้าที่ที่ถูกต้อง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38" t="n"/>
      <c r="L187" s="39" t="inlineStr">
        <is>
          <t>HIV infection</t>
        </is>
      </c>
      <c r="M187" s="39" t="inlineStr">
        <is>
          <t>Infectious Diseases</t>
        </is>
      </c>
      <c r="N187" s="38" t="inlineStr">
        <is>
          <t>PLE_CC1_2565_Day2_Key ข้อ 42</t>
        </is>
      </c>
      <c r="O187" s="39" t="n"/>
      <c r="P187" s="39" t="n"/>
      <c r="Q187" s="2" t="n"/>
    </row>
    <row r="188" ht="13.2" customHeight="1" s="49">
      <c r="A188" s="37" t="n">
        <v>186</v>
      </c>
      <c r="B188" s="38" t="inlineStr">
        <is>
          <t>ดื้อยา isoniazid, rifampicin จัดเปQนแบบใด</t>
        </is>
      </c>
      <c r="C188" s="38" t="n"/>
      <c r="D188" s="38" t="inlineStr">
        <is>
          <t>poly-drug resistance TB</t>
        </is>
      </c>
      <c r="E188" s="38" t="inlineStr">
        <is>
          <t>mono resistance TB</t>
        </is>
      </c>
      <c r="F188" s="38" t="inlineStr">
        <is>
          <t>MDR-TB</t>
        </is>
      </c>
      <c r="G188" s="38" t="inlineStr">
        <is>
          <t>Pre-XDR-TB</t>
        </is>
      </c>
      <c r="H188" s="38" t="inlineStr">
        <is>
          <t>XDR-TB สูตรตำรับ Rifampicin capsule 1.2 g Glycerin PEG 400 Sorbitol solution Ascorbic acid EDTA</t>
        </is>
      </c>
      <c r="I188" s="37" t="inlineStr">
        <is>
          <t>1</t>
        </is>
      </c>
      <c r="J188" s="38"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(mono resistance TB): Mono-resistant TB นิยามถึงการดื้อต่อยาต้านวัณโรคขนานแรกเพียงขนานเดียวเท่านั้น ไม่ครอบคลุมการดื้อยาทั้งสองขนานพร้อมกัน
• ข้อ ค. (MDR-TB): MDR-TB (Multidrug-resistant TB) นิยามอย่างจำเพาะว่าเป็นการดื้อต่อทั้ง Isoniazid และ Rifampicin พร้อมกัน ซึ่งเป็นคำนิยามที่ถูกต้องตามมาตรฐานสากล
• ข้อ ง. (Pre-XDR-TB): Pre-XDR-TB นิยามว่าเป็นการดื้อยา MDR-TB ร่วมกับการดื้อต่อยาในกลุ่ม Fluoroquinolone ขนานใดขนานหนึ่งเพิ่มเติม
• ข้อ จ. (XDR-TB สูตรตำรับ Rifampicin capsule 1.2 g Glycerin PEG 400 Sorbitol solution Ascorbic acid EDTA</t>
        </is>
      </c>
      <c r="K188" s="38" t="n"/>
      <c r="L188" s="39" t="inlineStr">
        <is>
          <t>Tuberculosis</t>
        </is>
      </c>
      <c r="M188" s="39" t="inlineStr">
        <is>
          <t>Infectious Diseases</t>
        </is>
      </c>
      <c r="N188" s="38" t="inlineStr">
        <is>
          <t>PLE_CC1_2565_Day2_Key ข้อ 55</t>
        </is>
      </c>
      <c r="O188" s="39" t="n"/>
      <c r="P188" s="39" t="n"/>
      <c r="Q188" s="2" t="n"/>
    </row>
    <row r="189" ht="13.2" customHeight="1" s="49">
      <c r="A189" s="37" t="n">
        <v>187</v>
      </c>
      <c r="B189" s="38" t="inlineStr">
        <is>
          <t>ผู$ป&amp;วยควรได$รับยาต$านวัณโรคสูตรใดเปQนทางเลือกแรก ………………………………………………………………………………………………………………………………………………………… …………………………………………………………………………………………………………………………………………………………..</t>
        </is>
      </c>
      <c r="C189" s="38" t="n"/>
      <c r="D189" s="38" t="inlineStr">
        <is>
          <t>Infectious Diseases</t>
        </is>
      </c>
      <c r="E189" s="38" t="inlineStr">
        <is>
          <t>Azithromycin 500 mg OD</t>
        </is>
      </c>
      <c r="F189" s="38" t="inlineStr">
        <is>
          <t>Doxycycline 100 mg BID</t>
        </is>
      </c>
      <c r="G189" s="38" t="inlineStr">
        <is>
          <t>Cotrimoxazole 160/800 mg BID</t>
        </is>
      </c>
      <c r="H189" s="38" t="inlineStr">
        <is>
          <t>Metronidazole 400 mg TID</t>
        </is>
      </c>
      <c r="I189" s="37" t="inlineStr">
        <is>
          <t>1</t>
        </is>
      </c>
      <c r="J189"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38" t="n"/>
      <c r="L189" s="39" t="inlineStr">
        <is>
          <t>Tuberculosis</t>
        </is>
      </c>
      <c r="M189" s="39" t="inlineStr">
        <is>
          <t>Infectious Diseases</t>
        </is>
      </c>
      <c r="N189" s="38" t="inlineStr">
        <is>
          <t>PLE_CC1_2565_Day2_Key ข้อ 48</t>
        </is>
      </c>
      <c r="O189" s="39" t="n"/>
      <c r="P189" s="39" t="n"/>
    </row>
    <row r="190" ht="13.2" customHeight="1" s="49">
      <c r="A190" s="37" t="n">
        <v>188</v>
      </c>
      <c r="B190" s="38" t="inlineStr">
        <is>
          <t>เกี่ยวกับติดเชื้อราในช-องคลอด ข$อใดเหมาะสมที่จะแนะนำในการใช$ยากับผู$ป&amp;วยรายนี้ STI management guideline 2024 Vaginal candidiasis</t>
        </is>
      </c>
      <c r="C190" s="38" t="n"/>
      <c r="D190" s="38" t="inlineStr">
        <is>
          <t>ให$ใช$ clotrimazole เหน็บร-วมด$วย</t>
        </is>
      </c>
      <c r="E190" s="38" t="inlineStr">
        <is>
          <t>ดื่มน้ำ cranberry เพื่อป¢องกันการกลับเปQนซ้ำ</t>
        </is>
      </c>
      <c r="F190" s="38" t="inlineStr">
        <is>
          <t>หลีกเลี่ยงการมีเพศสัมพันธ6 จนกว-าตกขาวจะหาย</t>
        </is>
      </c>
      <c r="G190" s="38" t="inlineStr">
        <is>
          <t>ให$สวนล$างช-องคลอดด$วย lactic acid เพื่อป¢องกันการกลับมาเปQนซ้ำ</t>
        </is>
      </c>
      <c r="H190" s="38" t="inlineStr">
        <is>
          <t>หลีกเลี่ยงการกินยาร-วมกับนมหรือยาลดกรด</t>
        </is>
      </c>
      <c r="I190" s="37" t="inlineStr">
        <is>
          <t>1</t>
        </is>
      </c>
      <c r="J190" s="38"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(ดื่มน้ำ cranberry เพื่อป¢องกันการกลับเปQนซ้ำ): น้ำแครนเบอร์รี่มีสาร proanthocyanidins ที่ช่วยป้องกันแบคทีเรีย E. coli เกาะเยื่อบุทางเดินปัสสาวะสำหรับ UTI แต่ไม่มีประสิทธิผลในการรักษาหรือป้องกันเชื้อราในช่องคลอด
• ข้อ ค. (หลีกเลี่ยงการมีเพศสัมพันธ6 จนกว-าตกขาวจะหาย): การงดเพศสัมพันธ์ระหว่างมีอาการช่วยลดการระคายเคืองเฉพาะที่ แต่ candidiasis ไม่จัดเป็นโรคติดต่อทางเพศสัมพันธ์ตามแนวทางของ CDC/STI guidelines
• ข้อ ง. (ให$สวนล$างช-องคลอดด$วย lactic acid เพื่อป¢องกันการกลับมาเปQนซ้ำ): การสวนล้างช่องคลอดด้วยสารละลายกรดแลคติกจะรบกวนสมดุลจุลชีพประจำถิ่นของ Lactobacillus ทำให้เสี่ยงต่อการกลับเป็นซ้ำของการติดเชื้อมากขึ้น
• ข้อ จ. (หลีกเลี่ยงการกินยาร-วมกับนมหรือยาลดกรด): การหลีกเลี่ยงนมหรือยาลดกรดเป็นคำแนะนำสำหรับยาปฏิชีวนะกลุ่ม Tetracyclines หรือ Fluoroquinolones ไม่เกี่ยวข้องกับการใช้ยาเหน็บช่องคลอด Clotrimazole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38" t="n"/>
      <c r="L190" s="39" t="inlineStr">
        <is>
          <t>HIV infection</t>
        </is>
      </c>
      <c r="M190" s="39" t="inlineStr">
        <is>
          <t>Infectious Diseases</t>
        </is>
      </c>
      <c r="N190" s="38" t="inlineStr">
        <is>
          <t>PLE_CC1_2565_Day2_Key ข้อ 63</t>
        </is>
      </c>
      <c r="O190" s="39" t="n"/>
      <c r="P190" s="39" t="n"/>
      <c r="Q190" s="2" t="n"/>
    </row>
    <row r="191" ht="13.2" customHeight="1" s="49">
      <c r="A191" s="37" t="n">
        <v>189</v>
      </c>
      <c r="B191" s="38"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t>
        </is>
      </c>
      <c r="C191" s="38" t="n"/>
      <c r="D191" s="38" t="inlineStr">
        <is>
          <t>ขายยาปลอม</t>
        </is>
      </c>
      <c r="E191" s="38" t="inlineStr">
        <is>
          <t>ขายยาผิดมาตรฐาน</t>
        </is>
      </c>
      <c r="F191" s="38" t="inlineStr">
        <is>
          <t>ไม-ควบคุมการขายให$เปQนไปตาม....</t>
        </is>
      </c>
      <c r="G191" s="38" t="inlineStr">
        <is>
          <t>[NEED_REVIEW]</t>
        </is>
      </c>
      <c r="H191" s="38" t="inlineStr">
        <is>
          <t>[NEED_REVIEW]</t>
        </is>
      </c>
      <c r="I191" s="37" t="inlineStr">
        <is>
          <t>1</t>
        </is>
      </c>
      <c r="J191" s="38"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(ขายยาผิดมาตรฐาน): ยาผิดมาตรฐาน หมายถึงยาที่มีสารสำคัญไม่ครบตามเกณฑ์มาตรฐานตำรายา ซึ่งต่างจากประเด็นทางเภสัชเคมีของกระบวนการเมแทบอลิซึมของตัวยาในร่างกาย
• ข้อ ค. (ไม-ควบคุมการขายให$เปQนไปตาม....): การไม่ควบคุมการขายให้เป็นไปตามกฎหมายเป็นความผิดเชิงบริหารจัดการตามพระราชบัญญัติยา ไม่สัมพันธ์กับปฏิกิริยา biotransformation ของ Metronidazole
• ข้อ ง. ([NEED_REVIEW]
• ข้อ จ. ([NEED_REVIEW]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38" t="n"/>
      <c r="L191" s="39" t="inlineStr">
        <is>
          <t>HIV infection</t>
        </is>
      </c>
      <c r="M191" s="39" t="inlineStr">
        <is>
          <t>Infectious Diseases</t>
        </is>
      </c>
      <c r="N191" s="38" t="inlineStr">
        <is>
          <t>PLE_CC1_2565_Day2_Key ข้อ 64</t>
        </is>
      </c>
      <c r="O191" s="39" t="n"/>
      <c r="P191" s="39" t="n"/>
      <c r="Q191" s="2" t="n"/>
    </row>
    <row r="192" ht="13.2" customHeight="1" s="49">
      <c r="A192" s="37" t="n">
        <v>190</v>
      </c>
      <c r="B192" s="38" t="inlineStr">
        <is>
          <t>TB 2 เคส (เคสนึงเริ่มยาสูตรไหน อีก เคสเปsนผื่นแพuยา)</t>
        </is>
      </c>
      <c r="C192" s="38" t="n"/>
      <c r="D192" s="38" t="inlineStr">
        <is>
          <t>Infectious Diseases</t>
        </is>
      </c>
      <c r="E192" s="38" t="inlineStr">
        <is>
          <t>Cefazolin 1 g IV Q8H</t>
        </is>
      </c>
      <c r="F192" s="38" t="inlineStr">
        <is>
          <t>Amoxicillin/Clavulanate 1 g BID</t>
        </is>
      </c>
      <c r="G192" s="38" t="inlineStr">
        <is>
          <t>Ceftriaxone 1 g IV OD</t>
        </is>
      </c>
      <c r="H192" s="38" t="inlineStr">
        <is>
          <t>Ciprofloxacin 500 mg BID</t>
        </is>
      </c>
      <c r="I192" s="37" t="inlineStr">
        <is>
          <t>1</t>
        </is>
      </c>
      <c r="J192"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38" t="n"/>
      <c r="L192" s="39" t="inlineStr">
        <is>
          <t>Tuberculosis</t>
        </is>
      </c>
      <c r="M192" s="39" t="inlineStr">
        <is>
          <t>Infectious Diseases</t>
        </is>
      </c>
      <c r="N192" s="38" t="inlineStr">
        <is>
          <t>PLE_CC1_2565_Day2_Key ข้อ 16</t>
        </is>
      </c>
      <c r="O192" s="39" t="n"/>
      <c r="P192" s="39" t="n"/>
    </row>
    <row r="193" ht="13.2" customHeight="1" s="49">
      <c r="A193" s="37" t="n">
        <v>191</v>
      </c>
      <c r="B193" s="38"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38" t="n"/>
      <c r="D193" s="38" t="inlineStr">
        <is>
          <t>Infectious Diseases</t>
        </is>
      </c>
      <c r="E193" s="38" t="inlineStr">
        <is>
          <t>เหมาะสม</t>
        </is>
      </c>
      <c r="F193" s="38" t="inlineStr">
        <is>
          <t>ไม่เหมาะสม ควรใช้ HRZES</t>
        </is>
      </c>
      <c r="G193" s="38" t="inlineStr">
        <is>
          <t>ไม่เหมาะสม ควรใช้สูตรยาทางเลือก</t>
        </is>
      </c>
      <c r="H193" s="38" t="inlineStr">
        <is>
          <t>Meropenem 1 g IV Q8H</t>
        </is>
      </c>
      <c r="I193" s="37" t="inlineStr">
        <is>
          <t>1</t>
        </is>
      </c>
      <c r="J193"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การใช้สูตรมาตรฐาน HRZE ต่อไปโดยไม่ประเมินระดับเอนไซม์ตับอย่างรอบคอบอาจเสี่ยงต่อ severe drug-induced liver injury หากค่าเอนไซม์ ALT สูงเกินเกณฑ์ปลอดภัย
• ข้อ ค. (ไม่เหมาะสม ควรใช้ HRZES): การเปลี่ยนเป็นสูตร HRZES เพิ่มยาฉีด Streptomycin เข้าไป ไม่ได้ช่วยลดความเสี่ยงต่อพิษที่ตับ เนื่องจากยังมียากลุ่ม hepatotoxic drugs ครบทั้ง H, R และ Z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การปรับสูตรตัดยาที่มีพิษต่อตับออกแล้วแทนด้วย Levofloxacin หรือยากลุ่ม Fluoroquinolones มีความจำเป็นเฉพาะเมื่อผู้ป่วยเกิดตับอักเสบรุนแรงจนต้องหยุดยากลุ่มเสี่ยง
• ข้อ จ. (Meropenem 1 g IV Q8H): Meropenem เป็นยาปฏิชีวนะกลุ่ม Carbapenem สำหรับการติดเชื้อแบคทีเรียแกรมลบดื้อยาในโรงพยาบาล ไม่มีบทบาทในการรักษาการติดเชื้อวัณโรค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38" t="n"/>
      <c r="L193" s="39" t="inlineStr">
        <is>
          <t>Tuberculosis</t>
        </is>
      </c>
      <c r="M193" s="39" t="inlineStr">
        <is>
          <t>Infectious Diseases</t>
        </is>
      </c>
      <c r="N193" s="38" t="inlineStr">
        <is>
          <t>PLE_CC1_2564_All_Key ข้อ 47</t>
        </is>
      </c>
      <c r="O193" s="39" t="n"/>
      <c r="P193" s="39" t="n"/>
    </row>
    <row r="194" ht="13.2" customHeight="1" s="49">
      <c r="A194" s="37" t="n">
        <v>192</v>
      </c>
      <c r="B194" s="38" t="inlineStr">
        <is>
          <t>ถ้าจะเพิ่ม compliance ให้ผู้ป่วย TB ที่ใช้ยา 4 ตัว ข้อใดไม่ควรทำที่สุด</t>
        </is>
      </c>
      <c r="C194" s="38" t="n"/>
      <c r="D194" s="38" t="inlineStr">
        <is>
          <t>Infectious Diseases</t>
        </is>
      </c>
      <c r="E194" s="38" t="inlineStr">
        <is>
          <t>ตอกยา 4 ชั้น</t>
        </is>
      </c>
      <c r="F194" s="38" t="inlineStr">
        <is>
          <t>ทำเป็นเคลือบให้ยาปลดปล่อยมาทีละชั้น</t>
        </is>
      </c>
      <c r="G194" s="38"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38" t="inlineStr">
        <is>
          <t>Ceftriaxone 1 g IV OD</t>
        </is>
      </c>
      <c r="I194" s="37" t="inlineStr">
        <is>
          <t>1</t>
        </is>
      </c>
      <c r="J194"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การตอกยา 4 ชั้นแบบ multi-layer tablet ช่วยแยกตัวยาสำคัญที่ไม่เข้ากันออกจากกันและลดจำนวนเม็ดยาที่ผู้ป่วยต้องรับประทาน จึงช่วยเพิ่ม compliance ได้จริง
• ข้อ ค. (ทำเป็นเคลือบให้ยาปลดปล่อยมาทีละชั้น): การเคลือบให้ยาปลดปล่อยทีละชั้นสามารถควบคุมอัตราการปลดปล่อยตัวยาและลดความถี่ในการบริหารยา ส่งเสริมให้ผู้ป่วยให้ความร่วมมือในการกินยาต่อเนื่อง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การผสมตัวยารวมกันแบบ reservoir device มีความเสี่ยงต่อ dose dumping หากชั้นพอลิเมอร์ชำรุด และอาจส่งผลต่อ bioavailability ของยา Rifampin อย่างมีนัยสำคัญ
• ข้อ จ. (Ceftriaxone 1 g IV OD): Ceftriaxone เป็นยาปฏิชีวนะชนิดฉีดต้านแบคทีเรียทั่วไป ไม่เกี่ยวข้องกับสูตรยาต้านวัณโรคหรือเทคโนโลยีทางเภสัชกรรมเพื่อเพิ่มความร่วมมือในการใช้ยา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38" t="n"/>
      <c r="L194" s="39" t="inlineStr">
        <is>
          <t>Tuberculosis</t>
        </is>
      </c>
      <c r="M194" s="39" t="inlineStr">
        <is>
          <t>Infectious Diseases</t>
        </is>
      </c>
      <c r="N194" s="38" t="inlineStr">
        <is>
          <t>PLE_CC1_2564_All_Key ข้อ 49</t>
        </is>
      </c>
      <c r="O194" s="39" t="n"/>
      <c r="P194" s="39" t="n"/>
    </row>
    <row r="195" ht="13.2" customHeight="1" s="49">
      <c r="A195" s="37" t="n">
        <v>193</v>
      </c>
      <c r="B195" s="38" t="inlineStr">
        <is>
          <t>ข้อใดต่อไปนี้ผิดเกี่ยวกับการใช้ยารักษาโรค TB (ถามเกี่ยวกับอาการข้างเคียงของยาที่ควรรีบไปพบแพทย์)</t>
        </is>
      </c>
      <c r="C195" s="38" t="n"/>
      <c r="D195" s="38" t="inlineStr">
        <is>
          <t>Infectious Diseases</t>
        </is>
      </c>
      <c r="E195" s="38" t="inlineStr">
        <is>
          <t>มีอาการทางตาให้รีบไปพบแพทย์</t>
        </is>
      </c>
      <c r="F195" s="38" t="inlineStr">
        <is>
          <t>คลื่นไส้ อาเจียน เบื่ออาหาร มีไข้ ให้รีบไปพบแพทย์</t>
        </is>
      </c>
      <c r="G195" s="38" t="inlineStr">
        <is>
          <t>ปัสสาวะสีส้ม น้ำตาสีส้ม ให้รีบไปพบแพทย์</t>
        </is>
      </c>
      <c r="H195" s="38" t="inlineStr">
        <is>
          <t>Nitrofurantoin 100 mg BID</t>
        </is>
      </c>
      <c r="I195" s="37" t="inlineStr">
        <is>
          <t>1</t>
        </is>
      </c>
      <c r="J195"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อาการทางตาตามัวหรือมองเห็นสีผิดปกติเกิดจากพิษต่อเส้นประสาทตาของ Ethambutol (optic neuritis) ซึ่งเป็นอาการข้างเคียงรุนแรงที่ผู้ป่วยต้องหยุดยาและรีบพบแพทย์ทันที
• ข้อ ค. (คลื่นไส้ อาเจียน เบื่ออาหาร มีไข้ ให้รีบไปพบแพทย์): อาการคลื่นไส้ อาเจียน เบื่ออาหาร และตัวเหลืองตาเหลือง บ่งชี้ถึงภาวะพิษต่อตับจากยา H, R หรือ Z ซึ่งเป็นภาวะฉุกเฉินที่ต้องรีบหยุดยาและไปพบแพทย์ทันที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ปัสสาวะ เหงื่อ และน้ำตาสีส้มแดงเป็นผลข้างเคียงปกติที่ไม่อันตรายของยา Rifampin ไม่จำเป็นต้องตื่นตระหนกหรือรีบไปพบแพทย์ เพียงแต่แนะนำให้ผู้ป่วยรับทราบล่วงหน้า
• ข้อ จ. (Nitrofurantoin 100 mg BID): Nitrofurantoin เป็นยาฆ่าเชื้อแบคทีเรียสำหรับโรคทางเดินปัสสาวะอักเสบส่วนล่าง ไม่เกี่ยวข้องกับสูตรยารักษาวัณโรคหรืออาการข้างเคียงของยาต้านวัณโรค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38" t="n"/>
      <c r="L195" s="39" t="inlineStr">
        <is>
          <t>Tuberculosis</t>
        </is>
      </c>
      <c r="M195" s="39" t="inlineStr">
        <is>
          <t>Infectious Diseases</t>
        </is>
      </c>
      <c r="N195" s="38" t="inlineStr">
        <is>
          <t>PLE_CC1_2564_All_Key ข้อ 48</t>
        </is>
      </c>
      <c r="O195" s="39" t="n"/>
      <c r="P195" s="39" t="n"/>
    </row>
    <row r="196" ht="13.2" customHeight="1" s="49">
      <c r="A196" s="37" t="n">
        <v>194</v>
      </c>
      <c r="B196" s="38"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38" t="n"/>
      <c r="D196" s="38" t="inlineStr">
        <is>
          <t>Infectious Diseases</t>
        </is>
      </c>
      <c r="E196" s="38" t="inlineStr">
        <is>
          <t>Nitrofurantoin 100 mg BID</t>
        </is>
      </c>
      <c r="F196" s="38" t="inlineStr">
        <is>
          <t>Tenofovir/Emtricitabine 300/200 mg OD</t>
        </is>
      </c>
      <c r="G196" s="38" t="inlineStr">
        <is>
          <t>Dolutegravir 50 mg OD</t>
        </is>
      </c>
      <c r="H196" s="38" t="inlineStr">
        <is>
          <t>Vancomycin 1 g IV Q12H</t>
        </is>
      </c>
      <c r="I196" s="37" t="inlineStr">
        <is>
          <t>1</t>
        </is>
      </c>
      <c r="J19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38" t="n"/>
      <c r="L196" s="39" t="inlineStr">
        <is>
          <t>HIV infection</t>
        </is>
      </c>
      <c r="M196" s="39" t="inlineStr">
        <is>
          <t>Infectious Diseases</t>
        </is>
      </c>
      <c r="N196" s="38" t="inlineStr">
        <is>
          <t>PLE_CC1_2564_All_Key ข้อ 75</t>
        </is>
      </c>
      <c r="O196" s="39" t="n"/>
      <c r="P196" s="39" t="n"/>
    </row>
    <row r="197" ht="13.2" customHeight="1" s="49">
      <c r="A197" s="37" t="n">
        <v>195</v>
      </c>
      <c r="B197" s="38"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38" t="n"/>
      <c r="D197" s="38" t="inlineStr">
        <is>
          <t>Infectious Diseases</t>
        </is>
      </c>
      <c r="E197" s="38" t="inlineStr">
        <is>
          <t>Vancomycin 1 g IV Q12H</t>
        </is>
      </c>
      <c r="F197" s="38" t="inlineStr">
        <is>
          <t>Meropenem 1 g IV Q8H</t>
        </is>
      </c>
      <c r="G197" s="38" t="inlineStr">
        <is>
          <t>Cefazolin 1 g IV Q8H</t>
        </is>
      </c>
      <c r="H197" s="38" t="inlineStr">
        <is>
          <t>Amoxicillin/Clavulanate 1 g BID</t>
        </is>
      </c>
      <c r="I197" s="37" t="inlineStr">
        <is>
          <t>1</t>
        </is>
      </c>
      <c r="J19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38" t="n"/>
      <c r="L197" s="39" t="inlineStr">
        <is>
          <t>HIV infection</t>
        </is>
      </c>
      <c r="M197" s="39" t="inlineStr">
        <is>
          <t>Infectious Diseases</t>
        </is>
      </c>
      <c r="N197" s="38" t="inlineStr">
        <is>
          <t>PLE_CC1_2564_All_Key ข้อ 76</t>
        </is>
      </c>
      <c r="O197" s="39" t="n"/>
      <c r="P197" s="39" t="n"/>
    </row>
    <row r="198" ht="13.2" customHeight="1" s="49">
      <c r="A198" s="37" t="n">
        <v>196</v>
      </c>
      <c r="B198" s="38" t="inlineStr">
        <is>
          <t>แผลแบบใดไม่ควรให้ยา ATB</t>
        </is>
      </c>
      <c r="C198" s="38" t="n"/>
      <c r="D198" s="38" t="inlineStr">
        <is>
          <t>แผลเปิดขอบเรียบตื้นที่แขน 3 cm</t>
        </is>
      </c>
      <c r="E198" s="38" t="inlineStr">
        <is>
          <t>แผลเปิดขอบเรียบที่ท้อง 3 cm</t>
        </is>
      </c>
      <c r="F198" s="38" t="inlineStr">
        <is>
          <t>แผลเปิดขอบเรียบที่ต้นขา 10 cm</t>
        </is>
      </c>
      <c r="G198" s="38" t="inlineStr">
        <is>
          <t>แผลขอบหยักเลอะดิน</t>
        </is>
      </c>
      <c r="H198" s="38" t="inlineStr">
        <is>
          <t>แผลโดนกัด</t>
        </is>
      </c>
      <c r="I198" s="37" t="inlineStr">
        <is>
          <t>1</t>
        </is>
      </c>
      <c r="J198" s="38"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(แผลเปิดขอบเรียบที่ท้อง 3 cm): แผลเปิดที่ผนังหน้าท้องมีความเสี่ยงต่อการติดเชื้อเข้าสู่ช่องท้อง (peritonitis) หรือชั้นไขมันใต้ผิวหนัง จึงมักต้องได้รับการประเมินและการให้ยาปฏิชีวนะป้องกัน
• ข้อ ค. (แผลเปิดขอบเรียบที่ต้นขา 10 cm): แผลเปิดขนาดใหญ่ยาวถึง 10 เซนติเมตร จัดเป็นแผลขนาดใหญ่ที่มีการทำลายเนื้อเยื่อบริเวณกว้าง เสี่ยงต่อ bacterial colonization สูง จึงจำเป็นต้องให้ยาปฏิชีวนะ
• ข้อ ง. (แผลขอบหยักเลอะดิน): แผลขอบหยักที่มีการปนเปื้อนดินจัดเป็น contaminated wound เสี่ยงสูงต่อการติดเชื้อแบคทีเรียแกรมลบ Anaerobes และ Clostridium tetani จึงต้องให้ยาปฏิชีวนะ
• ข้อ จ. (แผลโดนกัด): แผลถูกสัตว์หรือคนกัดมีเชื้อแบคทีเรียประจำถิ่นในช่องปากปนเปื้อนปริมาณมาก มีความเสี่ยงต่อการเกิด wound infection สูงมาก จึงต้องให้ยาปฏิชีวนะป้องกันเสมอ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38" t="n"/>
      <c r="L198" s="39" t="inlineStr">
        <is>
          <t>Tuberculosis</t>
        </is>
      </c>
      <c r="M198" s="39" t="inlineStr">
        <is>
          <t>Infectious Diseases</t>
        </is>
      </c>
      <c r="N198" s="38" t="inlineStr">
        <is>
          <t>PLE_CC1_2564_All_Key ข้อ 89</t>
        </is>
      </c>
      <c r="O198" s="39" t="n"/>
      <c r="P198" s="39" t="n"/>
      <c r="Q198" s="2" t="n"/>
    </row>
    <row r="199" ht="13.2" customHeight="1" s="49">
      <c r="A199" s="37" t="n">
        <v>197</v>
      </c>
      <c r="B199" s="38" t="inlineStr">
        <is>
          <t>ผู้ป่วยติดเชื้อใด</t>
        </is>
      </c>
      <c r="C199" s="38" t="n"/>
      <c r="D199" s="38" t="inlineStr">
        <is>
          <t>E.coli</t>
        </is>
      </c>
      <c r="E199" s="38" t="inlineStr">
        <is>
          <t>Neissera gonorrhea</t>
        </is>
      </c>
      <c r="F199" s="38" t="inlineStr">
        <is>
          <t>Hemophilus ducreyi</t>
        </is>
      </c>
      <c r="G199" s="38" t="inlineStr">
        <is>
          <t>Trichomomas vaginalis</t>
        </is>
      </c>
      <c r="H199" s="38" t="inlineStr">
        <is>
          <t>Herpes simplex type 2 X หË´มนาÆปทาซËาทืกกรณิ ÂวËนาต้จ²ÆดËรงบ¯นืญ´ต ceftriaxone 500 mg IM single dose + Suziabespie and (azithromycin 1g single dose</t>
        </is>
      </c>
      <c r="I199" s="37" t="inlineStr">
        <is>
          <t>1</t>
        </is>
      </c>
      <c r="J199" s="38"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38" t="n"/>
      <c r="L199" s="39" t="inlineStr">
        <is>
          <t>HIV infection</t>
        </is>
      </c>
      <c r="M199" s="39" t="inlineStr">
        <is>
          <t>Clinic</t>
        </is>
      </c>
      <c r="N199" s="38" t="inlineStr">
        <is>
          <t>ข้อ 44 (PLE_CC1_2562_Key.md)</t>
        </is>
      </c>
      <c r="O199" s="39" t="n"/>
      <c r="P199" s="39" t="n"/>
    </row>
    <row r="200" ht="13.2" customHeight="1" s="49">
      <c r="A200" s="37" t="n">
        <v>198</v>
      </c>
      <c r="B200" s="38" t="inlineStr">
        <is>
          <t>การตรวจทางห้องปฏิบัติการใดมีเหมาะสมน้อยที่สุด , mossae X veudigerdesi ิg , netstarrine Gi , UTI motigino. isg &amp;IsGase!wrose God virus interne Distants erew we multi nucleated</t>
        </is>
      </c>
      <c r="C200" s="38" t="n"/>
      <c r="D200" s="38" t="inlineStr">
        <is>
          <t>Giemza stain</t>
        </is>
      </c>
      <c r="E200" s="38" t="inlineStr">
        <is>
          <t>Dark field</t>
        </is>
      </c>
      <c r="F200" s="38" t="inlineStr">
        <is>
          <t>Gram strain and culture</t>
        </is>
      </c>
      <c r="G200" s="38" t="inlineStr">
        <is>
          <t>RPR</t>
        </is>
      </c>
      <c r="H200" s="38" t="inlineStr">
        <is>
          <t>VDRL</t>
        </is>
      </c>
      <c r="I200" s="37" t="inlineStr">
        <is>
          <t>1</t>
        </is>
      </c>
      <c r="J200" s="38"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38" t="n"/>
      <c r="L200" s="39" t="inlineStr">
        <is>
          <t>Cystitis</t>
        </is>
      </c>
      <c r="M200" s="39" t="inlineStr">
        <is>
          <t>Clinic</t>
        </is>
      </c>
      <c r="N200" s="38" t="inlineStr">
        <is>
          <t>ข้อ 47 (PLE_CC1_2562_Key.md)</t>
        </is>
      </c>
      <c r="O200" s="39" t="n"/>
      <c r="P200" s="39" t="n"/>
    </row>
    <row r="201" ht="13.2" customHeight="1" s="49">
      <c r="A201" s="37" t="n">
        <v>199</v>
      </c>
      <c r="B201" s="38" t="inlineStr">
        <is>
          <t>หากผู้ป่วยต้องการป้องกันการติดเชื้อ HIV (Prep prophylaxis) ควรได้รับยาสูตรใด giant cell virox drei (WBC verepent ~ I</t>
        </is>
      </c>
      <c r="C201" s="38" t="n"/>
      <c r="D201" s="38" t="inlineStr">
        <is>
          <t>AZT monotherapy</t>
        </is>
      </c>
      <c r="E201" s="38" t="inlineStr">
        <is>
          <t>AZT+3TC</t>
        </is>
      </c>
      <c r="F201" s="38" t="inlineStr">
        <is>
          <t>TDF+FTC</t>
        </is>
      </c>
      <c r="G201" s="38" t="inlineStr">
        <is>
          <t>TDF+3TC+EFV</t>
        </is>
      </c>
      <c r="H201" s="38" t="inlineStr">
        <is>
          <t>d4T+3TC+NVP</t>
        </is>
      </c>
      <c r="I201" s="37" t="inlineStr">
        <is>
          <t>1</t>
        </is>
      </c>
      <c r="J201" s="38"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38" t="n"/>
      <c r="L201" s="39" t="inlineStr">
        <is>
          <t>HIV infection</t>
        </is>
      </c>
      <c r="M201" s="39" t="inlineStr">
        <is>
          <t>Clinic</t>
        </is>
      </c>
      <c r="N201" s="38" t="inlineStr">
        <is>
          <t>ข้อ 48 (PLE_CC1_2562_Key.md)</t>
        </is>
      </c>
      <c r="O201" s="39" t="n"/>
      <c r="P201" s="39" t="n"/>
    </row>
    <row r="202" ht="13.2" customHeight="1" s="49">
      <c r="A202" s="37" t="n">
        <v>200</v>
      </c>
      <c r="B202" s="38" t="inlineStr">
        <is>
          <t>ควรจัดการ การให้ยาอย่างไรกับผู้ป่วย x Tumogross hs isoniazid X X isoniazid X &amp;eied's extensive phase I, R 41862 intensive phase : I , R, ~ 56 Ecwiddie . X --- 1s</t>
        </is>
      </c>
      <c r="C202" s="38" t="n"/>
      <c r="D202" s="38" t="inlineStr">
        <is>
          <t>ให้ยาทุกตัวเหมือนเดิม</t>
        </is>
      </c>
      <c r="E202" s="38" t="inlineStr">
        <is>
          <t>หยุดยา H,R,Z แล้วไปให้ยาตัวอื่นที่ไม่เกิดอาการไม่พึงประสงค์นี้แทน</t>
        </is>
      </c>
      <c r="F202" s="38" t="inlineStr">
        <is>
          <t>หยุดยา H แล้วไปให้ยาตัวอื่นที่ไม่เกิดอาการไม่พึงประสงค์นี้แทน</t>
        </is>
      </c>
      <c r="G202" s="38" t="inlineStr">
        <is>
          <t>หยุดยา R แล้วไปให้ยาตัวอื่นที่ไม่เกิดอาการไม่พึงประสงค์นี้แทน</t>
        </is>
      </c>
      <c r="H202" s="38" t="inlineStr">
        <is>
          <t>หยุดยา E แล้วไปให้ยาตัวอื่นที่ไม่เกิดอาการไม่พึงประสงค์นี้แทน หË´มนาÆปทาซËาทืกกรณิ ÂวËนาต้จ²ÆดËรงบ¯นืญ´ต ~</t>
        </is>
      </c>
      <c r="I202" s="37" t="inlineStr">
        <is>
          <t>1</t>
        </is>
      </c>
      <c r="J202" s="38"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38" t="n"/>
      <c r="L202" s="39" t="inlineStr">
        <is>
          <t>Tuberculosis</t>
        </is>
      </c>
      <c r="M202" s="39" t="inlineStr">
        <is>
          <t>Clinic</t>
        </is>
      </c>
      <c r="N202" s="38" t="inlineStr">
        <is>
          <t>ข้อ 11 (PLE_CC1_2562_Key.md)</t>
        </is>
      </c>
      <c r="O202" s="39" t="n"/>
      <c r="P202" s="39" t="n"/>
    </row>
    <row r="203" ht="13.2" customHeight="1" s="49">
      <c r="A203" s="37" t="n">
        <v>201</v>
      </c>
      <c r="B203" s="38" t="inlineStr">
        <is>
          <t>จงคำนวณ ANC (WBC count 2000, PMN 5%, Band 5%, Eosinophil 1%. Lymphocyte 1) - X reversible</t>
        </is>
      </c>
      <c r="C203" s="38" t="n"/>
      <c r="D203" s="41" t="inlineStr">
        <is>
          <t>50</t>
        </is>
      </c>
      <c r="E203" s="41" t="inlineStr">
        <is>
          <t>100</t>
        </is>
      </c>
      <c r="F203" s="41" t="inlineStr">
        <is>
          <t>150</t>
        </is>
      </c>
      <c r="G203" s="41" t="inlineStr">
        <is>
          <t>200</t>
        </is>
      </c>
      <c r="H203" s="41" t="inlineStr">
        <is>
          <t>240</t>
        </is>
      </c>
      <c r="I203" s="37" t="inlineStr">
        <is>
          <t>1</t>
        </is>
      </c>
      <c r="J203" s="38"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38" t="n"/>
      <c r="L203" s="39" t="inlineStr">
        <is>
          <t>HIV infection</t>
        </is>
      </c>
      <c r="M203" s="39" t="inlineStr">
        <is>
          <t>Clinic</t>
        </is>
      </c>
      <c r="N203" s="38" t="inlineStr">
        <is>
          <t>ข้อ 54 (PLE_CC1_2562_Key.md)</t>
        </is>
      </c>
      <c r="O203" s="39" t="n"/>
      <c r="P203" s="39" t="n"/>
    </row>
    <row r="204" ht="13.2" customHeight="1" s="49">
      <c r="A204" s="37" t="n">
        <v>202</v>
      </c>
      <c r="B204" s="38" t="inlineStr">
        <is>
          <t>จากอาการผูป%วยเกิดจากการติดเชื้อใดมากที่สุด</t>
        </is>
      </c>
      <c r="C204" s="38" t="n"/>
      <c r="D204" s="38" t="inlineStr">
        <is>
          <t>HSV-1</t>
        </is>
      </c>
      <c r="E204" s="38" t="inlineStr">
        <is>
          <t>HSV-2</t>
        </is>
      </c>
      <c r="F204" s="38" t="inlineStr">
        <is>
          <t>Varicella zoster virus</t>
        </is>
      </c>
      <c r="G204" s="38" t="inlineStr">
        <is>
          <t>Neisseria gonorrhea</t>
        </is>
      </c>
      <c r="H204" s="38" t="inlineStr">
        <is>
          <t>Chlamydia trachomatis I</t>
        </is>
      </c>
      <c r="I204" s="37" t="inlineStr">
        <is>
          <t>1</t>
        </is>
      </c>
      <c r="J204" s="38"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38" t="n"/>
      <c r="L204" s="39" t="inlineStr">
        <is>
          <t>HIV infection</t>
        </is>
      </c>
      <c r="M204" s="39" t="inlineStr">
        <is>
          <t>Clinic</t>
        </is>
      </c>
      <c r="N204" s="38" t="inlineStr">
        <is>
          <t>ข้อ 22 (PLE_CC1_2561_Key.md)</t>
        </is>
      </c>
      <c r="O204" s="39" t="n"/>
      <c r="P204" s="39" t="n"/>
    </row>
    <row r="205" ht="13.2" customHeight="1" s="49">
      <c r="A205" s="37" t="n">
        <v>203</v>
      </c>
      <c r="B205" s="38" t="inlineStr">
        <is>
          <t>ขอใดคือกลไกการออกฤทธิ์ของยา valacyclovir</t>
        </is>
      </c>
      <c r="C205" s="38" t="n"/>
      <c r="D205" s="38" t="inlineStr">
        <is>
          <t>Protease inhibitor</t>
        </is>
      </c>
      <c r="E205" s="38" t="inlineStr">
        <is>
          <t>Integrase inhibitor</t>
        </is>
      </c>
      <c r="F205" s="38" t="inlineStr">
        <is>
          <t>Inhibit cell wall synthesis</t>
        </is>
      </c>
      <c r="G205" s="38" t="inlineStr">
        <is>
          <t>DNA polymerase inhibitor</t>
        </is>
      </c>
      <c r="H205" s="38" t="inlineStr">
        <is>
          <t>Nucleotide reverse transcriptase inhibitor t</t>
        </is>
      </c>
      <c r="I205" s="37" t="inlineStr">
        <is>
          <t>1</t>
        </is>
      </c>
      <c r="J205" s="38"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38" t="n"/>
      <c r="L205" s="39" t="inlineStr">
        <is>
          <t>HIV infection</t>
        </is>
      </c>
      <c r="M205" s="39" t="inlineStr">
        <is>
          <t>Clinic</t>
        </is>
      </c>
      <c r="N205" s="38" t="inlineStr">
        <is>
          <t>ข้อ 23 (PLE_CC1_2561_Key.md)</t>
        </is>
      </c>
      <c r="O205" s="39" t="n"/>
      <c r="P205" s="39" t="n"/>
    </row>
    <row r="206" ht="13.2" customHeight="1" s="49">
      <c r="A206" s="37" t="n">
        <v>204</v>
      </c>
      <c r="B206" s="38"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38" t="n"/>
      <c r="D206" s="38" t="inlineStr">
        <is>
          <t>90.3 %</t>
        </is>
      </c>
      <c r="E206" s="38" t="inlineStr">
        <is>
          <t>92.4 %</t>
        </is>
      </c>
      <c r="F206" s="38" t="inlineStr">
        <is>
          <t>93.4 %</t>
        </is>
      </c>
      <c r="G206" s="38" t="inlineStr">
        <is>
          <t>94.7 %</t>
        </is>
      </c>
      <c r="H206" s="38" t="inlineStr">
        <is>
          <t>95.6 % o</t>
        </is>
      </c>
      <c r="I206" s="37" t="inlineStr">
        <is>
          <t>1</t>
        </is>
      </c>
      <c r="J206" s="38"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38" t="n"/>
      <c r="L206" s="39" t="inlineStr">
        <is>
          <t>HIV infection</t>
        </is>
      </c>
      <c r="M206" s="39" t="inlineStr">
        <is>
          <t>Clinic</t>
        </is>
      </c>
      <c r="N206" s="38" t="inlineStr">
        <is>
          <t>ข้อ 24 (PLE_CC1_2561_Key.md)</t>
        </is>
      </c>
      <c r="O206" s="39" t="n"/>
      <c r="P206" s="39" t="n"/>
    </row>
    <row r="207" ht="13.2" customHeight="1" s="49">
      <c r="A207" s="37" t="n">
        <v>205</v>
      </c>
      <c r="B207" s="38" t="inlineStr">
        <is>
          <t>จากกรณีศึกษาขางตนคาดว!าผูป%วยติดเชื้อตัวใด</t>
        </is>
      </c>
      <c r="C207" s="38" t="n"/>
      <c r="D207" s="38" t="inlineStr">
        <is>
          <t>Candida albican</t>
        </is>
      </c>
      <c r="E207" s="38" t="inlineStr">
        <is>
          <t>Malassezia furfur</t>
        </is>
      </c>
      <c r="F207" s="38" t="inlineStr">
        <is>
          <t>Tricosporum spp.</t>
        </is>
      </c>
      <c r="G207" s="38" t="inlineStr">
        <is>
          <t>Epidermophyton spp.</t>
        </is>
      </c>
      <c r="H207" s="38" t="inlineStr">
        <is>
          <t>Cryptococcus neoforman</t>
        </is>
      </c>
      <c r="I207" s="37" t="inlineStr">
        <is>
          <t>1</t>
        </is>
      </c>
      <c r="J207" s="38"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38" t="n"/>
      <c r="L207" s="39" t="inlineStr">
        <is>
          <t>HIV infection</t>
        </is>
      </c>
      <c r="M207" s="39" t="inlineStr">
        <is>
          <t>Clinic</t>
        </is>
      </c>
      <c r="N207" s="38" t="inlineStr">
        <is>
          <t>ข้อ 38 (PLE_CC1_2561_Key.md)</t>
        </is>
      </c>
      <c r="O207" s="39" t="n"/>
      <c r="P207" s="39" t="n"/>
    </row>
    <row r="208" ht="13.2" customHeight="1" s="49">
      <c r="A208" s="37" t="n">
        <v>206</v>
      </c>
      <c r="B208" s="38" t="inlineStr">
        <is>
          <t>สูตรยาต(านไวรัสสูตรใดที่ใช(ในการปqองกันก.อนสัมผัสโรค (PrEP)</t>
        </is>
      </c>
      <c r="C208" s="38" t="n"/>
      <c r="D208" s="38" t="inlineStr">
        <is>
          <t>TDF + 3TC</t>
        </is>
      </c>
      <c r="E208" s="38" t="inlineStr">
        <is>
          <t>AZT + 3TC</t>
        </is>
      </c>
      <c r="F208" s="38" t="inlineStr">
        <is>
          <t>TDF + FTC</t>
        </is>
      </c>
      <c r="G208" s="38" t="inlineStr">
        <is>
          <t>TDF + FTC + Lo/r</t>
        </is>
      </c>
      <c r="H208" s="38" t="inlineStr">
        <is>
          <t>TDF + 3TC + EFV</t>
        </is>
      </c>
      <c r="I208" s="37" t="inlineStr">
        <is>
          <t>1</t>
        </is>
      </c>
      <c r="J208" s="38"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เป็นสูตรยามาตรฐานระดับสากลที่มีหลักฐานเชิงประจักษ์สูงสุดในการป้องกันการติดเชื้อ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38" t="n"/>
      <c r="L208" s="39" t="inlineStr">
        <is>
          <t>HIV infection</t>
        </is>
      </c>
      <c r="M208" s="39" t="inlineStr">
        <is>
          <t>Clinic</t>
        </is>
      </c>
      <c r="N208" s="38" t="inlineStr">
        <is>
          <t>ข้อ 47 (PLE_CC1_2561_Key.md)</t>
        </is>
      </c>
      <c r="O208" s="39" t="n"/>
      <c r="P208" s="39" t="n"/>
    </row>
    <row r="209" ht="13.2" customHeight="1" s="49">
      <c r="A209" s="37" t="n">
        <v>207</v>
      </c>
      <c r="B209" s="38"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38" t="n"/>
      <c r="D209" s="38" t="inlineStr">
        <is>
          <t>Perceived susceptibility ต่้า</t>
        </is>
      </c>
      <c r="E209" s="38" t="inlineStr">
        <is>
          <t>Perceived barrier ต่้า</t>
        </is>
      </c>
      <c r="F209" s="38" t="inlineStr">
        <is>
          <t>Perceived benefit ต่้า</t>
        </is>
      </c>
      <c r="G209" s="38" t="inlineStr">
        <is>
          <t>Perceived seriousness ต่้า</t>
        </is>
      </c>
      <c r="H209" s="38" t="inlineStr">
        <is>
          <t>ไม่มีปัจจัยกระตุ้นให้ใส่ถุงยาง</t>
        </is>
      </c>
      <c r="I209" s="37" t="inlineStr">
        <is>
          <t>1</t>
        </is>
      </c>
      <c r="J209" s="38"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38" t="n"/>
      <c r="L209" s="39" t="inlineStr">
        <is>
          <t>HIV infection</t>
        </is>
      </c>
      <c r="M209" s="39" t="inlineStr">
        <is>
          <t>Clinic</t>
        </is>
      </c>
      <c r="N209" s="38" t="inlineStr">
        <is>
          <t>ข้อ 4 (PLE_CC1_2560 22 April Set 1.md)</t>
        </is>
      </c>
      <c r="O209" s="39" t="n"/>
      <c r="P209" s="39" t="n"/>
    </row>
    <row r="210" ht="13.2" customHeight="1" s="49">
      <c r="A210" s="37" t="n">
        <v>208</v>
      </c>
      <c r="B210" s="38" t="inlineStr">
        <is>
          <t>ข้อใดไม่ถูกต้องเกี่ยวกับการเรียกยาคืน</t>
        </is>
      </c>
      <c r="C210" s="38" t="n"/>
      <c r="D210" s="38" t="inlineStr">
        <is>
          <t>ต้องสามารถเรียกยาคืนได้ทันทีเมื่อเกิดปัญหา</t>
        </is>
      </c>
      <c r="E210" s="38" t="inlineStr">
        <is>
          <t>การเรียกยาคืนเป็นหน้าที่ของฝ่ายขายและการตลาดเท่านั้น</t>
        </is>
      </c>
      <c r="F210" s="38" t="inlineStr">
        <is>
          <t>มีระบบการเรียกยาคืนที่เป็นปัจจุบัน</t>
        </is>
      </c>
      <c r="G210" s="38" t="inlineStr">
        <is>
          <t>ถ้าเกิดปัญหาต้องมีการเรียกยาคืน</t>
        </is>
      </c>
      <c r="H210" s="38" t="inlineStr">
        <is>
          <t>การเรียกยาคืนต้องแจ้ง อย. ทุกครั้ง</t>
        </is>
      </c>
      <c r="I210" s="37" t="inlineStr">
        <is>
          <t>1</t>
        </is>
      </c>
      <c r="J210" s="38"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(ต้องสามารถเรียกยาคืนได้ทันทีเมื่อเกิดปัญหา): ระบบการเรียกยาคืนที่ดีต้องสามารถดำเนินการได้ทันทีอย่างมีประสิทธิภาพเมื่อพบปัญหาคุณภาพหรือความไม่ปลอดภัยของยา เพื่อปกป้องผู้บริโภค
• ข้อ ค. (มีระบบการเรียกยาคืนที่เป็นปัจจุบัน): สถานประกอบการผลิตหรือนำเข้ายาต้องจัดให้มีขั้นตอนและระบบการเรียกเก็บยาคืนที่มีการทบทวนและปรับปรุงให้เป็นปัจจุบันอยู่เสมอตามหลักเกณฑ์ GMP/GDP
• ข้อ ง. (ถ้าเกิดปัญหาต้องมีการเรียกยาคืน): เมื่อพบข้อบกพร่องทางคุณภาพที่อาจเป็นอันตรายต่อสุขภาพ ผู้รับอนุญาตมีหน้าที่ต้องดำเนินการเรียกยาคืนจากท้องตลาดทันทีตามระดับความรุนแรง
• ข้อ จ. (การเรียกยาคืนต้องแจ้ง อย. ทุกครั้ง): การเรียกเก็บยาคืนทุกครั้งจะต้องแจ้งรายละเอียด เหตุผล และแผนการดำเนินการต่อสำนักงานคณะกรรมการอาหารและยา (อย.) ทราบตามกฎหมายกำหนด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38" t="n"/>
      <c r="L210" s="39" t="inlineStr">
        <is>
          <t>HIV infection</t>
        </is>
      </c>
      <c r="M210" s="39" t="inlineStr">
        <is>
          <t>Clinic</t>
        </is>
      </c>
      <c r="N210" s="38" t="inlineStr">
        <is>
          <t>ข้อ 8 (PLE_CC1_2558_Key.md)</t>
        </is>
      </c>
      <c r="O210" s="39" t="n"/>
      <c r="P210" s="39" t="n"/>
    </row>
    <row r="211" ht="13.2" customHeight="1" s="49">
      <c r="A211" s="37" t="n">
        <v>209</v>
      </c>
      <c r="B211" s="38" t="inlineStr">
        <is>
          <t>ข้อใดไม่ถูกต้องเกี่ยวกับ amoxicillin/clavulanic acid</t>
        </is>
      </c>
      <c r="C211" s="38" t="n"/>
      <c r="D211" s="38" t="inlineStr">
        <is>
          <t>ไม่ถูกทำลายโดย beta lactamase</t>
        </is>
      </c>
      <c r="E211" s="38" t="inlineStr">
        <is>
          <t>เกิดปฏิกิริยา hydrolysis</t>
        </is>
      </c>
      <c r="F211" s="38" t="inlineStr">
        <is>
          <t>เกิดปฏิกิริยา epimerization</t>
        </is>
      </c>
      <c r="G211" s="38" t="inlineStr">
        <is>
          <t>Clavulanic acid ไม่ใช่สารออกฤทธิ์</t>
        </is>
      </c>
      <c r="H211" s="38" t="inlineStr">
        <is>
          <t>เป็นยาในกลุ่ม aminopenicillin กรณีศึกษา 3</t>
        </is>
      </c>
      <c r="I211" s="37" t="inlineStr">
        <is>
          <t>1</t>
        </is>
      </c>
      <c r="J211" s="38" t="inlineStr">
        <is>
          <t>✅ คำตอบที่ถูกต้อง: ข้อ ก. ไม่ถูกทำลายโดย beta lactamase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วงแหวน Beta-lactam ของทั้ง Amoxicillin และ Clavulanic acid ไวต่อปฏิกิริยา Hydrolysis ด้วยน้ำหรือความชื้น ทำให้สูญเสียฤทธิ์ต้านเชื้อ จึงต้องเก็บในบรรจุภัณฑ์ที่กันความชื้น
• ข้อ ค. (เกิดปฏิกิริยา epimerization): Amoxicillin ในสารละลายสามารถเกิดปฏิกิริยา Epimerization ที่ตำแหน่ง chiral center ส่งผลต่อความคงตัวและฤทธิ์ทางเภสัชวิทยา
• ข้อ ง. (Clavulanic acid ไม่ใช่สารออกฤทธิ์): Clavulanic acid เป็น Beta-lactamase inhibitor ชนิด suicide inhibitor ที่มีฤทธิ์ต้านเชื้อแบคทีเรียด้วยตัวเองต่ำมาก แต่ทำหน้าที่หลักคือปกป้อง amoxicillin ไม่ให้ถูกทำลาย
• ข้อ จ. (เป็นยาในกลุ่ม aminopenicillin กรณีศึกษา 3): Amoxicillin จัดเป็นยาปฏิชีวนะกลุ่ม Aminopenicillin มีหมู่อะมิโนที่สายโซ่ข้างช่วยเพิ่มการแทรกผ่าน porin ของแบคทีเรียแกรมลบ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38" t="n"/>
      <c r="L211" s="39" t="inlineStr">
        <is>
          <t>URTI</t>
        </is>
      </c>
      <c r="M211" s="39" t="inlineStr">
        <is>
          <t>Clinic</t>
        </is>
      </c>
      <c r="N211" s="38" t="inlineStr">
        <is>
          <t>ข้อ 16 (PLE_CC1_2558_Key.md)</t>
        </is>
      </c>
      <c r="O211" s="39" t="n"/>
      <c r="P211" s="39" t="n"/>
    </row>
    <row r="212" ht="13.2" customHeight="1" s="49">
      <c r="A212" s="37" t="n">
        <v>210</v>
      </c>
      <c r="B212" s="38" t="inlineStr">
        <is>
          <t>ข้อใดคือสูตรยารักษาแรก ที่แนะนำให้ใช้ในผู้ติดเชื้อเอชไอวีที่ไม่มีข้อห้ามใช้</t>
        </is>
      </c>
      <c r="C212" s="38" t="n"/>
      <c r="D212" s="38" t="inlineStr">
        <is>
          <t>TDF+FTC+RPV</t>
        </is>
      </c>
      <c r="E212" s="38" t="inlineStr">
        <is>
          <t>TDF+3TC+EFV</t>
        </is>
      </c>
      <c r="F212" s="38" t="inlineStr">
        <is>
          <t>TDF+FTC+DTG</t>
        </is>
      </c>
      <c r="G212" s="38" t="inlineStr">
        <is>
          <t>ABC+3TC+DTG</t>
        </is>
      </c>
      <c r="H212" s="38" t="inlineStr">
        <is>
          <t>AZT+FTC+DTG</t>
        </is>
      </c>
      <c r="I212" s="37" t="inlineStr">
        <is>
          <t>1</t>
        </is>
      </c>
      <c r="J212" s="38"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38" t="n"/>
      <c r="L212" s="39" t="inlineStr">
        <is>
          <t>HIV infection</t>
        </is>
      </c>
      <c r="M212" s="39" t="inlineStr">
        <is>
          <t>Clinic</t>
        </is>
      </c>
      <c r="N212" s="38" t="inlineStr">
        <is>
          <t>ข้อ 31 (Pharmtutor_2024_Set1.md)</t>
        </is>
      </c>
      <c r="O212" s="39" t="n"/>
      <c r="P212" s="39" t="n"/>
    </row>
    <row r="213" ht="13.2" customHeight="1" s="49">
      <c r="A213" s="37" t="n">
        <v>211</v>
      </c>
      <c r="B213" s="38" t="inlineStr">
        <is>
          <t>การใช้ยา Amoxicillin+Clavulanic acid สามารถพบผลข้างเคียงใดได้บ่อยที่สุด</t>
        </is>
      </c>
      <c r="C213" s="38" t="n"/>
      <c r="D213" s="38" t="inlineStr">
        <is>
          <t>คลื่นไส้ อาเจียน</t>
        </is>
      </c>
      <c r="E213" s="38" t="inlineStr">
        <is>
          <t>กรดไหลย้อน</t>
        </is>
      </c>
      <c r="F213" s="38" t="inlineStr">
        <is>
          <t>ท้องเสีย</t>
        </is>
      </c>
      <c r="G213" s="38" t="inlineStr">
        <is>
          <t>ไอ</t>
        </is>
      </c>
      <c r="H213" s="38" t="inlineStr">
        <is>
          <t>เวียนศีรษะ</t>
        </is>
      </c>
      <c r="I213" s="37" t="inlineStr">
        <is>
          <t>1</t>
        </is>
      </c>
      <c r="J213" s="38" t="inlineStr">
        <is>
          <t>✅ คำตอบที่ถูกต้อง: ข้อ ก. คลื่นไส้ อาเจียน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38" t="n"/>
      <c r="L213" s="39" t="inlineStr">
        <is>
          <t>URTI</t>
        </is>
      </c>
      <c r="M213" s="39" t="inlineStr">
        <is>
          <t>Clinic</t>
        </is>
      </c>
      <c r="N213" s="38" t="inlineStr">
        <is>
          <t>ข้อ 36 (Pharmtutor_2024_Set1.md)</t>
        </is>
      </c>
      <c r="O213" s="39" t="n"/>
      <c r="P213" s="39" t="n"/>
    </row>
    <row r="214" ht="13.2" customHeight="1" s="49">
      <c r="A214" s="37" t="n">
        <v>212</v>
      </c>
      <c r="B214" s="38"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38" t="n"/>
      <c r="D214" s="38" t="inlineStr">
        <is>
          <t>Trichomonas</t>
        </is>
      </c>
      <c r="E214" s="38" t="inlineStr">
        <is>
          <t>Candida Albicans</t>
        </is>
      </c>
      <c r="F214" s="38" t="inlineStr">
        <is>
          <t>Herpes Simplex</t>
        </is>
      </c>
      <c r="G214" s="38" t="inlineStr">
        <is>
          <t>Chlamydia</t>
        </is>
      </c>
      <c r="H214" s="38" t="inlineStr">
        <is>
          <t>Papilloma Virus</t>
        </is>
      </c>
      <c r="I214" s="37" t="inlineStr">
        <is>
          <t>1</t>
        </is>
      </c>
      <c r="J214" s="38"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38" t="n"/>
      <c r="L214" s="39" t="inlineStr">
        <is>
          <t>STDs &amp; vaginitis</t>
        </is>
      </c>
      <c r="M214" s="39" t="inlineStr">
        <is>
          <t>Clinic</t>
        </is>
      </c>
      <c r="N214" s="38" t="inlineStr">
        <is>
          <t>ข้อ 41 (Pharmtutor_2024_Set1.md)</t>
        </is>
      </c>
      <c r="O214" s="39" t="n"/>
      <c r="P214" s="39" t="n"/>
    </row>
    <row r="215" ht="13.2" customHeight="1" s="49">
      <c r="A215" s="37" t="n">
        <v>213</v>
      </c>
      <c r="B215" s="38" t="inlineStr">
        <is>
          <t>เชื้อสาเหตุใดที่พบได้มากที่สุดในการติดเชื้อปอกอักเสบชนิด Community-acquired pneumonia (CAP)</t>
        </is>
      </c>
      <c r="C215" s="38" t="n"/>
      <c r="D215" s="38" t="inlineStr">
        <is>
          <t>Pseudomonas aeruginosa</t>
        </is>
      </c>
      <c r="E215" s="38" t="inlineStr">
        <is>
          <t>Acinetobacter baumannii</t>
        </is>
      </c>
      <c r="F215" s="38" t="inlineStr">
        <is>
          <t>Klebsiella pneumoniae</t>
        </is>
      </c>
      <c r="G215" s="38" t="inlineStr">
        <is>
          <t>Mycoplasma pneumoniae</t>
        </is>
      </c>
      <c r="H215" s="38" t="inlineStr">
        <is>
          <t>Streptococcus pneumoniae</t>
        </is>
      </c>
      <c r="I215" s="37" t="inlineStr">
        <is>
          <t>1</t>
        </is>
      </c>
      <c r="J215" s="38"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38" t="n"/>
      <c r="L215" s="39" t="inlineStr">
        <is>
          <t>Pneumonia</t>
        </is>
      </c>
      <c r="M215" s="39" t="inlineStr">
        <is>
          <t>Clinic</t>
        </is>
      </c>
      <c r="N215" s="38" t="inlineStr">
        <is>
          <t>ข้อ 43 (Pharmtutor_2024_Set1.md)</t>
        </is>
      </c>
      <c r="O215" s="39" t="n"/>
      <c r="P215" s="39" t="n"/>
    </row>
    <row r="216" ht="13.2" customHeight="1" s="49">
      <c r="A216" s="37" t="n">
        <v>214</v>
      </c>
      <c r="B216" s="38" t="inlineStr">
        <is>
          <t>หากผู้ป่วยมีการติดเชื้อ MRSA ยาชนิดใดเหมาะสมมากที่สุด</t>
        </is>
      </c>
      <c r="C216" s="38" t="n"/>
      <c r="D216" s="38" t="inlineStr">
        <is>
          <t>Ceftazidime</t>
        </is>
      </c>
      <c r="E216" s="38" t="inlineStr">
        <is>
          <t>Meropenem</t>
        </is>
      </c>
      <c r="F216" s="38" t="inlineStr">
        <is>
          <t>Piperacillin-tazobactam</t>
        </is>
      </c>
      <c r="G216" s="38" t="inlineStr">
        <is>
          <t>Vancomycin</t>
        </is>
      </c>
      <c r="H216" s="38" t="inlineStr">
        <is>
          <t>Levofloxacin</t>
        </is>
      </c>
      <c r="I216" s="37" t="inlineStr">
        <is>
          <t>1</t>
        </is>
      </c>
      <c r="J216" s="38"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38" t="n"/>
      <c r="L216" s="39" t="inlineStr">
        <is>
          <t>HIV infection</t>
        </is>
      </c>
      <c r="M216" s="39" t="inlineStr">
        <is>
          <t>Clinic</t>
        </is>
      </c>
      <c r="N216" s="38" t="inlineStr">
        <is>
          <t>ข้อ 44 (Pharmtutor_2024_Set1.md)</t>
        </is>
      </c>
      <c r="O216" s="39" t="n"/>
      <c r="P216" s="39" t="n"/>
    </row>
    <row r="217" ht="13.2" customHeight="1" s="49">
      <c r="A217" s="37" t="n">
        <v>215</v>
      </c>
      <c r="B217" s="38" t="inlineStr">
        <is>
          <t>ข้อใดต่อไปนี้ คือ specific test ของ dosage form ดังกล่าว</t>
        </is>
      </c>
      <c r="C217" s="38" t="n"/>
      <c r="D217" s="38" t="inlineStr">
        <is>
          <t>Minimum fill</t>
        </is>
      </c>
      <c r="E217" s="38" t="inlineStr">
        <is>
          <t>Impurities test</t>
        </is>
      </c>
      <c r="F217" s="38" t="inlineStr">
        <is>
          <t>Sterility tests</t>
        </is>
      </c>
      <c r="G217" s="38" t="inlineStr">
        <is>
          <t>Microbial limit test</t>
        </is>
      </c>
      <c r="H217" s="38" t="inlineStr">
        <is>
          <t>Assay</t>
        </is>
      </c>
      <c r="I217" s="37" t="inlineStr">
        <is>
          <t>1</t>
        </is>
      </c>
      <c r="J217" s="38"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38" t="n"/>
      <c r="L217" s="39" t="inlineStr">
        <is>
          <t>HIV infection</t>
        </is>
      </c>
      <c r="M217" s="39" t="inlineStr">
        <is>
          <t>Clinic</t>
        </is>
      </c>
      <c r="N217" s="38" t="inlineStr">
        <is>
          <t>ข้อ 101 (Pharmtutor_2024_Set1.md)</t>
        </is>
      </c>
      <c r="O217" s="39" t="n"/>
      <c r="P217" s="39" t="n"/>
    </row>
    <row r="218" ht="13.2" customHeight="1" s="49">
      <c r="A218" s="37" t="n">
        <v>216</v>
      </c>
      <c r="B218" s="38"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38" t="n"/>
      <c r="D218" s="38" t="inlineStr">
        <is>
          <t>300/1000</t>
        </is>
      </c>
      <c r="E218" s="38" t="inlineStr">
        <is>
          <t>350/1000</t>
        </is>
      </c>
      <c r="F218" s="38" t="inlineStr">
        <is>
          <t>50/700</t>
        </is>
      </c>
      <c r="G218" s="38" t="inlineStr">
        <is>
          <t>350/700</t>
        </is>
      </c>
      <c r="H218" s="38" t="inlineStr">
        <is>
          <t>50/1000</t>
        </is>
      </c>
      <c r="I218" s="37" t="inlineStr">
        <is>
          <t>1</t>
        </is>
      </c>
      <c r="J218" s="38"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38" t="n"/>
      <c r="L218" s="39" t="inlineStr">
        <is>
          <t>HIV infection</t>
        </is>
      </c>
      <c r="M218" s="39" t="inlineStr">
        <is>
          <t>Clinic</t>
        </is>
      </c>
      <c r="N218" s="38" t="inlineStr">
        <is>
          <t>ข้อ 115 (Pharmtutor_2024_Set1.md)</t>
        </is>
      </c>
      <c r="O218" s="39" t="n"/>
      <c r="P218" s="39" t="n"/>
    </row>
    <row r="219" ht="13.2" customHeight="1" s="49">
      <c r="A219" s="37" t="n">
        <v>217</v>
      </c>
      <c r="B219" s="38" t="inlineStr">
        <is>
          <t>ข้อใดคือ กลไกการออกฤทธิ์ของ Acyclovir</t>
        </is>
      </c>
      <c r="C219" s="38" t="n"/>
      <c r="D219" s="38" t="inlineStr">
        <is>
          <t>ยับยั้ง Viral DNA polymerase</t>
        </is>
      </c>
      <c r="E219" s="38" t="inlineStr">
        <is>
          <t>ยับยั้ง 14-alpha demethylase</t>
        </is>
      </c>
      <c r="F219" s="38" t="inlineStr">
        <is>
          <t>ยับยั้งการสร้าง nucleic acid</t>
        </is>
      </c>
      <c r="G219" s="38" t="inlineStr">
        <is>
          <t>ยับยั้ง DNA gyrase</t>
        </is>
      </c>
      <c r="H219" s="38" t="inlineStr">
        <is>
          <t>ยับยั้ง Nucleoside reverse transcriptase</t>
        </is>
      </c>
      <c r="I219" s="37" t="inlineStr">
        <is>
          <t>1</t>
        </is>
      </c>
      <c r="J219" s="38"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38" t="n"/>
      <c r="L219" s="39" t="inlineStr">
        <is>
          <t>HIV infection</t>
        </is>
      </c>
      <c r="M219" s="39" t="inlineStr">
        <is>
          <t>Clinic</t>
        </is>
      </c>
      <c r="N219" s="38" t="inlineStr">
        <is>
          <t>ข้อ 15 (Pharmtutor_2024_Set2.md)</t>
        </is>
      </c>
      <c r="O219" s="39" t="n"/>
      <c r="P219" s="39" t="n"/>
    </row>
    <row r="220" ht="13.2" customHeight="1" s="49">
      <c r="A220" s="37" t="n">
        <v>218</v>
      </c>
      <c r="B220" s="38"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38" t="n"/>
      <c r="D220" s="38" t="inlineStr">
        <is>
          <t>Tenofovir + Emtricitabine</t>
        </is>
      </c>
      <c r="E220" s="38" t="inlineStr">
        <is>
          <t>Tenofovir + Lamivudine + Dolutegravir</t>
        </is>
      </c>
      <c r="F220" s="38" t="inlineStr">
        <is>
          <t>Tenofovir + Emtricitabine + Zidovudine</t>
        </is>
      </c>
      <c r="G220" s="38" t="inlineStr">
        <is>
          <t>Zidovudine + Lamivudine + Nevirapine</t>
        </is>
      </c>
      <c r="H220" s="38" t="inlineStr">
        <is>
          <t>Abacavir + Lamivudine + Dolutegravir</t>
        </is>
      </c>
      <c r="I220" s="37" t="inlineStr">
        <is>
          <t>1</t>
        </is>
      </c>
      <c r="J220" s="38"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38" t="n"/>
      <c r="L220" s="39" t="inlineStr">
        <is>
          <t>HIV infection</t>
        </is>
      </c>
      <c r="M220" s="39" t="inlineStr">
        <is>
          <t>Clinic</t>
        </is>
      </c>
      <c r="N220" s="38" t="inlineStr">
        <is>
          <t>ข้อ 32 (Pharmtutor_2024_Set2.md)</t>
        </is>
      </c>
      <c r="O220" s="39" t="n"/>
      <c r="P220" s="39" t="n"/>
    </row>
    <row r="221" ht="13.2" customHeight="1" s="49">
      <c r="A221" s="37" t="n">
        <v>219</v>
      </c>
      <c r="B221" s="38" t="inlineStr">
        <is>
          <t>อธิบายความแตกต่างของโรคคอหอยอักเสบ (Pharyngystis) ระหว่างสาเหตุจากการติดเชื้อไวรัสและแบคทีเรีย</t>
        </is>
      </c>
      <c r="C221" s="38" t="n"/>
      <c r="D221" s="38" t="inlineStr">
        <is>
          <t>การติดเชื้อไวรัสส่วนมากมีอาการของไข้แสดงเด่น</t>
        </is>
      </c>
      <c r="E221" s="38" t="inlineStr">
        <is>
          <t>การติดเชื้อไวรัสจะมีอาการรุนแรงจำเป้นต้องใช้ยาในการรักษาผู้ป่วยทุกรายโดยเฉพาะกรณีคนไข้เด็กและผู้สูง อายุ</t>
        </is>
      </c>
      <c r="F221" s="38"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38" t="inlineStr">
        <is>
          <t>การที่ผู้ป่วยมีอาการของจุดหนองบริเวณลำคอ ร่วมกับบวมบริเวณลำคอ ส่วนมากมีสาเหตุมาจากการติดเชื้อแบคทีเรีย</t>
        </is>
      </c>
      <c r="H221" s="38"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37" t="inlineStr">
        <is>
          <t>1</t>
        </is>
      </c>
      <c r="J221" s="38"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38" t="n"/>
      <c r="L221" s="39" t="inlineStr">
        <is>
          <t>HIV infection</t>
        </is>
      </c>
      <c r="M221" s="39" t="inlineStr">
        <is>
          <t>Clinic</t>
        </is>
      </c>
      <c r="N221" s="38" t="inlineStr">
        <is>
          <t>ข้อ 36 (Pharmtutor_2024_Set2.md)</t>
        </is>
      </c>
      <c r="O221" s="39" t="n"/>
      <c r="P221" s="39" t="n"/>
    </row>
    <row r="222" ht="13.2" customHeight="1" s="49">
      <c r="A222" s="37" t="n">
        <v>220</v>
      </c>
      <c r="B222" s="38"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38" t="n"/>
      <c r="D222" s="38" t="inlineStr">
        <is>
          <t>Group A staphylococcus</t>
        </is>
      </c>
      <c r="E222" s="38" t="inlineStr">
        <is>
          <t>Rotavirus</t>
        </is>
      </c>
      <c r="F222" s="38" t="inlineStr">
        <is>
          <t>Ebstein-Barr</t>
        </is>
      </c>
      <c r="G222" s="38" t="inlineStr">
        <is>
          <t>Group A streptococcus</t>
        </is>
      </c>
      <c r="H222" s="38" t="inlineStr">
        <is>
          <t>Gram negative Bacilli</t>
        </is>
      </c>
      <c r="I222" s="37" t="inlineStr">
        <is>
          <t>1</t>
        </is>
      </c>
      <c r="J222" s="38"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38" t="n"/>
      <c r="L222" s="39" t="inlineStr">
        <is>
          <t>HIV infection</t>
        </is>
      </c>
      <c r="M222" s="39" t="inlineStr">
        <is>
          <t>Clinic</t>
        </is>
      </c>
      <c r="N222" s="38" t="inlineStr">
        <is>
          <t>ข้อ 37 (Pharmtutor_2024_Set2.md)</t>
        </is>
      </c>
      <c r="O222" s="39" t="n"/>
      <c r="P222" s="39" t="n"/>
    </row>
    <row r="223" ht="13.2" customHeight="1" s="49">
      <c r="A223" s="37" t="n">
        <v>221</v>
      </c>
      <c r="B223" s="38"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38" t="n"/>
      <c r="D223" s="38" t="inlineStr">
        <is>
          <t>Dolutegravir 50 mg OD</t>
        </is>
      </c>
      <c r="E223" s="38" t="inlineStr">
        <is>
          <t>Vancomycin 1 g IV Q12H</t>
        </is>
      </c>
      <c r="F223" s="38" t="inlineStr">
        <is>
          <t>Meropenem 1 g IV Q8H</t>
        </is>
      </c>
      <c r="G223" s="38" t="inlineStr">
        <is>
          <t>Cefazolin 1 g IV Q8H</t>
        </is>
      </c>
      <c r="H223" s="38" t="inlineStr">
        <is>
          <t>Amoxicillin/Clavulanate 1 g BID</t>
        </is>
      </c>
      <c r="I223" s="37" t="inlineStr">
        <is>
          <t>1</t>
        </is>
      </c>
      <c r="J223" s="38"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38" t="n"/>
      <c r="L223" s="39" t="inlineStr">
        <is>
          <t>Cystitis</t>
        </is>
      </c>
      <c r="M223" s="39" t="inlineStr">
        <is>
          <t>Clinic</t>
        </is>
      </c>
      <c r="N223" s="38" t="inlineStr">
        <is>
          <t>ข้อ 3 (PLE_CC1_2557.md)</t>
        </is>
      </c>
      <c r="O223" s="39" t="n"/>
      <c r="P223" s="39" t="n"/>
    </row>
    <row r="224" ht="13.2" customHeight="1" s="49">
      <c r="A224" s="37" t="n">
        <v>222</v>
      </c>
      <c r="B224" s="38"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38" t="n"/>
      <c r="D224" s="38" t="inlineStr">
        <is>
          <t>Cefazolin 1 g IV Q8H</t>
        </is>
      </c>
      <c r="E224" s="38" t="inlineStr">
        <is>
          <t>Amoxicillin/Clavulanate 1 g BID</t>
        </is>
      </c>
      <c r="F224" s="38" t="inlineStr">
        <is>
          <t>Ceftriaxone 1 g IV OD</t>
        </is>
      </c>
      <c r="G224" s="38" t="inlineStr">
        <is>
          <t>Ciprofloxacin 500 mg BID</t>
        </is>
      </c>
      <c r="H224" s="38" t="inlineStr">
        <is>
          <t>Azithromycin 500 mg OD</t>
        </is>
      </c>
      <c r="I224" s="37" t="inlineStr">
        <is>
          <t>1</t>
        </is>
      </c>
      <c r="J224" s="38"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38" t="n"/>
      <c r="L224" s="39" t="inlineStr">
        <is>
          <t>Pneumonia</t>
        </is>
      </c>
      <c r="M224" s="39" t="inlineStr">
        <is>
          <t>Clinic</t>
        </is>
      </c>
      <c r="N224" s="38" t="inlineStr">
        <is>
          <t>ข้อ 3 (PLE_CC1_2557.md)</t>
        </is>
      </c>
      <c r="O224" s="39" t="n"/>
      <c r="P224" s="39" t="n"/>
    </row>
    <row r="225" ht="13.2" customHeight="1" s="49">
      <c r="A225" s="37" t="n">
        <v>223</v>
      </c>
      <c r="B225" s="38"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38" t="n"/>
      <c r="D225" s="38" t="inlineStr">
        <is>
          <t>Ciprofloxacin 500 mg BID</t>
        </is>
      </c>
      <c r="E225" s="38" t="inlineStr">
        <is>
          <t>Azithromycin 500 mg OD</t>
        </is>
      </c>
      <c r="F225" s="38" t="inlineStr">
        <is>
          <t>Doxycycline 100 mg BID</t>
        </is>
      </c>
      <c r="G225" s="38" t="inlineStr">
        <is>
          <t>Cotrimoxazole 160/800 mg BID</t>
        </is>
      </c>
      <c r="H225" s="38" t="inlineStr">
        <is>
          <t>Metronidazole 400 mg TID</t>
        </is>
      </c>
      <c r="I225" s="37" t="inlineStr">
        <is>
          <t>1</t>
        </is>
      </c>
      <c r="J225"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38" t="n"/>
      <c r="L225" s="39" t="inlineStr">
        <is>
          <t>Pneumonia</t>
        </is>
      </c>
      <c r="M225" s="39" t="inlineStr">
        <is>
          <t>Clinic</t>
        </is>
      </c>
      <c r="N225" s="38" t="inlineStr">
        <is>
          <t>ข้อ 4 (PLE_CC1_2557.md)</t>
        </is>
      </c>
      <c r="O225" s="39" t="n"/>
      <c r="P225" s="39" t="n"/>
    </row>
    <row r="226" ht="13.2" customHeight="1" s="49">
      <c r="A226" s="37" t="n">
        <v>224</v>
      </c>
      <c r="B226" s="38" t="inlineStr">
        <is>
          <t>เป็น isotonic solution</t>
        </is>
      </c>
      <c r="C226" s="38" t="n"/>
      <c r="D226" s="38" t="inlineStr">
        <is>
          <t>Cotrimoxazole 160/800 mg BID</t>
        </is>
      </c>
      <c r="E226" s="38" t="inlineStr">
        <is>
          <t>Metronidazole 400 mg TID</t>
        </is>
      </c>
      <c r="F226" s="38" t="inlineStr">
        <is>
          <t>Nitrofurantoin 100 mg BID</t>
        </is>
      </c>
      <c r="G226" s="38" t="inlineStr">
        <is>
          <t>Tenofovir/Emtricitabine 300/200 mg OD</t>
        </is>
      </c>
      <c r="H226" s="38" t="inlineStr">
        <is>
          <t>Dolutegravir 50 mg OD</t>
        </is>
      </c>
      <c r="I226" s="37" t="inlineStr">
        <is>
          <t>1</t>
        </is>
      </c>
      <c r="J226" s="38"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38" t="n"/>
      <c r="L226" s="39" t="inlineStr">
        <is>
          <t>Cystitis</t>
        </is>
      </c>
      <c r="M226" s="39" t="inlineStr">
        <is>
          <t>Clinic</t>
        </is>
      </c>
      <c r="N226" s="38" t="inlineStr">
        <is>
          <t>ข้อ 4 (PLE_CC1_2556.md)</t>
        </is>
      </c>
      <c r="O226" s="39" t="n"/>
      <c r="P226" s="39" t="n"/>
    </row>
    <row r="227" ht="13.2" customHeight="1" s="49">
      <c r="A227" s="37" t="n">
        <v>225</v>
      </c>
      <c r="B227" s="38" t="inlineStr">
        <is>
          <t>ข้อใดควรแนะนำสำหรับผู้ป่วยรายนี้ (Caseติดเชื้อ tricomonasis)</t>
        </is>
      </c>
      <c r="C227" s="38" t="n"/>
      <c r="D227" s="38" t="inlineStr">
        <is>
          <t>Tenofovir/Emtricitabine 300/200 mg OD</t>
        </is>
      </c>
      <c r="E227" s="38" t="inlineStr">
        <is>
          <t>Dolutegravir 50 mg OD</t>
        </is>
      </c>
      <c r="F227" s="38" t="inlineStr">
        <is>
          <t>Vancomycin 1 g IV Q12H</t>
        </is>
      </c>
      <c r="G227" s="38" t="inlineStr">
        <is>
          <t>Meropenem 1 g IV Q8H</t>
        </is>
      </c>
      <c r="H227" s="38" t="inlineStr">
        <is>
          <t>Cefazolin 1 g IV Q8H</t>
        </is>
      </c>
      <c r="I227" s="37" t="inlineStr">
        <is>
          <t>1</t>
        </is>
      </c>
      <c r="J227" s="38"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38" t="n"/>
      <c r="L227" s="39" t="inlineStr">
        <is>
          <t>HIV infection</t>
        </is>
      </c>
      <c r="M227" s="39" t="inlineStr">
        <is>
          <t>Clinic</t>
        </is>
      </c>
      <c r="N227" s="38" t="inlineStr">
        <is>
          <t>ข้อ 5 (PLE_CC1_2556.md)</t>
        </is>
      </c>
      <c r="O227" s="39" t="n"/>
      <c r="P227" s="39" t="n"/>
    </row>
    <row r="228" ht="13.2" customHeight="1" s="49">
      <c r="A228" s="37" t="n">
        <v>226</v>
      </c>
      <c r="B228" s="38" t="inlineStr">
        <is>
          <t>ติดเชื้อแบคทีเรียในโพรงจมูก</t>
        </is>
      </c>
      <c r="C228" s="38" t="n"/>
      <c r="D228" s="38" t="inlineStr">
        <is>
          <t>Meropenem 1 g IV Q8H</t>
        </is>
      </c>
      <c r="E228" s="38" t="inlineStr">
        <is>
          <t>Cefazolin 1 g IV Q8H</t>
        </is>
      </c>
      <c r="F228" s="38" t="inlineStr">
        <is>
          <t>Amoxicillin/Clavulanate 1 g BID</t>
        </is>
      </c>
      <c r="G228" s="38" t="inlineStr">
        <is>
          <t>Ceftriaxone 1 g IV OD</t>
        </is>
      </c>
      <c r="H228" s="38" t="inlineStr">
        <is>
          <t>Ciprofloxacin 500 mg BID</t>
        </is>
      </c>
      <c r="I228" s="37" t="inlineStr">
        <is>
          <t>1</t>
        </is>
      </c>
      <c r="J228" s="38"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38" t="n"/>
      <c r="L228" s="39" t="inlineStr">
        <is>
          <t>HIV infection</t>
        </is>
      </c>
      <c r="M228" s="39" t="inlineStr">
        <is>
          <t>Clinic</t>
        </is>
      </c>
      <c r="N228" s="38" t="inlineStr">
        <is>
          <t>ข้อ 2 (PLE_CC1_2555 Day 2.md)</t>
        </is>
      </c>
      <c r="O228" s="39" t="n"/>
      <c r="P228" s="39" t="n"/>
    </row>
    <row r="229" ht="13.2" customHeight="1" s="49">
      <c r="A229" s="37" t="n">
        <v>227</v>
      </c>
      <c r="B229" s="38" t="inlineStr">
        <is>
          <t>ติดเชื้อแบคทีเรีย</t>
        </is>
      </c>
      <c r="C229" s="38" t="n"/>
      <c r="D229" s="38" t="inlineStr">
        <is>
          <t>Ceftriaxone 1 g IV OD</t>
        </is>
      </c>
      <c r="E229" s="38" t="inlineStr">
        <is>
          <t>Ciprofloxacin 500 mg BID</t>
        </is>
      </c>
      <c r="F229" s="38" t="inlineStr">
        <is>
          <t>Azithromycin 500 mg OD</t>
        </is>
      </c>
      <c r="G229" s="38" t="inlineStr">
        <is>
          <t>Doxycycline 100 mg BID</t>
        </is>
      </c>
      <c r="H229" s="38" t="inlineStr">
        <is>
          <t>Cotrimoxazole 160/800 mg BID</t>
        </is>
      </c>
      <c r="I229" s="37" t="inlineStr">
        <is>
          <t>1</t>
        </is>
      </c>
      <c r="J229"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38" t="n"/>
      <c r="L229" s="39" t="inlineStr">
        <is>
          <t>HIV infection</t>
        </is>
      </c>
      <c r="M229" s="39" t="inlineStr">
        <is>
          <t>Clinic</t>
        </is>
      </c>
      <c r="N229" s="38" t="inlineStr">
        <is>
          <t>ข้อ 1 (PLE_CC1_2555 Day 2.md)</t>
        </is>
      </c>
      <c r="O229" s="39" t="n"/>
      <c r="P229" s="39" t="n"/>
    </row>
    <row r="230" ht="13.2" customHeight="1" s="49">
      <c r="A230" s="37" t="n">
        <v>228</v>
      </c>
      <c r="B230" s="38" t="inlineStr">
        <is>
          <t>เปลี่ยนจาก amoxicillin เป็น ciprofloxacin</t>
        </is>
      </c>
      <c r="C230" s="38" t="n"/>
      <c r="D230" s="38" t="inlineStr">
        <is>
          <t>Doxycycline 100 mg BID</t>
        </is>
      </c>
      <c r="E230" s="38" t="inlineStr">
        <is>
          <t>Cotrimoxazole 160/800 mg BID</t>
        </is>
      </c>
      <c r="F230" s="38" t="inlineStr">
        <is>
          <t>Metronidazole 400 mg TID</t>
        </is>
      </c>
      <c r="G230" s="38" t="inlineStr">
        <is>
          <t>Nitrofurantoin 100 mg BID</t>
        </is>
      </c>
      <c r="H230" s="38" t="inlineStr">
        <is>
          <t>Tenofovir/Emtricitabine 300/200 mg OD</t>
        </is>
      </c>
      <c r="I230" s="37" t="inlineStr">
        <is>
          <t>1</t>
        </is>
      </c>
      <c r="J230" s="38"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38" t="n"/>
      <c r="L230" s="39" t="inlineStr">
        <is>
          <t>Cystitis</t>
        </is>
      </c>
      <c r="M230" s="39" t="inlineStr">
        <is>
          <t>Clinic</t>
        </is>
      </c>
      <c r="N230" s="38" t="inlineStr">
        <is>
          <t>ข้อ 3 (PLE_CC1_2555 Day 2.md)</t>
        </is>
      </c>
      <c r="O230" s="39" t="n"/>
      <c r="P230" s="39" t="n"/>
    </row>
    <row r="231" ht="13.2" customHeight="1" s="49">
      <c r="A231" s="37" t="n">
        <v>229</v>
      </c>
      <c r="B231" s="38" t="inlineStr">
        <is>
          <t>เปลี่ยนจาก amoxicillin เป็น azithromycin</t>
        </is>
      </c>
      <c r="C231" s="38" t="n"/>
      <c r="D231" s="38" t="inlineStr">
        <is>
          <t>Nitrofurantoin 100 mg BID</t>
        </is>
      </c>
      <c r="E231" s="38" t="inlineStr">
        <is>
          <t>Tenofovir/Emtricitabine 300/200 mg OD</t>
        </is>
      </c>
      <c r="F231" s="38" t="inlineStr">
        <is>
          <t>Dolutegravir 50 mg OD</t>
        </is>
      </c>
      <c r="G231" s="38" t="inlineStr">
        <is>
          <t>Vancomycin 1 g IV Q12H</t>
        </is>
      </c>
      <c r="H231" s="38" t="inlineStr">
        <is>
          <t>Meropenem 1 g IV Q8H</t>
        </is>
      </c>
      <c r="I231" s="37" t="inlineStr">
        <is>
          <t>1</t>
        </is>
      </c>
      <c r="J231" s="38"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38" t="n"/>
      <c r="L231" s="39" t="inlineStr">
        <is>
          <t>Pneumonia</t>
        </is>
      </c>
      <c r="M231" s="39" t="inlineStr">
        <is>
          <t>Clinic</t>
        </is>
      </c>
      <c r="N231" s="38" t="inlineStr">
        <is>
          <t>ข้อ 4 (PLE_CC1_2555 Day 2.md)</t>
        </is>
      </c>
      <c r="O231" s="39" t="n"/>
      <c r="P231" s="39" t="n"/>
    </row>
    <row r="232" ht="13.2" customHeight="1" s="49">
      <c r="A232" s="37" t="n">
        <v>230</v>
      </c>
      <c r="B232" s="38" t="inlineStr">
        <is>
          <t>ลด amoxicillin ลงครึ่งหนึ่ง</t>
        </is>
      </c>
      <c r="C232" s="38" t="n"/>
      <c r="D232" s="38" t="inlineStr">
        <is>
          <t>Vancomycin 1 g IV Q12H</t>
        </is>
      </c>
      <c r="E232" s="38" t="inlineStr">
        <is>
          <t>Meropenem 1 g IV Q8H</t>
        </is>
      </c>
      <c r="F232" s="38" t="inlineStr">
        <is>
          <t>Cefazolin 1 g IV Q8H</t>
        </is>
      </c>
      <c r="G232" s="38" t="inlineStr">
        <is>
          <t>Amoxicillin/Clavulanate 1 g BID</t>
        </is>
      </c>
      <c r="H232" s="38" t="inlineStr">
        <is>
          <t>Ceftriaxone 1 g IV OD</t>
        </is>
      </c>
      <c r="I232" s="37" t="inlineStr">
        <is>
          <t>1</t>
        </is>
      </c>
      <c r="J232"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38" t="n"/>
      <c r="L232" s="39" t="inlineStr">
        <is>
          <t>URTI</t>
        </is>
      </c>
      <c r="M232" s="39" t="inlineStr">
        <is>
          <t>Clinic</t>
        </is>
      </c>
      <c r="N232" s="38" t="inlineStr">
        <is>
          <t>ข้อ 5 (PLE_CC1_2555 Day 2.md)</t>
        </is>
      </c>
      <c r="O232" s="39" t="n"/>
      <c r="P232" s="39" t="n"/>
    </row>
    <row r="233" ht="13.2" customHeight="1" s="49">
      <c r="A233" s="37" t="n">
        <v>231</v>
      </c>
      <c r="B233" s="38" t="inlineStr">
        <is>
          <t>ติดเชื้อแบคทีเรีย แต่ติดเชื้อเพิ่มอีกตัวหนึ่ง</t>
        </is>
      </c>
      <c r="C233" s="38" t="n"/>
      <c r="D233" s="38" t="inlineStr">
        <is>
          <t>Amoxicillin/Clavulanate 1 g BID</t>
        </is>
      </c>
      <c r="E233" s="38" t="inlineStr">
        <is>
          <t>Ceftriaxone 1 g IV OD</t>
        </is>
      </c>
      <c r="F233" s="38" t="inlineStr">
        <is>
          <t>Ciprofloxacin 500 mg BID</t>
        </is>
      </c>
      <c r="G233" s="38" t="inlineStr">
        <is>
          <t>Azithromycin 500 mg OD</t>
        </is>
      </c>
      <c r="H233" s="38" t="inlineStr">
        <is>
          <t>Doxycycline 100 mg BID</t>
        </is>
      </c>
      <c r="I233" s="37" t="inlineStr">
        <is>
          <t>1</t>
        </is>
      </c>
      <c r="J233"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38" t="n"/>
      <c r="L233" s="39" t="inlineStr">
        <is>
          <t>HIV infection</t>
        </is>
      </c>
      <c r="M233" s="39" t="inlineStr">
        <is>
          <t>Clinic</t>
        </is>
      </c>
      <c r="N233" s="38" t="inlineStr">
        <is>
          <t>ข้อ 2 (PLE_CC1_2555 Day 2.md)</t>
        </is>
      </c>
      <c r="O233" s="39" t="n"/>
      <c r="P233" s="39" t="n"/>
    </row>
    <row r="234" ht="13.2" customHeight="1" s="49">
      <c r="A234" s="37" t="n">
        <v>232</v>
      </c>
      <c r="B234" s="38" t="inlineStr">
        <is>
          <t>ติดเชื้อที่หูส่วนกลาง</t>
        </is>
      </c>
      <c r="C234" s="38" t="n"/>
      <c r="D234" s="38" t="inlineStr">
        <is>
          <t>Metronidazole 400 mg TID</t>
        </is>
      </c>
      <c r="E234" s="38" t="inlineStr">
        <is>
          <t>Nitrofurantoin 100 mg BID</t>
        </is>
      </c>
      <c r="F234" s="38" t="inlineStr">
        <is>
          <t>Tenofovir/Emtricitabine 300/200 mg OD</t>
        </is>
      </c>
      <c r="G234" s="38" t="inlineStr">
        <is>
          <t>Dolutegravir 50 mg OD</t>
        </is>
      </c>
      <c r="H234" s="38" t="inlineStr">
        <is>
          <t>Vancomycin 1 g IV Q12H</t>
        </is>
      </c>
      <c r="I234" s="37" t="inlineStr">
        <is>
          <t>1</t>
        </is>
      </c>
      <c r="J234" s="38"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38" t="n"/>
      <c r="L234" s="39" t="inlineStr">
        <is>
          <t>HIV infection</t>
        </is>
      </c>
      <c r="M234" s="39" t="inlineStr">
        <is>
          <t>Clinic</t>
        </is>
      </c>
      <c r="N234" s="38" t="inlineStr">
        <is>
          <t>ข้อ 2 (PLE_CC1_2555 Day 2.md)</t>
        </is>
      </c>
      <c r="O234" s="39" t="n"/>
      <c r="P234" s="39" t="n"/>
    </row>
    <row r="235" ht="13.2" customHeight="1" s="49">
      <c r="A235" s="37" t="n">
        <v>233</v>
      </c>
      <c r="B235" s="38" t="inlineStr">
        <is>
          <t>Burrow solution</t>
        </is>
      </c>
      <c r="C235" s="38" t="n"/>
      <c r="D235" s="38" t="inlineStr">
        <is>
          <t>) .......... ointment</t>
        </is>
      </c>
      <c r="E235" s="38" t="inlineStr">
        <is>
          <t>Vancomycin 1 g IV Q12H</t>
        </is>
      </c>
      <c r="F235" s="38" t="inlineStr">
        <is>
          <t>Meropenem 1 g IV Q8H</t>
        </is>
      </c>
      <c r="G235" s="38" t="inlineStr">
        <is>
          <t>Cefazolin 1 g IV Q8H</t>
        </is>
      </c>
      <c r="H235" s="38" t="inlineStr">
        <is>
          <t>Amoxicillin/Clavulanate 1 g BID</t>
        </is>
      </c>
      <c r="I235" s="37" t="inlineStr">
        <is>
          <t>1</t>
        </is>
      </c>
      <c r="J235" s="38"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38" t="n"/>
      <c r="L235" s="39" t="inlineStr">
        <is>
          <t>Cystitis</t>
        </is>
      </c>
      <c r="M235" s="39" t="inlineStr">
        <is>
          <t>Clinic</t>
        </is>
      </c>
      <c r="N235" s="38" t="inlineStr">
        <is>
          <t>ข้อ 2 (PLE_CC1_2555 Day 2.md)</t>
        </is>
      </c>
      <c r="O235" s="39" t="n"/>
      <c r="P235" s="39" t="n"/>
    </row>
    <row r="236" ht="13.2" customHeight="1" s="49">
      <c r="A236" s="37" t="n">
        <v>234</v>
      </c>
      <c r="B236" s="38"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38" t="n"/>
      <c r="D236" s="38" t="inlineStr">
        <is>
          <t>Cefazolin 1 g IV Q8H</t>
        </is>
      </c>
      <c r="E236" s="38" t="inlineStr">
        <is>
          <t>Amoxicillin/Clavulanate 1 g BID</t>
        </is>
      </c>
      <c r="F236" s="38" t="inlineStr">
        <is>
          <t>Ceftriaxone 1 g IV OD</t>
        </is>
      </c>
      <c r="G236" s="38" t="inlineStr">
        <is>
          <t>Ciprofloxacin 500 mg BID</t>
        </is>
      </c>
      <c r="H236" s="38" t="inlineStr">
        <is>
          <t>Azithromycin 500 mg OD</t>
        </is>
      </c>
      <c r="I236" s="37" t="inlineStr">
        <is>
          <t>1</t>
        </is>
      </c>
      <c r="J236" s="38"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38" t="n"/>
      <c r="L236" s="39" t="inlineStr">
        <is>
          <t>Cystitis</t>
        </is>
      </c>
      <c r="M236" s="39" t="inlineStr">
        <is>
          <t>Clinic</t>
        </is>
      </c>
      <c r="N236" s="38" t="inlineStr">
        <is>
          <t>ข้อ 5 (PLE_CC1_2555 Day 2.md)</t>
        </is>
      </c>
      <c r="O236" s="39" t="n"/>
      <c r="P236" s="39" t="n"/>
    </row>
    <row r="237" ht="13.2" customHeight="1" s="49">
      <c r="A237" s="37" t="n">
        <v>235</v>
      </c>
      <c r="B237" s="38" t="inlineStr">
        <is>
          <t>การจะตรวจว่าผู้ป่วยเป็นวัณโรคต้องตรวจหาเชื้ออะไร</t>
        </is>
      </c>
      <c r="C237" s="38" t="n"/>
      <c r="D237" s="38" t="inlineStr">
        <is>
          <t>Ciprofloxacin 500 mg BID</t>
        </is>
      </c>
      <c r="E237" s="38" t="inlineStr">
        <is>
          <t>Azithromycin 500 mg OD</t>
        </is>
      </c>
      <c r="F237" s="38" t="inlineStr">
        <is>
          <t>Doxycycline 100 mg BID</t>
        </is>
      </c>
      <c r="G237" s="38" t="inlineStr">
        <is>
          <t>Cotrimoxazole 160/800 mg BID</t>
        </is>
      </c>
      <c r="H237" s="38" t="inlineStr">
        <is>
          <t>Metronidazole 400 mg TID</t>
        </is>
      </c>
      <c r="I237" s="37" t="inlineStr">
        <is>
          <t>1</t>
        </is>
      </c>
      <c r="J237" s="38"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38" t="n"/>
      <c r="L237" s="39" t="inlineStr">
        <is>
          <t>Tuberculosis</t>
        </is>
      </c>
      <c r="M237" s="39" t="inlineStr">
        <is>
          <t>Clinic</t>
        </is>
      </c>
      <c r="N237" s="38" t="inlineStr">
        <is>
          <t>ข้อ 1 (PLE_CC1_2555 Day 2.md)</t>
        </is>
      </c>
      <c r="O237" s="39" t="n"/>
      <c r="P237" s="39" t="n"/>
    </row>
    <row r="238" ht="13.2" customHeight="1" s="49">
      <c r="A238" s="37" t="n">
        <v>236</v>
      </c>
      <c r="B238" s="38" t="inlineStr">
        <is>
          <t>ติดเชื้อ HIV แต่ไม่ใช่ผู้ป่วยเอดส์</t>
        </is>
      </c>
      <c r="C238" s="38" t="n"/>
      <c r="D238" s="38" t="inlineStr">
        <is>
          <t>Cotrimoxazole 160/800 mg BID</t>
        </is>
      </c>
      <c r="E238" s="38" t="inlineStr">
        <is>
          <t>Metronidazole 400 mg TID</t>
        </is>
      </c>
      <c r="F238" s="38" t="inlineStr">
        <is>
          <t>Nitrofurantoin 100 mg BID</t>
        </is>
      </c>
      <c r="G238" s="38" t="inlineStr">
        <is>
          <t>Tenofovir/Emtricitabine 300/200 mg OD</t>
        </is>
      </c>
      <c r="H238" s="38" t="inlineStr">
        <is>
          <t>Dolutegravir 50 mg OD</t>
        </is>
      </c>
      <c r="I238" s="37" t="inlineStr">
        <is>
          <t>1</t>
        </is>
      </c>
      <c r="J238" s="38"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38" t="n"/>
      <c r="L238" s="39" t="inlineStr">
        <is>
          <t>HIV infection</t>
        </is>
      </c>
      <c r="M238" s="39" t="inlineStr">
        <is>
          <t>Clinic</t>
        </is>
      </c>
      <c r="N238" s="38" t="inlineStr">
        <is>
          <t>ข้อ 1 (PLE_CC1_2555 Day 2.md)</t>
        </is>
      </c>
      <c r="O238" s="39" t="n"/>
      <c r="P238" s="39" t="n"/>
    </row>
    <row r="239" ht="13.2" customHeight="1" s="49">
      <c r="A239" s="37" t="n">
        <v>237</v>
      </c>
      <c r="B239" s="38" t="inlineStr">
        <is>
          <t>ติดเชื้อวัณโรคแต่ไม่เป็นเอดส์</t>
        </is>
      </c>
      <c r="C239" s="38" t="n"/>
      <c r="D239" s="38" t="inlineStr">
        <is>
          <t>Tenofovir/Emtricitabine 300/200 mg OD</t>
        </is>
      </c>
      <c r="E239" s="38" t="inlineStr">
        <is>
          <t>Dolutegravir 50 mg OD</t>
        </is>
      </c>
      <c r="F239" s="38" t="inlineStr">
        <is>
          <t>Vancomycin 1 g IV Q12H</t>
        </is>
      </c>
      <c r="G239" s="38" t="inlineStr">
        <is>
          <t>Meropenem 1 g IV Q8H</t>
        </is>
      </c>
      <c r="H239" s="38" t="inlineStr">
        <is>
          <t>Cefazolin 1 g IV Q8H</t>
        </is>
      </c>
      <c r="I239" s="37" t="inlineStr">
        <is>
          <t>1</t>
        </is>
      </c>
      <c r="J239" s="38"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38" t="n"/>
      <c r="L239" s="39" t="inlineStr">
        <is>
          <t>Tuberculosis</t>
        </is>
      </c>
      <c r="M239" s="39" t="inlineStr">
        <is>
          <t>Clinic</t>
        </is>
      </c>
      <c r="N239" s="38" t="inlineStr">
        <is>
          <t>ข้อ 2 (PLE_CC1_2555 Day 2.md)</t>
        </is>
      </c>
      <c r="O239" s="39" t="n"/>
      <c r="P239" s="39" t="n"/>
    </row>
    <row r="240" ht="13.2" customHeight="1" s="49">
      <c r="A240" s="37" t="n">
        <v>238</v>
      </c>
      <c r="B240" s="38" t="inlineStr">
        <is>
          <t>เลือกสูตร GPO-vir หลังรักษา TB 2-4 สัปดาห์</t>
        </is>
      </c>
      <c r="C240" s="38" t="n"/>
      <c r="D240" s="38" t="inlineStr">
        <is>
          <t>Meropenem 1 g IV Q8H</t>
        </is>
      </c>
      <c r="E240" s="38" t="inlineStr">
        <is>
          <t>Cefazolin 1 g IV Q8H</t>
        </is>
      </c>
      <c r="F240" s="38" t="inlineStr">
        <is>
          <t>Amoxicillin/Clavulanate 1 g BID</t>
        </is>
      </c>
      <c r="G240" s="38" t="inlineStr">
        <is>
          <t>Ceftriaxone 1 g IV OD</t>
        </is>
      </c>
      <c r="H240" s="38" t="inlineStr">
        <is>
          <t>Ciprofloxacin 500 mg BID</t>
        </is>
      </c>
      <c r="I240" s="37" t="inlineStr">
        <is>
          <t>1</t>
        </is>
      </c>
      <c r="J240" s="38"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38" t="n"/>
      <c r="L240" s="39" t="inlineStr">
        <is>
          <t>Tuberculosis</t>
        </is>
      </c>
      <c r="M240" s="39" t="inlineStr">
        <is>
          <t>Clinic</t>
        </is>
      </c>
      <c r="N240" s="38" t="inlineStr">
        <is>
          <t>ข้อ 1 (PLE_CC1_2555 Day 2.md)</t>
        </is>
      </c>
      <c r="O240" s="39" t="n"/>
      <c r="P240" s="39" t="n"/>
    </row>
    <row r="241" ht="13.2" customHeight="1" s="49">
      <c r="A241" s="37" t="n">
        <v>239</v>
      </c>
      <c r="B241" s="38" t="inlineStr">
        <is>
          <t>เปลี่ยนเป็น Efavirenz เพื่อป้องกันการเกิดอันตรกิริยากับยา Rifampin</t>
        </is>
      </c>
      <c r="C241" s="38" t="n"/>
      <c r="D241" s="38" t="inlineStr">
        <is>
          <t>Ceftriaxone 1 g IV OD</t>
        </is>
      </c>
      <c r="E241" s="38" t="inlineStr">
        <is>
          <t>Ciprofloxacin 500 mg BID</t>
        </is>
      </c>
      <c r="F241" s="38" t="inlineStr">
        <is>
          <t>Azithromycin 500 mg OD</t>
        </is>
      </c>
      <c r="G241" s="38" t="inlineStr">
        <is>
          <t>Doxycycline 100 mg BID</t>
        </is>
      </c>
      <c r="H241" s="38" t="inlineStr">
        <is>
          <t>Cotrimoxazole 160/800 mg BID</t>
        </is>
      </c>
      <c r="I241" s="37" t="inlineStr">
        <is>
          <t>1</t>
        </is>
      </c>
      <c r="J241"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38" t="n"/>
      <c r="L241" s="39" t="inlineStr">
        <is>
          <t>HIV infection</t>
        </is>
      </c>
      <c r="M241" s="39" t="inlineStr">
        <is>
          <t>Clinic</t>
        </is>
      </c>
      <c r="N241" s="38" t="inlineStr">
        <is>
          <t>ข้อ 4 (PLE_CC1_2555 Day 2.md)</t>
        </is>
      </c>
      <c r="O241" s="39" t="n"/>
      <c r="P241" s="39" t="n"/>
    </row>
    <row r="242" ht="13.2" customHeight="1" s="49">
      <c r="A242" s="37" t="n">
        <v>240</v>
      </c>
      <c r="B242" s="38" t="inlineStr">
        <is>
          <t>KI+I2 เป็นการเตรียมยาโดยใช้เทคนิคพิเศษที่เรียกว่าอะไร</t>
        </is>
      </c>
      <c r="C242" s="38" t="n"/>
      <c r="D242" s="38" t="inlineStr">
        <is>
          <t>complexation</t>
        </is>
      </c>
      <c r="E242" s="38" t="inlineStr">
        <is>
          <t>trituration</t>
        </is>
      </c>
      <c r="F242" s="38" t="inlineStr">
        <is>
          <t>emulsification</t>
        </is>
      </c>
      <c r="G242" s="38" t="inlineStr">
        <is>
          <t>suspension</t>
        </is>
      </c>
      <c r="H242" s="38" t="inlineStr">
        <is>
          <t>levigation 39.การทำ KI+I2 ควรเตรียมโดยข้อใด</t>
        </is>
      </c>
      <c r="I242" s="37" t="inlineStr">
        <is>
          <t>1</t>
        </is>
      </c>
      <c r="J242" s="38"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คือการบดลดขนาดอนุภาคของแข็งให้ละเอียดโดยใช้โกร่งและสาก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38" t="n"/>
      <c r="L242" s="39" t="inlineStr">
        <is>
          <t>HIV infection</t>
        </is>
      </c>
      <c r="M242" s="39" t="inlineStr">
        <is>
          <t>Clinic</t>
        </is>
      </c>
      <c r="N242" s="38" t="inlineStr">
        <is>
          <t>ข้อ 38 (PLE_CC1_2554 SET1.md)</t>
        </is>
      </c>
      <c r="O242" s="39" t="n"/>
      <c r="P242" s="39" t="n"/>
    </row>
    <row r="243" ht="13.2" customHeight="1" s="49">
      <c r="A243" s="37" t="n">
        <v>241</v>
      </c>
      <c r="B243" s="38" t="inlineStr">
        <is>
          <t>ผลข้างเคียงจากการใช้ยา acyclovir</t>
        </is>
      </c>
      <c r="C243" s="38" t="n"/>
      <c r="D243" s="38" t="inlineStr">
        <is>
          <t>ปวดเมื่อย</t>
        </is>
      </c>
      <c r="E243" s="38" t="inlineStr">
        <is>
          <t>ตาพร่า</t>
        </is>
      </c>
      <c r="F243" s="38" t="inlineStr">
        <is>
          <t>คลื่นไส้ อาเจียน</t>
        </is>
      </c>
      <c r="G243" s="38" t="inlineStr">
        <is>
          <t>หยุดหายใจ อ้างอิง: www.drugs.com</t>
        </is>
      </c>
      <c r="H243" s="38" t="inlineStr">
        <is>
          <t>Meropenem 1 g IV Q8H</t>
        </is>
      </c>
      <c r="I243" s="37" t="inlineStr">
        <is>
          <t>3</t>
        </is>
      </c>
      <c r="J243" s="38"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38" t="n"/>
      <c r="L243" s="39" t="inlineStr">
        <is>
          <t>HIV infection</t>
        </is>
      </c>
      <c r="M243" s="39" t="inlineStr">
        <is>
          <t>Clinic</t>
        </is>
      </c>
      <c r="N243" s="38" t="inlineStr">
        <is>
          <t>ข้อ 6 (PLE_CC1_2554 SET2.md)</t>
        </is>
      </c>
      <c r="O243" s="39" t="n"/>
      <c r="P243" s="39" t="n"/>
    </row>
    <row r="244" ht="13.2" customHeight="1" s="49">
      <c r="A244" s="37" t="n">
        <v>242</v>
      </c>
      <c r="B244" s="38"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38" t="n"/>
      <c r="D244" s="38" t="inlineStr">
        <is>
          <t>Vancomycin 1 g IV Q12H</t>
        </is>
      </c>
      <c r="E244" s="38" t="inlineStr">
        <is>
          <t>Meropenem 1 g IV Q8H</t>
        </is>
      </c>
      <c r="F244" s="38" t="inlineStr">
        <is>
          <t>Cefazolin 1 g IV Q8H</t>
        </is>
      </c>
      <c r="G244" s="38" t="inlineStr">
        <is>
          <t>Amoxicillin/Clavulanate 1 g BID</t>
        </is>
      </c>
      <c r="H244" s="38" t="inlineStr">
        <is>
          <t>Ceftriaxone 1 g IV OD</t>
        </is>
      </c>
      <c r="I244" s="37" t="inlineStr">
        <is>
          <t>1</t>
        </is>
      </c>
      <c r="J244" s="38"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38" t="n"/>
      <c r="L244" s="39" t="inlineStr">
        <is>
          <t>Cystitis</t>
        </is>
      </c>
      <c r="M244" s="39" t="inlineStr">
        <is>
          <t>Clinic</t>
        </is>
      </c>
      <c r="N244" s="38" t="inlineStr">
        <is>
          <t>ข้อ 1 (PLE_CC1_2554 SET2.md)</t>
        </is>
      </c>
      <c r="O244" s="39" t="n"/>
      <c r="P244" s="39" t="n"/>
    </row>
    <row r="245" ht="13.2" customHeight="1" s="49">
      <c r="A245" s="37" t="n">
        <v>243</v>
      </c>
      <c r="B245" s="38" t="inlineStr">
        <is>
          <t>ท่านควรจ่ายปฏิชีวนะใด แก่ผู้ป่วยรายนี้ เพื่อป้องกันการติดเชื้อข้างต้น ก . ketoconazole</t>
        </is>
      </c>
      <c r="C245" s="38" t="n"/>
      <c r="D245" s="38" t="inlineStr">
        <is>
          <t>imipenam ค . tetracycline</t>
        </is>
      </c>
      <c r="E245" s="38" t="inlineStr">
        <is>
          <t>amoxicillin</t>
        </is>
      </c>
      <c r="F245" s="38" t="inlineStr">
        <is>
          <t>cloxacillin carbapenem (MSSA) โดย cloxacillin มีประสิทธิภาพดีที่สุดใน ,cephalosporin ส่วน ketoconazole เป็นยารักษาเชื้อรา (Survival Guide on Pharmacotherapy Vol. 1)</t>
        </is>
      </c>
      <c r="G245" s="38" t="inlineStr">
        <is>
          <t>Azithromycin 500 mg OD</t>
        </is>
      </c>
      <c r="H245" s="38" t="inlineStr">
        <is>
          <t>Doxycycline 100 mg BID</t>
        </is>
      </c>
      <c r="I245" s="37" t="inlineStr">
        <is>
          <t>5</t>
        </is>
      </c>
      <c r="J245" s="38"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38" t="n"/>
      <c r="L245" s="39" t="inlineStr">
        <is>
          <t>HIV infection</t>
        </is>
      </c>
      <c r="M245" s="39" t="inlineStr">
        <is>
          <t>Clinic</t>
        </is>
      </c>
      <c r="N245" s="38" t="inlineStr">
        <is>
          <t>ข้อ 24 (PLE_CC1_2554 SET2.md)</t>
        </is>
      </c>
      <c r="O245" s="39" t="n"/>
      <c r="P245" s="39" t="n"/>
    </row>
    <row r="246" ht="13.2" customHeight="1" s="49">
      <c r="A246" s="37" t="n">
        <v>244</v>
      </c>
      <c r="B246" s="38" t="inlineStr">
        <is>
          <t>ข้อใดถูกต้องเกี่ยวกับกลไกของยา acyclovir</t>
        </is>
      </c>
      <c r="C246" s="38" t="n"/>
      <c r="D246" s="38" t="inlineStr">
        <is>
          <t>ยับยั้ง RNA polymerase</t>
        </is>
      </c>
      <c r="E246" s="38" t="inlineStr">
        <is>
          <t>เปลี่ยนเป็น triphosphate เท่านั้น จึงจะออกฤทธิ์</t>
        </is>
      </c>
      <c r="F246" s="38" t="inlineStr">
        <is>
          <t>เป็น product เมื่อเข้าสู่ร่างกายจะกลายเป็น valacyclovir</t>
        </is>
      </c>
      <c r="G246" s="38" t="inlineStr">
        <is>
          <t>มีเฉพาะรูปแบบยารับประทานเท่านั้น</t>
        </is>
      </c>
      <c r="H246" s="38" t="inlineStr">
        <is>
          <t>ยับยั้ง Viral DNA polymerase</t>
        </is>
      </c>
      <c r="I246" s="37" t="inlineStr">
        <is>
          <t>2</t>
        </is>
      </c>
      <c r="J246" s="38"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38" t="n"/>
      <c r="L246" s="39" t="inlineStr">
        <is>
          <t>HIV infection</t>
        </is>
      </c>
      <c r="M246" s="39" t="inlineStr">
        <is>
          <t>Clinic</t>
        </is>
      </c>
      <c r="N246" s="38" t="inlineStr">
        <is>
          <t>ข้อ 4 (PLE_CC1_2554 SET2.md)</t>
        </is>
      </c>
      <c r="O246" s="39" t="n"/>
      <c r="P246" s="39" t="n"/>
    </row>
    <row r="247" ht="13.2" customHeight="1" s="49">
      <c r="A247" s="37" t="n">
        <v>245</v>
      </c>
      <c r="B247" s="38" t="inlineStr">
        <is>
          <t>renal insufficiency Precautions</t>
        </is>
      </c>
      <c r="C247" s="38" t="n"/>
      <c r="D247" s="38" t="inlineStr">
        <is>
          <t>Metronidazole 400 mg TID</t>
        </is>
      </c>
      <c r="E247" s="38" t="inlineStr">
        <is>
          <t>Nitrofurantoin 100 mg BID</t>
        </is>
      </c>
      <c r="F247" s="38" t="inlineStr">
        <is>
          <t>Tenofovir/Emtricitabine 300/200 mg OD</t>
        </is>
      </c>
      <c r="G247" s="38" t="inlineStr">
        <is>
          <t>Dolutegravir 50 mg OD</t>
        </is>
      </c>
      <c r="H247" s="38" t="inlineStr">
        <is>
          <t>Vancomycin 1 g IV Q12H</t>
        </is>
      </c>
      <c r="I247" s="37" t="inlineStr">
        <is>
          <t>1</t>
        </is>
      </c>
      <c r="J247" s="38"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38" t="n"/>
      <c r="L247" s="39" t="inlineStr">
        <is>
          <t>Cystitis</t>
        </is>
      </c>
      <c r="M247" s="39" t="inlineStr">
        <is>
          <t>Clinic</t>
        </is>
      </c>
      <c r="N247" s="38" t="inlineStr">
        <is>
          <t>ข้อ 2 (PLE_CC1_2533.md)</t>
        </is>
      </c>
      <c r="O247" s="39" t="n"/>
      <c r="P247" s="39" t="n"/>
    </row>
    <row r="248" ht="13.2" customHeight="1" s="49">
      <c r="A248" s="37" t="n">
        <v>246</v>
      </c>
      <c r="B248" s="38"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38" t="n"/>
      <c r="D248" s="38" t="inlineStr">
        <is>
          <t>Dolutegravir 50 mg OD</t>
        </is>
      </c>
      <c r="E248" s="38" t="inlineStr">
        <is>
          <t>Vancomycin 1 g IV Q12H</t>
        </is>
      </c>
      <c r="F248" s="38" t="inlineStr">
        <is>
          <t>Meropenem 1 g IV Q8H</t>
        </is>
      </c>
      <c r="G248" s="38" t="inlineStr">
        <is>
          <t>Cefazolin 1 g IV Q8H</t>
        </is>
      </c>
      <c r="H248" s="38" t="inlineStr">
        <is>
          <t>Amoxicillin/Clavulanate 1 g BID</t>
        </is>
      </c>
      <c r="I248" s="37" t="inlineStr">
        <is>
          <t>1</t>
        </is>
      </c>
      <c r="J248"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38" t="n"/>
      <c r="L248" s="39" t="inlineStr">
        <is>
          <t>HIV infection</t>
        </is>
      </c>
      <c r="M248" s="39" t="inlineStr">
        <is>
          <t>Clinic</t>
        </is>
      </c>
      <c r="N248" s="38" t="inlineStr">
        <is>
          <t>ข้อ 8 (PLE_CC1_2533.md)</t>
        </is>
      </c>
      <c r="O248" s="39" t="n"/>
      <c r="P248" s="39" t="n"/>
    </row>
    <row r="249" ht="13.2" customHeight="1" s="49">
      <c r="A249" s="37" t="n">
        <v>247</v>
      </c>
      <c r="B249" s="38" t="inlineStr">
        <is>
          <t>โรคติดเชื้อ 65 81</t>
        </is>
      </c>
      <c r="C249" s="38" t="n"/>
      <c r="D249" s="38" t="inlineStr">
        <is>
          <t>Cefazolin 1 g IV Q8H</t>
        </is>
      </c>
      <c r="E249" s="38" t="inlineStr">
        <is>
          <t>Amoxicillin/Clavulanate 1 g BID</t>
        </is>
      </c>
      <c r="F249" s="38" t="inlineStr">
        <is>
          <t>Ceftriaxone 1 g IV OD</t>
        </is>
      </c>
      <c r="G249" s="38" t="inlineStr">
        <is>
          <t>Ciprofloxacin 500 mg BID</t>
        </is>
      </c>
      <c r="H249" s="38" t="inlineStr">
        <is>
          <t>Azithromycin 500 mg OD</t>
        </is>
      </c>
      <c r="I249" s="37" t="inlineStr">
        <is>
          <t>3</t>
        </is>
      </c>
      <c r="J249" s="38"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38" t="n"/>
      <c r="L249" s="39" t="inlineStr">
        <is>
          <t>HIV infection</t>
        </is>
      </c>
      <c r="M249" s="39" t="inlineStr">
        <is>
          <t>Clinic</t>
        </is>
      </c>
      <c r="N249" s="38" t="inlineStr">
        <is>
          <t>ข้อ 4 (PLE_CC1_Practice_Exam.md)</t>
        </is>
      </c>
      <c r="O249" s="39" t="n"/>
      <c r="P249" s="39" t="n"/>
    </row>
    <row r="250" ht="13.2" customHeight="1" s="49">
      <c r="A250" s="37" t="n">
        <v>248</v>
      </c>
      <c r="B250" s="38" t="inlineStr">
        <is>
          <t>โรคติดเชื้อ โดย ฝ่ายวิชาการ สโมสรนิสิตเภสัชศาสตร์ จุฬาลงกรณ์</t>
        </is>
      </c>
      <c r="C250" s="38" t="n"/>
      <c r="D250" s="38" t="inlineStr">
        <is>
          <t>Ciprofloxacin 500 mg BID</t>
        </is>
      </c>
      <c r="E250" s="38" t="inlineStr">
        <is>
          <t>Azithromycin 500 mg OD</t>
        </is>
      </c>
      <c r="F250" s="38" t="inlineStr">
        <is>
          <t>Doxycycline 100 mg BID</t>
        </is>
      </c>
      <c r="G250" s="38" t="inlineStr">
        <is>
          <t>Cotrimoxazole 160/800 mg BID</t>
        </is>
      </c>
      <c r="H250" s="38" t="inlineStr">
        <is>
          <t>Metronidazole 400 mg TID</t>
        </is>
      </c>
      <c r="I250" s="37" t="inlineStr">
        <is>
          <t>1</t>
        </is>
      </c>
      <c r="J250" s="38"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38" t="n"/>
      <c r="L250" s="39" t="inlineStr">
        <is>
          <t>HIV infection</t>
        </is>
      </c>
      <c r="M250" s="39" t="inlineStr">
        <is>
          <t>Clinic</t>
        </is>
      </c>
      <c r="N250" s="38" t="inlineStr">
        <is>
          <t>ข้อ 4 (PLE_CC1_Practice_Exam.md)</t>
        </is>
      </c>
      <c r="O250" s="39" t="n"/>
      <c r="P250" s="39" t="n"/>
    </row>
    <row r="251" ht="13.2" customHeight="1" s="49">
      <c r="A251" s="37" t="n">
        <v>249</v>
      </c>
      <c r="B251" s="38" t="inlineStr">
        <is>
          <t>ผู้ป่วยควรได้รับการรักษาด้วยยาต้านเชื้อวัณโรคสูตรใด</t>
        </is>
      </c>
      <c r="C251" s="38" t="n"/>
      <c r="D251" s="38" t="inlineStr">
        <is>
          <t>4HRZE/2HR</t>
        </is>
      </c>
      <c r="E251" s="38" t="inlineStr">
        <is>
          <t>2HRZES/1HRZE/5HRE</t>
        </is>
      </c>
      <c r="F251" s="38" t="inlineStr">
        <is>
          <t>2HRZE/4HR</t>
        </is>
      </c>
      <c r="G251" s="38" t="inlineStr">
        <is>
          <t>2RZE/10RE</t>
        </is>
      </c>
      <c r="H251" s="38" t="inlineStr">
        <is>
          <t>2SHE/16HE</t>
        </is>
      </c>
      <c r="I251" s="37" t="inlineStr">
        <is>
          <t>1</t>
        </is>
      </c>
      <c r="J251" s="38"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38" t="n"/>
      <c r="L251" s="39" t="inlineStr">
        <is>
          <t>Tuberculosis</t>
        </is>
      </c>
      <c r="M251" s="39" t="inlineStr">
        <is>
          <t>Clinic</t>
        </is>
      </c>
      <c r="N251" s="38" t="inlineStr">
        <is>
          <t>ข้อ 1 (PLE_CC1_Practice_Exam.md)</t>
        </is>
      </c>
      <c r="O251" s="39" t="n"/>
      <c r="P251" s="39" t="n"/>
    </row>
    <row r="252" ht="13.2" customHeight="1" s="49">
      <c r="A252" s="37" t="n">
        <v>250</v>
      </c>
      <c r="B252" s="38" t="inlineStr">
        <is>
          <t>ข้อใดต่อไปนี้กล่าวผิดเกี่ยวกับยา Isoniazid</t>
        </is>
      </c>
      <c r="C252" s="38" t="n"/>
      <c r="D252" s="38" t="inlineStr">
        <is>
          <t>ยาออกฤทธิ์ต้านเชื้อวัณโรคโดยยับยั้งการสร้าง DNA ของเชื้อวัณโรค</t>
        </is>
      </c>
      <c r="E252" s="38" t="inlineStr">
        <is>
          <t>ในผู้ป่วยรายนี้สามารถได้รับยา Isoniazid ในขนาด 300 mg ต่อวันได้</t>
        </is>
      </c>
      <c r="F252" s="38" t="inlineStr">
        <is>
          <t>ยาลดกรดสามารถลดประสิทธิภาพของยา Isoniazid</t>
        </is>
      </c>
      <c r="G252" s="38" t="inlineStr">
        <is>
          <t>ผู้ป่วยทุกรายที่ได้รับยา Isoniazid ควรต้องได้รับ Pyridoxine</t>
        </is>
      </c>
      <c r="H252" s="38" t="inlineStr">
        <is>
          <t>อาการไม่พึงประสงค์ที่พบได้ คือ เอนไซม์ตับเพิ่มขึ้น 65 โรคติดเชื้อ ฝ่ายวิชาการ สโมสรนิสิตเภสัชศาสตร์ จุฬาลงกรณ์</t>
        </is>
      </c>
      <c r="I252" s="37" t="inlineStr">
        <is>
          <t>1</t>
        </is>
      </c>
      <c r="J252" s="38"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t>
        </is>
      </c>
      <c r="K252" s="38" t="n"/>
      <c r="L252" s="39" t="inlineStr">
        <is>
          <t>Tuberculosis</t>
        </is>
      </c>
      <c r="M252" s="39" t="inlineStr">
        <is>
          <t>Clinic</t>
        </is>
      </c>
      <c r="N252" s="38" t="inlineStr">
        <is>
          <t>ข้อ 2 (PLE_CC1_Practice_Exam.md)</t>
        </is>
      </c>
      <c r="O252" s="39" t="n"/>
      <c r="P252" s="39" t="n"/>
    </row>
    <row r="253" ht="13.2" customHeight="1" s="49">
      <c r="A253" s="37" t="n">
        <v>251</v>
      </c>
      <c r="B253" s="38"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38" t="n"/>
      <c r="D253" s="38" t="inlineStr">
        <is>
          <t>การให้แบบ bolus injection อาจทำให้เกิด cardiotoxic effects เช่น หัวใจหยุดเต้นได้</t>
        </is>
      </c>
      <c r="E253" s="38" t="inlineStr">
        <is>
          <t>การให้แบบ bolus injection ทำให้ยาอยู่ในกระแสเลือดไม่นานพอที่จะฆ่าเชื้อได้หมด</t>
        </is>
      </c>
      <c r="F253" s="38" t="inlineStr">
        <is>
          <t>การให้แบบ bolus injection ทำให้ยามีค่าครึ่งชีวิตสั้นลง 74 โรคติดเชื้อ ฝ่ายวิชาการ สโมสรนิสิตเภสัชศาสตร์ จุฬาลงกรณ์</t>
        </is>
      </c>
      <c r="G253" s="38" t="inlineStr">
        <is>
          <t>การให้แบบ bolus injection ทำให้เกิดผลข้างเคียงจากยาโดยทั่วไปลดลง แต่ผลข้างเคียงถึงแก่ชีวิตเพิ่ม มากขึ้นอย่างมาก</t>
        </is>
      </c>
      <c r="H253" s="38" t="inlineStr">
        <is>
          <t>ตำรับของตัวยาอยู่ในรูป emulsion แบบ w/o ไม่สามารถให้แบบ IV ได้</t>
        </is>
      </c>
      <c r="I253" s="37" t="inlineStr">
        <is>
          <t>1</t>
        </is>
      </c>
      <c r="J253" s="38"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t>
        </is>
      </c>
      <c r="K253" s="38" t="n"/>
      <c r="L253" s="39" t="inlineStr">
        <is>
          <t>HIV infection</t>
        </is>
      </c>
      <c r="M253" s="39" t="inlineStr">
        <is>
          <t>Clinic</t>
        </is>
      </c>
      <c r="N253" s="38" t="inlineStr">
        <is>
          <t>ข้อ 33 (PLE_CC1_Practice_Exam.md)</t>
        </is>
      </c>
      <c r="O253" s="39" t="n"/>
      <c r="P253" s="39" t="n"/>
    </row>
    <row r="254" ht="13.2" customHeight="1" s="49">
      <c r="A254" s="37" t="n">
        <v>252</v>
      </c>
      <c r="B254" s="38" t="inlineStr">
        <is>
          <t>ตัวยา Metronidazole สามารถใช้รักษาการติดเชื้อของสิ่งมีชีวิตกลุ่มใดได้บ้าง</t>
        </is>
      </c>
      <c r="C254" s="38" t="n"/>
      <c r="D254" s="38" t="inlineStr">
        <is>
          <t>Virus</t>
        </is>
      </c>
      <c r="E254" s="38" t="inlineStr">
        <is>
          <t>Protozoa</t>
        </is>
      </c>
      <c r="F254" s="38" t="inlineStr">
        <is>
          <t>Aerobic bacteria</t>
        </is>
      </c>
      <c r="G254" s="38" t="inlineStr">
        <is>
          <t>Anaerobic bacteria C E A B 77 โรคติดเชื้อ ฝ่ายวิชาการ สโมสรนิสิตเภสัชศาสตร์ จุฬาลงกรณ์</t>
        </is>
      </c>
      <c r="H254" s="38" t="inlineStr">
        <is>
          <t>ถูกต้องทั้งข้อ ข และ ง</t>
        </is>
      </c>
      <c r="I254" s="37" t="inlineStr">
        <is>
          <t>1</t>
        </is>
      </c>
      <c r="J254" s="38"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t>
        </is>
      </c>
      <c r="K254" s="38" t="n"/>
      <c r="L254" s="39" t="inlineStr">
        <is>
          <t>STDs &amp; vaginitis</t>
        </is>
      </c>
      <c r="M254" s="39" t="inlineStr">
        <is>
          <t>Clinic</t>
        </is>
      </c>
      <c r="N254" s="38" t="inlineStr">
        <is>
          <t>ข้อ 44 (PLE_CC1_Practice_Exam.md)</t>
        </is>
      </c>
      <c r="O254" s="39" t="n"/>
      <c r="P254" s="39" t="n"/>
    </row>
    <row r="255" ht="13.2" customHeight="1" s="49">
      <c r="A255" s="37" t="n">
        <v>253</v>
      </c>
      <c r="B255" s="38"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38" t="n"/>
      <c r="D255" s="38" t="inlineStr">
        <is>
          <t>Griseofulvin 134 โรคผิวหนัง ฝ่ายวิชาการ</t>
        </is>
      </c>
      <c r="E255" s="38" t="inlineStr">
        <is>
          <t>Ketoconazole</t>
        </is>
      </c>
      <c r="F255" s="38" t="inlineStr">
        <is>
          <t>Fluconazole</t>
        </is>
      </c>
      <c r="G255" s="38" t="inlineStr">
        <is>
          <t>Itraconazole</t>
        </is>
      </c>
      <c r="H255" s="38" t="inlineStr">
        <is>
          <t>Terbinafine</t>
        </is>
      </c>
      <c r="I255" s="37" t="inlineStr">
        <is>
          <t>1</t>
        </is>
      </c>
      <c r="J255" s="38" t="inlineStr">
        <is>
          <t>✅ คำตอบที่ถูกต้อง: ข้อ ก. Griseofulvin 134 โรคผิวหนัง ฝ่ายวิชาการ</t>
        </is>
      </c>
      <c r="K255" s="38" t="n"/>
      <c r="L255" s="39" t="inlineStr">
        <is>
          <t>HIV infection</t>
        </is>
      </c>
      <c r="M255" s="39" t="inlineStr">
        <is>
          <t>Clinic</t>
        </is>
      </c>
      <c r="N255" s="38" t="inlineStr">
        <is>
          <t>ข้อ 25 (PLE_CC1_Practice_Exam.md)</t>
        </is>
      </c>
      <c r="O255" s="39" t="n"/>
      <c r="P255" s="39" t="n"/>
    </row>
    <row r="256" ht="13.2" customHeight="1" s="49">
      <c r="A256" s="37" t="n">
        <v>254</v>
      </c>
      <c r="B256" s="38"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38" t="n"/>
      <c r="D256" s="38" t="inlineStr">
        <is>
          <t>เกิดจากการติดไวรัส Herpes simplex Type I</t>
        </is>
      </c>
      <c r="E256" s="38" t="inlineStr">
        <is>
          <t>ผู้ป่วยรายนี้จัดเป็น Primary Infection เนื่องจากเป็นการรักษาเริมหลังจากรักษาครั้งแรกหายขาด แล้ว</t>
        </is>
      </c>
      <c r="F256" s="38" t="inlineStr">
        <is>
          <t>เมื่อมีอาการคัน สามารถใช้ยา topical ทาภายใน 48 ชั่วโมง เพื่อลดความรุนแรงของโรค</t>
        </is>
      </c>
      <c r="G256" s="38" t="inlineStr">
        <is>
          <t>การรักษาสำหรับผู้ป่วยรายนี้ สามารถใช้ Valacyclovir 500 mg bid 3 วัน</t>
        </is>
      </c>
      <c r="H256" s="38" t="inlineStr">
        <is>
          <t>การรักษาสำหรับผู้ป่วยรายนี้ สามารถใช้ Valacyclovir 500 mg bid 7 - 10 วัน จากข้อมูลต่อไปนี้ จงตอบคำถามข้อ 34-35</t>
        </is>
      </c>
      <c r="I256" s="37" t="inlineStr">
        <is>
          <t>1</t>
        </is>
      </c>
      <c r="J256" s="38"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38" t="n"/>
      <c r="L256" s="39" t="inlineStr">
        <is>
          <t>HIV infection</t>
        </is>
      </c>
      <c r="M256" s="39" t="inlineStr">
        <is>
          <t>Clinic</t>
        </is>
      </c>
      <c r="N256" s="38" t="inlineStr">
        <is>
          <t>ข้อ 33 (PLE_CC1_Practice_Exam.md)</t>
        </is>
      </c>
      <c r="O256" s="39" t="n"/>
      <c r="P256" s="39" t="n"/>
    </row>
    <row r="257" ht="13.2" customHeight="1" s="49">
      <c r="A257" s="37" t="n">
        <v>255</v>
      </c>
      <c r="B257" s="38" t="inlineStr">
        <is>
          <t>ข้อใดกล่าวผิดเกี่ยวกับโครงสร้างของยา Dicloxacillin และยา Amoxicillin</t>
        </is>
      </c>
      <c r="C257" s="38" t="n"/>
      <c r="D257" s="38" t="inlineStr">
        <is>
          <t>หมายเลข 1 ในโครงสร้างของยา Dicloxacillin และ Amoxicillin มีชื่อว่า Thiazolidine ring</t>
        </is>
      </c>
      <c r="E257" s="38" t="inlineStr">
        <is>
          <t>หมายเลข 3 ในโครงสร้างของยา Dicloxacillin คือ Phenyl-isoxazole ring วางตัวตั้งฉากกับ β- lactam ring ทำให้ทนต่อ β-lactamase enzyme</t>
        </is>
      </c>
      <c r="F257" s="38" t="inlineStr">
        <is>
          <t>หมายเลข 2 ในโครงสร้างของยา Amoxicillin ทำให้ยาทนกรดในกระเพาะอาหารมากขึ้น</t>
        </is>
      </c>
      <c r="G257" s="38" t="inlineStr">
        <is>
          <t>หมายเลข 4 ในโครงสร้างของยา Amoxicillin ทำให้ยา Amoxicillin เป็น para-hydroxy analog ของ Ampicillin</t>
        </is>
      </c>
      <c r="H257" s="38" t="inlineStr">
        <is>
          <t>หมายเลข 4 ในโครงสร้างของยา Amoxicillin ทำให้ยา Amoxicillin ทนต่อ β-lactamase enzyme</t>
        </is>
      </c>
      <c r="I257" s="37" t="inlineStr">
        <is>
          <t>1</t>
        </is>
      </c>
      <c r="J257" s="38" t="inlineStr">
        <is>
          <t>✅ คำตอบที่ถูกต้อง: ข้อ ก. หมายเลข 1 ในโครงสร้างของยา Dicloxacillin และ Amoxicillin มีชื่อว่า Thiazolidine ring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t>
        </is>
      </c>
      <c r="K257" s="38" t="n"/>
      <c r="L257" s="39" t="inlineStr">
        <is>
          <t>URTI</t>
        </is>
      </c>
      <c r="M257" s="39" t="inlineStr">
        <is>
          <t>Clinic</t>
        </is>
      </c>
      <c r="N257" s="38" t="inlineStr">
        <is>
          <t>ข้อ 7 (PLE_CC1_Practice_Exam.md)</t>
        </is>
      </c>
      <c r="O257" s="39" t="n"/>
      <c r="P257" s="39" t="n"/>
    </row>
    <row r="258" ht="13.2" customHeight="1" s="49">
      <c r="A258" s="37" t="n">
        <v>256</v>
      </c>
      <c r="B258" s="38" t="inlineStr">
        <is>
          <t>หากตรวจพบว่าเกิดจากการติดเชื้อ Pseudomonas aeruginosa ยาในข้อใดที่เหมาะสมในการรักษาที่ ครอบคลุมเชื้อมากที่สุด</t>
        </is>
      </c>
      <c r="C258" s="38" t="n"/>
      <c r="D258" s="38" t="inlineStr">
        <is>
          <t>Norfloxacin</t>
        </is>
      </c>
      <c r="E258" s="38" t="inlineStr">
        <is>
          <t>Neomycin</t>
        </is>
      </c>
      <c r="F258" s="38" t="inlineStr">
        <is>
          <t>Polymyxin B</t>
        </is>
      </c>
      <c r="G258" s="38" t="inlineStr">
        <is>
          <t>Vancomycin</t>
        </is>
      </c>
      <c r="H258" s="38" t="inlineStr">
        <is>
          <t>Clarithromycin</t>
        </is>
      </c>
      <c r="I258" s="37" t="inlineStr">
        <is>
          <t>1</t>
        </is>
      </c>
      <c r="J258" s="38"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38" t="n"/>
      <c r="L258" s="39" t="inlineStr">
        <is>
          <t>HIV infection</t>
        </is>
      </c>
      <c r="M258" s="39" t="inlineStr">
        <is>
          <t>Clinic</t>
        </is>
      </c>
      <c r="N258" s="38" t="inlineStr">
        <is>
          <t>ข้อ 20 (PLE_CC1_Practice_Exam.md)</t>
        </is>
      </c>
      <c r="O258" s="39" t="n"/>
      <c r="P258" s="39" t="n"/>
    </row>
    <row r="259" ht="13.2" customHeight="1" s="49">
      <c r="A259" s="37" t="n">
        <v>257</v>
      </c>
      <c r="B259" s="38"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38" t="n"/>
      <c r="D259" s="38" t="inlineStr">
        <is>
          <t>1 คะแนน</t>
        </is>
      </c>
      <c r="E259" s="38" t="inlineStr">
        <is>
          <t>2 คะแนน</t>
        </is>
      </c>
      <c r="F259" s="38" t="inlineStr">
        <is>
          <t>3 คะแนน</t>
        </is>
      </c>
      <c r="G259" s="38" t="inlineStr">
        <is>
          <t>4 คะแนน</t>
        </is>
      </c>
      <c r="H259" s="38" t="inlineStr">
        <is>
          <t>5 คะแนน</t>
        </is>
      </c>
      <c r="I259" s="37" t="inlineStr">
        <is>
          <t>1</t>
        </is>
      </c>
      <c r="J259" s="38"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t>
        </is>
      </c>
      <c r="K259" s="38" t="n"/>
      <c r="L259" s="39" t="inlineStr">
        <is>
          <t>HIV infection</t>
        </is>
      </c>
      <c r="M259" s="39" t="inlineStr">
        <is>
          <t>Clinic</t>
        </is>
      </c>
      <c r="N259" s="38" t="inlineStr">
        <is>
          <t>ข้อ 37 (PLE_CC1_Practice_Exam.md)</t>
        </is>
      </c>
      <c r="O259" s="39" t="n"/>
      <c r="P259" s="39" t="n"/>
    </row>
    <row r="260" ht="13.2" customHeight="1" s="49">
      <c r="A260" s="37" t="n">
        <v>258</v>
      </c>
      <c r="B260" s="38"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t>
        </is>
      </c>
      <c r="C260" s="38" t="n"/>
      <c r="D260" s="38" t="inlineStr">
        <is>
          <t>Maculopapular rash</t>
        </is>
      </c>
      <c r="E260" s="38" t="inlineStr">
        <is>
          <t>Stevens-Johnson syndrome</t>
        </is>
      </c>
      <c r="F260" s="38" t="inlineStr">
        <is>
          <t>Photosensitivity drug eruption</t>
        </is>
      </c>
      <c r="G260" s="38" t="inlineStr">
        <is>
          <t>Urticaria</t>
        </is>
      </c>
      <c r="H260" s="38" t="inlineStr">
        <is>
          <t>Erythema multiforme</t>
        </is>
      </c>
      <c r="I260" s="37" t="inlineStr">
        <is>
          <t>1</t>
        </is>
      </c>
      <c r="J260" s="38"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38" t="n"/>
      <c r="L260" s="39" t="inlineStr">
        <is>
          <t>HIV infection</t>
        </is>
      </c>
      <c r="M260" s="39" t="inlineStr">
        <is>
          <t>Clinic</t>
        </is>
      </c>
      <c r="N260" s="38" t="inlineStr">
        <is>
          <t>ข้อ 34 (PLE_CC1_Practice_Exam.md)</t>
        </is>
      </c>
      <c r="O260" s="39" t="n"/>
      <c r="P260" s="39" t="n"/>
    </row>
    <row r="261" ht="13.2" customHeight="1" s="49">
      <c r="A261" s="37" t="n">
        <v>259</v>
      </c>
      <c r="B261" s="38"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t>
        </is>
      </c>
      <c r="C261" s="38" t="n"/>
      <c r="D261" s="38" t="inlineStr">
        <is>
          <t>Active ingredient</t>
        </is>
      </c>
      <c r="E261" s="38" t="inlineStr">
        <is>
          <t>Flavoring agent</t>
        </is>
      </c>
      <c r="F261" s="38" t="inlineStr">
        <is>
          <t>Stabilizing agent</t>
        </is>
      </c>
      <c r="G261" s="38" t="inlineStr">
        <is>
          <t>Co-solvent</t>
        </is>
      </c>
      <c r="H261" s="38" t="inlineStr">
        <is>
          <t>Solvent - คอลลอยด์</t>
        </is>
      </c>
      <c r="I261" s="37" t="inlineStr">
        <is>
          <t>1</t>
        </is>
      </c>
      <c r="J261" s="38"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38" t="n"/>
      <c r="L261" s="39" t="inlineStr">
        <is>
          <t>HIV infection</t>
        </is>
      </c>
      <c r="M261" s="39" t="inlineStr">
        <is>
          <t>Clinic</t>
        </is>
      </c>
      <c r="N261" s="38" t="inlineStr">
        <is>
          <t>ข้อ 20 (PLE_CC1_Practice_Exam.md)</t>
        </is>
      </c>
      <c r="O261" s="39" t="n"/>
      <c r="P261" s="39" t="n"/>
    </row>
    <row r="262" ht="13.2" customHeight="1" s="49">
      <c r="A262" s="37" t="n">
        <v>260</v>
      </c>
      <c r="B262" s="38" t="inlineStr">
        <is>
          <t>ผู้ป่วยมีอาการติดเชื้อ เพิ่มขึ้น sinusitis เกิดจากเชื้ออะไร FงพบในยาแบบJ Kนเ%นละอองฝอย</t>
        </is>
      </c>
      <c r="C262" s="38" t="n"/>
      <c r="D262" s="38" t="inlineStr">
        <is>
          <t>Cefazolin 1 g IV Q8H</t>
        </is>
      </c>
      <c r="E262" s="38" t="inlineStr">
        <is>
          <t>Amoxicillin/Clavulanate 1 g BID</t>
        </is>
      </c>
      <c r="F262" s="38" t="inlineStr">
        <is>
          <t>Ceftriaxone 1 g IV OD</t>
        </is>
      </c>
      <c r="G262" s="38" t="inlineStr">
        <is>
          <t>Ciprofloxacin 500 mg BID</t>
        </is>
      </c>
      <c r="H262" s="38" t="inlineStr">
        <is>
          <t>Azithromycin 500 mg OD</t>
        </is>
      </c>
      <c r="I262" s="37" t="inlineStr">
        <is>
          <t>1</t>
        </is>
      </c>
      <c r="J262" s="38"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38" t="n"/>
      <c r="L262" s="39" t="inlineStr">
        <is>
          <t>URTI</t>
        </is>
      </c>
      <c r="M262" s="39" t="inlineStr">
        <is>
          <t>Clinic</t>
        </is>
      </c>
      <c r="N262" s="38" t="inlineStr">
        <is>
          <t>ข้อ 16 (PLE_CC1_Key_Rx20_UBU.md)</t>
        </is>
      </c>
      <c r="O262" s="39" t="n"/>
      <c r="P262" s="39" t="n"/>
    </row>
    <row r="263" ht="13.2" customHeight="1" s="49">
      <c r="A263" s="37" t="n">
        <v>261</v>
      </c>
      <c r="B263" s="38" t="inlineStr">
        <is>
          <t>M. catharis sinusitis เกิดจากเชื้อ S. pneumonia , H.influenza , 5. aureas</t>
        </is>
      </c>
      <c r="C263" s="38" t="n"/>
      <c r="D263" s="38" t="inlineStr">
        <is>
          <t>Ciprofloxacin 500 mg BID</t>
        </is>
      </c>
      <c r="E263" s="38" t="inlineStr">
        <is>
          <t>Azithromycin 500 mg OD</t>
        </is>
      </c>
      <c r="F263" s="38" t="inlineStr">
        <is>
          <t>Doxycycline 100 mg BID</t>
        </is>
      </c>
      <c r="G263" s="38" t="inlineStr">
        <is>
          <t>Cotrimoxazole 160/800 mg BID</t>
        </is>
      </c>
      <c r="H263" s="38" t="inlineStr">
        <is>
          <t>Metronidazole 400 mg TID</t>
        </is>
      </c>
      <c r="I263" s="37" t="inlineStr">
        <is>
          <t>1</t>
        </is>
      </c>
      <c r="J263"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38" t="n"/>
      <c r="L263" s="39" t="inlineStr">
        <is>
          <t>Pneumonia</t>
        </is>
      </c>
      <c r="M263" s="39" t="inlineStr">
        <is>
          <t>Clinic</t>
        </is>
      </c>
      <c r="N263" s="38" t="inlineStr">
        <is>
          <t>ข้อ 5 (PLE_CC1_Key_Rx20_UBU.md)</t>
        </is>
      </c>
      <c r="O263" s="39" t="n"/>
      <c r="P263" s="39" t="n"/>
    </row>
    <row r="264" ht="13.2" customHeight="1" s="49">
      <c r="A264" s="37" t="n">
        <v>262</v>
      </c>
      <c r="B264" s="38" t="inlineStr">
        <is>
          <t>Amoxicillin + clavulanic acid</t>
        </is>
      </c>
      <c r="C264" s="38" t="n"/>
      <c r="D264" s="38" t="inlineStr">
        <is>
          <t>) Vancomycin</t>
        </is>
      </c>
      <c r="E264" s="38" t="inlineStr">
        <is>
          <t>) Piperacillin/tazobactam</t>
        </is>
      </c>
      <c r="F264" s="38" t="inlineStr">
        <is>
          <t>) Meropenem First line ATB for Sinusitis คือ Amoxicillin หากไม่ได้ผลหรือแพ้ยา จึงเลือกใช้ยาอื่น โดย regimen คือ Amoxillin 500 mg TID 10-14 days</t>
        </is>
      </c>
      <c r="G264" s="38" t="inlineStr">
        <is>
          <t>Tenofovir/Emtricitabine 300/200 mg OD</t>
        </is>
      </c>
      <c r="H264" s="38" t="inlineStr">
        <is>
          <t>Dolutegravir 50 mg OD</t>
        </is>
      </c>
      <c r="I264" s="37" t="inlineStr">
        <is>
          <t>1</t>
        </is>
      </c>
      <c r="J264" s="38" t="inlineStr">
        <is>
          <t>✅ คำตอบที่ถูกต้อง: ข้อ ก. ) Vancomycin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38" t="n"/>
      <c r="L264" s="39" t="inlineStr">
        <is>
          <t>URTI</t>
        </is>
      </c>
      <c r="M264" s="39" t="inlineStr">
        <is>
          <t>Clinic</t>
        </is>
      </c>
      <c r="N264" s="38" t="inlineStr">
        <is>
          <t>ข้อ 2 (PLE_CC1_Key_Rx20_UBU.md)</t>
        </is>
      </c>
      <c r="O264" s="39" t="n"/>
      <c r="P264" s="39" t="n"/>
    </row>
    <row r="265" ht="13.2" customHeight="1" s="49">
      <c r="A265" s="37" t="n">
        <v>263</v>
      </c>
      <c r="B265" s="38" t="inlineStr">
        <is>
          <t>Sorbitol solution</t>
        </is>
      </c>
      <c r="C265" s="38" t="n"/>
      <c r="D265" s="38" t="inlineStr">
        <is>
          <t>Tenofovir/Emtricitabine 300/200 mg OD</t>
        </is>
      </c>
      <c r="E265" s="38" t="inlineStr">
        <is>
          <t>Dolutegravir 50 mg OD</t>
        </is>
      </c>
      <c r="F265" s="38" t="inlineStr">
        <is>
          <t>Vancomycin 1 g IV Q12H</t>
        </is>
      </c>
      <c r="G265" s="38" t="inlineStr">
        <is>
          <t>Meropenem 1 g IV Q8H</t>
        </is>
      </c>
      <c r="H265" s="38" t="inlineStr">
        <is>
          <t>Cefazolin 1 g IV Q8H</t>
        </is>
      </c>
      <c r="I265" s="37" t="inlineStr">
        <is>
          <t>1</t>
        </is>
      </c>
      <c r="J265" s="38"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38" t="n"/>
      <c r="L265" s="39" t="inlineStr">
        <is>
          <t>Cystitis</t>
        </is>
      </c>
      <c r="M265" s="39" t="inlineStr">
        <is>
          <t>Clinic</t>
        </is>
      </c>
      <c r="N265" s="38" t="inlineStr">
        <is>
          <t>ข้อ 2 (PLE_CC1_Key_Rx20_UBU.md)</t>
        </is>
      </c>
      <c r="O265" s="39" t="n"/>
      <c r="P265" s="39" t="n"/>
    </row>
    <row r="266" ht="13.2" customHeight="1" s="49">
      <c r="A266" s="37" t="n">
        <v>264</v>
      </c>
      <c r="B266" s="38" t="inlineStr">
        <is>
          <t>Community-acquired pneumonia</t>
        </is>
      </c>
      <c r="C266" s="38" t="n"/>
      <c r="D266" s="38" t="inlineStr">
        <is>
          <t>Meropenem 1 g IV Q8H</t>
        </is>
      </c>
      <c r="E266" s="38" t="inlineStr">
        <is>
          <t>Cefazolin 1 g IV Q8H</t>
        </is>
      </c>
      <c r="F266" s="38" t="inlineStr">
        <is>
          <t>Amoxicillin/Clavulanate 1 g BID</t>
        </is>
      </c>
      <c r="G266" s="38" t="inlineStr">
        <is>
          <t>Ceftriaxone 1 g IV OD</t>
        </is>
      </c>
      <c r="H266" s="38" t="inlineStr">
        <is>
          <t>Ciprofloxacin 500 mg BID</t>
        </is>
      </c>
      <c r="I266" s="37" t="inlineStr">
        <is>
          <t>1</t>
        </is>
      </c>
      <c r="J266"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38" t="n"/>
      <c r="L266" s="39" t="inlineStr">
        <is>
          <t>Pneumonia</t>
        </is>
      </c>
      <c r="M266" s="39" t="inlineStr">
        <is>
          <t>Clinic</t>
        </is>
      </c>
      <c r="N266" s="38" t="inlineStr">
        <is>
          <t>ข้อ 2 (PLE_CC1_Key_Rx20_UBU.md)</t>
        </is>
      </c>
      <c r="O266" s="39" t="n"/>
      <c r="P266" s="39" t="n"/>
    </row>
    <row r="267" ht="13.2" customHeight="1" s="49">
      <c r="A267" s="37" t="n">
        <v>265</v>
      </c>
      <c r="B267" s="38" t="inlineStr">
        <is>
          <t>P. carinii pneumonia</t>
        </is>
      </c>
      <c r="C267" s="38" t="n"/>
      <c r="D267" s="38" t="inlineStr">
        <is>
          <t>Ceftriaxone 1 g IV OD</t>
        </is>
      </c>
      <c r="E267" s="38" t="inlineStr">
        <is>
          <t>Ciprofloxacin 500 mg BID</t>
        </is>
      </c>
      <c r="F267" s="38" t="inlineStr">
        <is>
          <t>Azithromycin 500 mg OD</t>
        </is>
      </c>
      <c r="G267" s="38" t="inlineStr">
        <is>
          <t>Doxycycline 100 mg BID</t>
        </is>
      </c>
      <c r="H267" s="38" t="inlineStr">
        <is>
          <t>Cotrimoxazole 160/800 mg BID</t>
        </is>
      </c>
      <c r="I267" s="37" t="inlineStr">
        <is>
          <t>1</t>
        </is>
      </c>
      <c r="J267" s="38" t="inlineStr">
        <is>
          <t>✅ คำตอบที่ถูกต้อง: ข้อ ก. Ceftriaxone 1 g IV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38" t="n"/>
      <c r="L267" s="39" t="inlineStr">
        <is>
          <t>Pneumonia</t>
        </is>
      </c>
      <c r="M267" s="39" t="inlineStr">
        <is>
          <t>Clinic</t>
        </is>
      </c>
      <c r="N267" s="38" t="inlineStr">
        <is>
          <t>ข้อ 3 (PLE_CC1_Key_Rx20_UBU.md)</t>
        </is>
      </c>
      <c r="O267" s="39" t="n"/>
      <c r="P267" s="39" t="n"/>
    </row>
    <row r="268" ht="13.2" customHeight="1" s="49">
      <c r="A268" s="37" t="n">
        <v>266</v>
      </c>
      <c r="B268" s="38" t="inlineStr">
        <is>
          <t>Mycoplasma pneumonia</t>
        </is>
      </c>
      <c r="C268" s="38" t="n"/>
      <c r="D268" s="38" t="inlineStr">
        <is>
          <t>Doxycycline 100 mg BID</t>
        </is>
      </c>
      <c r="E268" s="38" t="inlineStr">
        <is>
          <t>Cotrimoxazole 160/800 mg BID</t>
        </is>
      </c>
      <c r="F268" s="38" t="inlineStr">
        <is>
          <t>Metronidazole 400 mg TID</t>
        </is>
      </c>
      <c r="G268" s="38" t="inlineStr">
        <is>
          <t>Nitrofurantoin 100 mg BID</t>
        </is>
      </c>
      <c r="H268" s="38" t="inlineStr">
        <is>
          <t>Tenofovir/Emtricitabine 300/200 mg OD</t>
        </is>
      </c>
      <c r="I268" s="37" t="inlineStr">
        <is>
          <t>1</t>
        </is>
      </c>
      <c r="J268" s="38"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38" t="n"/>
      <c r="L268" s="39" t="inlineStr">
        <is>
          <t>Pneumonia</t>
        </is>
      </c>
      <c r="M268" s="39" t="inlineStr">
        <is>
          <t>Clinic</t>
        </is>
      </c>
      <c r="N268" s="38" t="inlineStr">
        <is>
          <t>ข้อ 5 (PLE_CC1_Key_Rx20_UBU.md)</t>
        </is>
      </c>
      <c r="O268" s="39" t="n"/>
      <c r="P268" s="39" t="n"/>
    </row>
    <row r="269" ht="13.2" customHeight="1" s="49">
      <c r="A269" s="37" t="n">
        <v>267</v>
      </c>
      <c r="B269" s="38" t="inlineStr">
        <is>
          <t>Ceftriaxone+Metronidazole</t>
        </is>
      </c>
      <c r="C269" s="38" t="n"/>
      <c r="D269" s="38" t="inlineStr">
        <is>
          <t>Nitrofurantoin 100 mg BID</t>
        </is>
      </c>
      <c r="E269" s="38" t="inlineStr">
        <is>
          <t>Tenofovir/Emtricitabine 300/200 mg OD</t>
        </is>
      </c>
      <c r="F269" s="38" t="inlineStr">
        <is>
          <t>Dolutegravir 50 mg OD</t>
        </is>
      </c>
      <c r="G269" s="38" t="inlineStr">
        <is>
          <t>Vancomycin 1 g IV Q12H</t>
        </is>
      </c>
      <c r="H269" s="38" t="inlineStr">
        <is>
          <t>Meropenem 1 g IV Q8H</t>
        </is>
      </c>
      <c r="I269" s="37" t="inlineStr">
        <is>
          <t>1</t>
        </is>
      </c>
      <c r="J269" s="38"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38" t="n"/>
      <c r="L269" s="39" t="inlineStr">
        <is>
          <t>Pneumonia</t>
        </is>
      </c>
      <c r="M269" s="39" t="inlineStr">
        <is>
          <t>Clinic</t>
        </is>
      </c>
      <c r="N269" s="38" t="inlineStr">
        <is>
          <t>ข้อ 3 (PLE_CC1_Key_Rx20_UBU.md)</t>
        </is>
      </c>
      <c r="O269" s="39" t="n"/>
      <c r="P269" s="39" t="n"/>
    </row>
    <row r="270" ht="13.2" customHeight="1" s="49">
      <c r="A270" s="37" t="n">
        <v>268</v>
      </c>
      <c r="B270" s="38" t="inlineStr">
        <is>
          <t>Ceftriaxone+Roxithromycin</t>
        </is>
      </c>
      <c r="C270" s="38" t="n"/>
      <c r="D270" s="38" t="inlineStr">
        <is>
          <t>Vancomycin 1 g IV Q12H</t>
        </is>
      </c>
      <c r="E270" s="38" t="inlineStr">
        <is>
          <t>Meropenem 1 g IV Q8H</t>
        </is>
      </c>
      <c r="F270" s="38" t="inlineStr">
        <is>
          <t>Cefazolin 1 g IV Q8H</t>
        </is>
      </c>
      <c r="G270" s="38" t="inlineStr">
        <is>
          <t>Amoxicillin/Clavulanate 1 g BID</t>
        </is>
      </c>
      <c r="H270" s="38" t="inlineStr">
        <is>
          <t>Ceftriaxone 1 g IV OD</t>
        </is>
      </c>
      <c r="I270" s="37" t="inlineStr">
        <is>
          <t>1</t>
        </is>
      </c>
      <c r="J270"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38" t="n"/>
      <c r="L270" s="39" t="inlineStr">
        <is>
          <t>Pneumonia</t>
        </is>
      </c>
      <c r="M270" s="39" t="inlineStr">
        <is>
          <t>Clinic</t>
        </is>
      </c>
      <c r="N270" s="38" t="inlineStr">
        <is>
          <t>ข้อ 5 (PLE_CC1_Key_Rx20_UBU.md)</t>
        </is>
      </c>
      <c r="O270" s="39" t="n"/>
      <c r="P270" s="39" t="n"/>
    </row>
    <row r="271" ht="13.2" customHeight="1" s="49">
      <c r="A271" s="37" t="n">
        <v>269</v>
      </c>
      <c r="B271" s="38" t="inlineStr">
        <is>
          <t>เพาะเชื้อแล้วพบว่าผู้ป่วยติดเชื้อ P. aeroginisa ยาใดควรนำมาใช้</t>
        </is>
      </c>
      <c r="C271" s="38" t="n"/>
      <c r="D271" s="38" t="inlineStr">
        <is>
          <t>Amoxicillin/Clavulanate 1 g BID</t>
        </is>
      </c>
      <c r="E271" s="38" t="inlineStr">
        <is>
          <t>Ceftriaxone 1 g IV OD</t>
        </is>
      </c>
      <c r="F271" s="38" t="inlineStr">
        <is>
          <t>Ciprofloxacin 500 mg BID</t>
        </is>
      </c>
      <c r="G271" s="38" t="inlineStr">
        <is>
          <t>Azithromycin 500 mg OD</t>
        </is>
      </c>
      <c r="H271" s="38" t="inlineStr">
        <is>
          <t>Doxycycline 100 mg BID</t>
        </is>
      </c>
      <c r="I271" s="37" t="inlineStr">
        <is>
          <t>1</t>
        </is>
      </c>
      <c r="J271"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38" t="n"/>
      <c r="L271" s="39" t="inlineStr">
        <is>
          <t>HIV infection</t>
        </is>
      </c>
      <c r="M271" s="39" t="inlineStr">
        <is>
          <t>Clinic</t>
        </is>
      </c>
      <c r="N271" s="38" t="inlineStr">
        <is>
          <t>ข้อ 83 (PLE_CC1_Key_Rx20_UBU.md)</t>
        </is>
      </c>
      <c r="O271" s="39" t="n"/>
      <c r="P271" s="39" t="n"/>
    </row>
    <row r="272" ht="13.2" customHeight="1" s="49">
      <c r="A272" s="37" t="n">
        <v>270</v>
      </c>
      <c r="B272" s="38" t="inlineStr">
        <is>
          <t>ผู้ป่วยใช้เครื่องช่วยหำยใจแล้วติดเชื้อ A. baumbanii ใช้ยาอะไร</t>
        </is>
      </c>
      <c r="C272" s="38" t="n"/>
      <c r="D272" s="38" t="inlineStr">
        <is>
          <t>Azithromycin 500 mg OD</t>
        </is>
      </c>
      <c r="E272" s="38" t="inlineStr">
        <is>
          <t>Doxycycline 100 mg BID</t>
        </is>
      </c>
      <c r="F272" s="38" t="inlineStr">
        <is>
          <t>Cotrimoxazole 160/800 mg BID</t>
        </is>
      </c>
      <c r="G272" s="38" t="inlineStr">
        <is>
          <t>Metronidazole 400 mg TID</t>
        </is>
      </c>
      <c r="H272" s="38" t="inlineStr">
        <is>
          <t>Nitrofurantoin 100 mg BID</t>
        </is>
      </c>
      <c r="I272" s="37" t="inlineStr">
        <is>
          <t>1</t>
        </is>
      </c>
      <c r="J272" s="38"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38" t="n"/>
      <c r="L272" s="39" t="inlineStr">
        <is>
          <t>HIV infection</t>
        </is>
      </c>
      <c r="M272" s="39" t="inlineStr">
        <is>
          <t>Clinic</t>
        </is>
      </c>
      <c r="N272" s="38" t="inlineStr">
        <is>
          <t>ข้อ 84 (PLE_CC1_Key_Rx20_UBU.md)</t>
        </is>
      </c>
      <c r="O272" s="39" t="n"/>
      <c r="P272" s="39" t="n"/>
    </row>
    <row r="273" ht="13.2" customHeight="1" s="49">
      <c r="A273" s="37" t="n">
        <v>271</v>
      </c>
      <c r="B273" s="38" t="inlineStr">
        <is>
          <t>โรคติดเชื้อ ปัสสาวะคั่ง อาจทำให้ผู้ป่วยที่มีโรคทางเดินปัสสาวะแย่ลง</t>
        </is>
      </c>
      <c r="C273" s="38" t="n"/>
      <c r="D273" s="38" t="inlineStr">
        <is>
          <t>Cefazolin 1 g IV Q8H</t>
        </is>
      </c>
      <c r="E273" s="38" t="inlineStr">
        <is>
          <t>Amoxicillin/Clavulanate 1 g BID</t>
        </is>
      </c>
      <c r="F273" s="38" t="inlineStr">
        <is>
          <t>Ceftriaxone 1 g IV OD</t>
        </is>
      </c>
      <c r="G273" s="38" t="inlineStr">
        <is>
          <t>Ciprofloxacin 500 mg BID</t>
        </is>
      </c>
      <c r="H273" s="38" t="inlineStr">
        <is>
          <t>Azithromycin 500 mg OD</t>
        </is>
      </c>
      <c r="I273" s="37" t="inlineStr">
        <is>
          <t>1</t>
        </is>
      </c>
      <c r="J273" s="38"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38" t="n"/>
      <c r="L273" s="39" t="inlineStr">
        <is>
          <t>HIV infection</t>
        </is>
      </c>
      <c r="M273" s="39" t="inlineStr">
        <is>
          <t>Clinic</t>
        </is>
      </c>
      <c r="N273" s="38" t="inlineStr">
        <is>
          <t>ข้อ 5 (PLE_CC1_Key_Rx20_UBU.md)</t>
        </is>
      </c>
      <c r="O273" s="39" t="n"/>
      <c r="P273" s="39" t="n"/>
    </row>
    <row r="274" ht="13.2" customHeight="1" s="49">
      <c r="A274" s="37" t="n">
        <v>272</v>
      </c>
      <c r="B274" s="38" t="inlineStr">
        <is>
          <t>การจะตรวจว่าผู้ป่วยเป็นวัณโรคต้องตรวจหาเชื้ออะไร</t>
        </is>
      </c>
      <c r="C274" s="38" t="n"/>
      <c r="D274" s="38" t="inlineStr">
        <is>
          <t>Ciprofloxacin 500 mg BID</t>
        </is>
      </c>
      <c r="E274" s="38" t="inlineStr">
        <is>
          <t>Azithromycin 500 mg OD</t>
        </is>
      </c>
      <c r="F274" s="38" t="inlineStr">
        <is>
          <t>Doxycycline 100 mg BID</t>
        </is>
      </c>
      <c r="G274" s="38" t="inlineStr">
        <is>
          <t>Cotrimoxazole 160/800 mg BID</t>
        </is>
      </c>
      <c r="H274" s="38" t="inlineStr">
        <is>
          <t>Metronidazole 400 mg TID</t>
        </is>
      </c>
      <c r="I274" s="37" t="inlineStr">
        <is>
          <t>1</t>
        </is>
      </c>
      <c r="J274" s="38"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38" t="n"/>
      <c r="L274" s="39" t="inlineStr">
        <is>
          <t>Tuberculosis</t>
        </is>
      </c>
      <c r="M274" s="39" t="inlineStr">
        <is>
          <t>Clinic</t>
        </is>
      </c>
      <c r="N274" s="38" t="inlineStr">
        <is>
          <t>ข้อ 1 (PLE_CC1_Key_Rx20_UBU.md)</t>
        </is>
      </c>
      <c r="O274" s="39" t="n"/>
      <c r="P274" s="39" t="n"/>
    </row>
    <row r="275" ht="13.2" customHeight="1" s="49">
      <c r="A275" s="37" t="n">
        <v>273</v>
      </c>
      <c r="B275" s="38" t="inlineStr">
        <is>
          <t>โครงสร้างใดต่อไปนี้ที่จะใช้คู่กับยา Amoxicillin เพื่อป้องกันการถูกทำลายโดย Enzyme ของแบคทีเรีย</t>
        </is>
      </c>
      <c r="C275" s="38" t="n"/>
      <c r="D275" s="38" t="inlineStr">
        <is>
          <t>Tenofovir/Emtricitabine 300/200 mg OD</t>
        </is>
      </c>
      <c r="E275" s="38" t="inlineStr">
        <is>
          <t>Dolutegravir 50 mg OD</t>
        </is>
      </c>
      <c r="F275" s="38" t="inlineStr">
        <is>
          <t>Vancomycin 1 g IV Q12H</t>
        </is>
      </c>
      <c r="G275" s="38" t="inlineStr">
        <is>
          <t>Meropenem 1 g IV Q8H</t>
        </is>
      </c>
      <c r="H275" s="38" t="inlineStr">
        <is>
          <t>Cefazolin 1 g IV Q8H</t>
        </is>
      </c>
      <c r="I275" s="37" t="inlineStr">
        <is>
          <t>1</t>
        </is>
      </c>
      <c r="J275"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38" t="n"/>
      <c r="L275" s="39" t="inlineStr">
        <is>
          <t>URTI</t>
        </is>
      </c>
      <c r="M275" s="39" t="inlineStr">
        <is>
          <t>Clinic</t>
        </is>
      </c>
      <c r="N275" s="38" t="inlineStr">
        <is>
          <t>ข้อ 7 (PLE_CC1_Key_Rx20_UBU.md)</t>
        </is>
      </c>
      <c r="O275" s="39" t="n"/>
      <c r="P275" s="39" t="n"/>
    </row>
    <row r="276" ht="13.2" customHeight="1" s="49">
      <c r="A276" s="37" t="n">
        <v>274</v>
      </c>
      <c r="B276" s="38" t="inlineStr">
        <is>
          <t>แนะนำให้ผู้ป่วยไปตรวจการติดเชื้อ HIV</t>
        </is>
      </c>
      <c r="C276" s="38" t="n"/>
      <c r="D276" s="38" t="inlineStr">
        <is>
          <t>Amoxicillin/Clavulanate 1 g BID</t>
        </is>
      </c>
      <c r="E276" s="38" t="inlineStr">
        <is>
          <t>Ceftriaxone 1 g IV OD</t>
        </is>
      </c>
      <c r="F276" s="38" t="inlineStr">
        <is>
          <t>Ciprofloxacin 500 mg BID</t>
        </is>
      </c>
      <c r="G276" s="38" t="inlineStr">
        <is>
          <t>Azithromycin 500 mg OD</t>
        </is>
      </c>
      <c r="H276" s="38" t="inlineStr">
        <is>
          <t>Doxycycline 100 mg BID</t>
        </is>
      </c>
      <c r="I276" s="37" t="inlineStr">
        <is>
          <t>1</t>
        </is>
      </c>
      <c r="J276"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38" t="n"/>
      <c r="L276" s="39" t="inlineStr">
        <is>
          <t>HIV infection</t>
        </is>
      </c>
      <c r="M276" s="39" t="inlineStr">
        <is>
          <t>Clinic</t>
        </is>
      </c>
      <c r="N276" s="38" t="inlineStr">
        <is>
          <t>ข้อ 1 (PLE_CC1_Key_Rx20_UBU.md)</t>
        </is>
      </c>
      <c r="O276" s="39" t="n"/>
      <c r="P276" s="39" t="n"/>
    </row>
    <row r="277" ht="13.2" customHeight="1" s="49">
      <c r="A277" s="37" t="n">
        <v>275</v>
      </c>
      <c r="B277" s="38"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38" t="n"/>
      <c r="D277" s="38" t="inlineStr">
        <is>
          <t>Dolutegravir 50 mg OD</t>
        </is>
      </c>
      <c r="E277" s="38" t="inlineStr">
        <is>
          <t>Vancomycin 1 g IV Q12H</t>
        </is>
      </c>
      <c r="F277" s="38" t="inlineStr">
        <is>
          <t>Meropenem 1 g IV Q8H</t>
        </is>
      </c>
      <c r="G277" s="38" t="inlineStr">
        <is>
          <t>Cefazolin 1 g IV Q8H</t>
        </is>
      </c>
      <c r="H277" s="38" t="inlineStr">
        <is>
          <t>Amoxicillin/Clavulanate 1 g BID</t>
        </is>
      </c>
      <c r="I277" s="37" t="inlineStr">
        <is>
          <t>1</t>
        </is>
      </c>
      <c r="J277" s="38" t="inlineStr">
        <is>
          <t>✅ คำตอบที่ถูกต้อง: ข้อ ก.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[NEED_REVIEW]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38" t="n"/>
      <c r="L277" s="39" t="inlineStr">
        <is>
          <t>Cystitis</t>
        </is>
      </c>
      <c r="M277" s="39" t="inlineStr">
        <is>
          <t>Clinic</t>
        </is>
      </c>
      <c r="N277" s="38" t="inlineStr">
        <is>
          <t>ข้อ 5 (PLE_CC1_Key_Rx20_UBU.md)</t>
        </is>
      </c>
      <c r="O277" s="39" t="n"/>
      <c r="P277" s="39" t="n"/>
    </row>
    <row r="278" ht="13.2" customHeight="1" s="49">
      <c r="A278" s="37" t="n">
        <v>276</v>
      </c>
      <c r="B278" s="38"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38" t="n"/>
      <c r="D278" s="38" t="inlineStr">
        <is>
          <t>Cefazolin 1 g IV Q8H</t>
        </is>
      </c>
      <c r="E278" s="38" t="inlineStr">
        <is>
          <t>Amoxicillin/Clavulanate 1 g BID</t>
        </is>
      </c>
      <c r="F278" s="38" t="inlineStr">
        <is>
          <t>Ceftriaxone 1 g IV OD</t>
        </is>
      </c>
      <c r="G278" s="38" t="inlineStr">
        <is>
          <t>Ciprofloxacin 500 mg BID</t>
        </is>
      </c>
      <c r="H278" s="38" t="inlineStr">
        <is>
          <t>Azithromycin 500 mg OD</t>
        </is>
      </c>
      <c r="I278" s="37" t="inlineStr">
        <is>
          <t>1</t>
        </is>
      </c>
      <c r="J278" s="38"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38" t="n"/>
      <c r="L278" s="39" t="inlineStr">
        <is>
          <t>Pneumonia</t>
        </is>
      </c>
      <c r="M278" s="39" t="inlineStr">
        <is>
          <t>Clinic</t>
        </is>
      </c>
      <c r="N278" s="38" t="inlineStr">
        <is>
          <t>ข้อ 5 (PLE_CC1_Key_Rx20_UBU.md)</t>
        </is>
      </c>
      <c r="O278" s="39" t="n"/>
      <c r="P278" s="39" t="n"/>
    </row>
    <row r="279" ht="13.2" customHeight="1" s="49">
      <c r="A279" s="37" t="n">
        <v>277</v>
      </c>
      <c r="B279" s="38" t="inlineStr">
        <is>
          <t>จากรูปโครงสร้างยา ceftriaxone ห้ามผสมใน diluent ชนิดไหน - dome = 100 my/m</t>
        </is>
      </c>
      <c r="C279" s="38" t="n"/>
      <c r="D279" s="38" t="inlineStr">
        <is>
          <t>Ciprofloxacin 500 mg BID</t>
        </is>
      </c>
      <c r="E279" s="38" t="inlineStr">
        <is>
          <t>Azithromycin 500 mg OD</t>
        </is>
      </c>
      <c r="F279" s="38" t="inlineStr">
        <is>
          <t>Doxycycline 100 mg BID</t>
        </is>
      </c>
      <c r="G279" s="38" t="inlineStr">
        <is>
          <t>Cotrimoxazole 160/800 mg BID</t>
        </is>
      </c>
      <c r="H279" s="38" t="inlineStr">
        <is>
          <t>Metronidazole 400 mg TID</t>
        </is>
      </c>
      <c r="I279" s="37" t="inlineStr">
        <is>
          <t>1</t>
        </is>
      </c>
      <c r="J279"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38" t="n"/>
      <c r="L279" s="39" t="inlineStr">
        <is>
          <t>Pneumonia</t>
        </is>
      </c>
      <c r="M279" s="39" t="inlineStr">
        <is>
          <t>Clinic</t>
        </is>
      </c>
      <c r="N279" s="38" t="inlineStr">
        <is>
          <t>ข้อ 31 (PLE_CC1_Key_Rx20_UBU.md)</t>
        </is>
      </c>
      <c r="O279" s="39" t="n"/>
      <c r="P279" s="39" t="n"/>
    </row>
    <row r="280" ht="13.2" customHeight="1" s="49">
      <c r="A280" s="37" t="n">
        <v>278</v>
      </c>
      <c r="B280" s="38" t="inlineStr">
        <is>
          <t>Ringer solution Ceftriaxone เกิด incomplatibity กับ calcium ในสารน้ำ Ringer solution</t>
        </is>
      </c>
      <c r="C280" s="38" t="n"/>
      <c r="D280" s="38" t="inlineStr">
        <is>
          <t>Cotrimoxazole 160/800 mg BID</t>
        </is>
      </c>
      <c r="E280" s="38" t="inlineStr">
        <is>
          <t>Metronidazole 400 mg TID</t>
        </is>
      </c>
      <c r="F280" s="38" t="inlineStr">
        <is>
          <t>Nitrofurantoin 100 mg BID</t>
        </is>
      </c>
      <c r="G280" s="38" t="inlineStr">
        <is>
          <t>Tenofovir/Emtricitabine 300/200 mg OD</t>
        </is>
      </c>
      <c r="H280" s="38" t="inlineStr">
        <is>
          <t>Dolutegravir 50 mg OD</t>
        </is>
      </c>
      <c r="I280" s="37" t="inlineStr">
        <is>
          <t>1</t>
        </is>
      </c>
      <c r="J280" s="38"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38" t="n"/>
      <c r="L280" s="39" t="inlineStr">
        <is>
          <t>Pneumonia</t>
        </is>
      </c>
      <c r="M280" s="39" t="inlineStr">
        <is>
          <t>Clinic</t>
        </is>
      </c>
      <c r="N280" s="38" t="inlineStr">
        <is>
          <t>ข้อ 5 (PLE_CC1_Key_Rx20_UBU.md)</t>
        </is>
      </c>
      <c r="O280" s="39" t="n"/>
      <c r="P280" s="39" t="n"/>
    </row>
    <row r="281" ht="13.2" customHeight="1" s="49">
      <c r="A281" s="37" t="n">
        <v>279</v>
      </c>
      <c r="B281" s="38" t="inlineStr">
        <is>
          <t>ยา ceftriaxone ที่ใช้ในการรักษาผู้ป่วยรายนี้ ควรบริหารยาแบบใด</t>
        </is>
      </c>
      <c r="C281" s="38" t="n"/>
      <c r="D281" s="38" t="inlineStr">
        <is>
          <t>Tenofovir/Emtricitabine 300/200 mg OD</t>
        </is>
      </c>
      <c r="E281" s="38" t="inlineStr">
        <is>
          <t>Dolutegravir 50 mg OD</t>
        </is>
      </c>
      <c r="F281" s="38" t="inlineStr">
        <is>
          <t>Vancomycin 1 g IV Q12H</t>
        </is>
      </c>
      <c r="G281" s="38" t="inlineStr">
        <is>
          <t>Meropenem 1 g IV Q8H</t>
        </is>
      </c>
      <c r="H281" s="38" t="inlineStr">
        <is>
          <t>Cefazolin 1 g IV Q8H</t>
        </is>
      </c>
      <c r="I281" s="37" t="inlineStr">
        <is>
          <t>1</t>
        </is>
      </c>
      <c r="J281"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38" t="n"/>
      <c r="L281" s="39" t="inlineStr">
        <is>
          <t>Pneumonia</t>
        </is>
      </c>
      <c r="M281" s="39" t="inlineStr">
        <is>
          <t>Clinic</t>
        </is>
      </c>
      <c r="N281" s="38" t="inlineStr">
        <is>
          <t>ข้อ 32 (PLE_CC1_Key_Rx20_UBU.md)</t>
        </is>
      </c>
      <c r="O281" s="39" t="n"/>
      <c r="P281" s="39" t="n"/>
    </row>
    <row r="282" ht="13.2" customHeight="1" s="49">
      <c r="A282" s="37" t="n">
        <v>280</v>
      </c>
      <c r="B282" s="38"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38" t="n"/>
      <c r="D282" s="38" t="inlineStr">
        <is>
          <t>Meropenem 1 g IV Q8H</t>
        </is>
      </c>
      <c r="E282" s="38" t="inlineStr">
        <is>
          <t>Cefazolin 1 g IV Q8H</t>
        </is>
      </c>
      <c r="F282" s="38" t="inlineStr">
        <is>
          <t>Amoxicillin/Clavulanate 1 g BID</t>
        </is>
      </c>
      <c r="G282" s="38" t="inlineStr">
        <is>
          <t>Ceftriaxone 1 g IV OD</t>
        </is>
      </c>
      <c r="H282" s="38" t="inlineStr">
        <is>
          <t>Ciprofloxacin 500 mg BID</t>
        </is>
      </c>
      <c r="I282" s="37" t="inlineStr">
        <is>
          <t>1</t>
        </is>
      </c>
      <c r="J282"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38" t="n"/>
      <c r="L282" s="39" t="inlineStr">
        <is>
          <t>Pneumonia</t>
        </is>
      </c>
      <c r="M282" s="39" t="inlineStr">
        <is>
          <t>Clinic</t>
        </is>
      </c>
      <c r="N282" s="38" t="inlineStr">
        <is>
          <t>ข้อ 33 (PLE_CC1_Key_Rx20_UBU.md)</t>
        </is>
      </c>
      <c r="O282" s="39" t="n"/>
      <c r="P282" s="39" t="n"/>
    </row>
    <row r="283" ht="13.2" customHeight="1" s="49">
      <c r="A283" s="37" t="n">
        <v>281</v>
      </c>
      <c r="B283" s="38" t="inlineStr">
        <is>
          <t>ไม่ต้องจ่ายค่ายารักษาโรคติดเชื้อฉวยโอกาส แต่ต้องจ่ายเงินค่ารักษาโรคเอดส์</t>
        </is>
      </c>
      <c r="C283" s="38" t="n"/>
      <c r="D283" s="38" t="inlineStr">
        <is>
          <t>Ceftriaxone 1 g IV OD</t>
        </is>
      </c>
      <c r="E283" s="38" t="inlineStr">
        <is>
          <t>Ciprofloxacin 500 mg BID</t>
        </is>
      </c>
      <c r="F283" s="38" t="inlineStr">
        <is>
          <t>Azithromycin 500 mg OD</t>
        </is>
      </c>
      <c r="G283" s="38" t="inlineStr">
        <is>
          <t>Doxycycline 100 mg BID</t>
        </is>
      </c>
      <c r="H283" s="38" t="inlineStr">
        <is>
          <t>Cotrimoxazole 160/800 mg BID</t>
        </is>
      </c>
      <c r="I283" s="37" t="inlineStr">
        <is>
          <t>1</t>
        </is>
      </c>
      <c r="J283"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38" t="n"/>
      <c r="L283" s="39" t="inlineStr">
        <is>
          <t>HIV infection</t>
        </is>
      </c>
      <c r="M283" s="39" t="inlineStr">
        <is>
          <t>Clinic</t>
        </is>
      </c>
      <c r="N283" s="38" t="inlineStr">
        <is>
          <t>ข้อ 4 (PLE_CC1_Key_Rx20_UBU.md)</t>
        </is>
      </c>
      <c r="O283" s="39" t="n"/>
      <c r="P283" s="39" t="n"/>
    </row>
    <row r="284" ht="13.2" customHeight="1" s="49">
      <c r="A284" s="37" t="n">
        <v>282</v>
      </c>
      <c r="B284" s="38"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38" t="n"/>
      <c r="D284" s="38" t="inlineStr">
        <is>
          <t>Doxycycline 100 mg BID</t>
        </is>
      </c>
      <c r="E284" s="38" t="inlineStr">
        <is>
          <t>Cotrimoxazole 160/800 mg BID</t>
        </is>
      </c>
      <c r="F284" s="38" t="inlineStr">
        <is>
          <t>Metronidazole 400 mg TID</t>
        </is>
      </c>
      <c r="G284" s="38" t="inlineStr">
        <is>
          <t>Nitrofurantoin 100 mg BID</t>
        </is>
      </c>
      <c r="H284" s="38" t="inlineStr">
        <is>
          <t>Tenofovir/Emtricitabine 300/200 mg OD</t>
        </is>
      </c>
      <c r="I284" s="37" t="inlineStr">
        <is>
          <t>1</t>
        </is>
      </c>
      <c r="J284" s="38"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38" t="n"/>
      <c r="L284" s="39" t="inlineStr">
        <is>
          <t>HIV infection</t>
        </is>
      </c>
      <c r="M284" s="39" t="inlineStr">
        <is>
          <t>Clinic</t>
        </is>
      </c>
      <c r="N284" s="38" t="inlineStr">
        <is>
          <t>ข้อ 5 (PLE_CC1_Key_Rx20_UBU.md)</t>
        </is>
      </c>
      <c r="O284" s="39" t="n"/>
      <c r="P284" s="39" t="n"/>
    </row>
    <row r="285" ht="13.2" customHeight="1" s="49">
      <c r="A285" s="37" t="n">
        <v>283</v>
      </c>
      <c r="B285" s="38" t="inlineStr">
        <is>
          <t>ยาปฏิชีวนะในข$อใด เปญนทางเลือกแรกสำหรับการรักษาภาวะ Spontaneous bacterial peritonitis (1) Amoxicillin (2) Cefotaxime (3) Colistimethate (4) Clindamycin (5) Ofloxacin</t>
        </is>
      </c>
      <c r="C285" s="38" t="n"/>
      <c r="D285" s="38" t="inlineStr">
        <is>
          <t>Nitrofurantoin 100 mg BID</t>
        </is>
      </c>
      <c r="E285" s="38" t="inlineStr">
        <is>
          <t>Tenofovir/Emtricitabine 300/200 mg OD</t>
        </is>
      </c>
      <c r="F285" s="38" t="inlineStr">
        <is>
          <t>Dolutegravir 50 mg OD</t>
        </is>
      </c>
      <c r="G285" s="38" t="inlineStr">
        <is>
          <t>Vancomycin 1 g IV Q12H</t>
        </is>
      </c>
      <c r="H285" s="38" t="inlineStr">
        <is>
          <t>Meropenem 1 g IV Q8H</t>
        </is>
      </c>
      <c r="I285" s="37" t="inlineStr">
        <is>
          <t>3</t>
        </is>
      </c>
      <c r="J285" s="38" t="inlineStr">
        <is>
          <t>✅ คำตอบที่ถูกต้อง: ข้อ ค.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38" t="n"/>
      <c r="L285" s="39" t="inlineStr">
        <is>
          <t>URTI</t>
        </is>
      </c>
      <c r="M285" s="39" t="inlineStr">
        <is>
          <t>Clinic</t>
        </is>
      </c>
      <c r="N285" s="38" t="inlineStr">
        <is>
          <t>ข้อ 60 (PLE_CC1_Key_Rx20_UBU.md)</t>
        </is>
      </c>
      <c r="O285" s="39" t="n"/>
      <c r="P285" s="39" t="n"/>
    </row>
    <row r="286" ht="13.2" customHeight="1" s="49">
      <c r="A286" s="37" t="n">
        <v>284</v>
      </c>
      <c r="B286" s="38"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38" t="n"/>
      <c r="D286" s="38" t="inlineStr">
        <is>
          <t>Vancomycin 1 g IV Q12H</t>
        </is>
      </c>
      <c r="E286" s="38" t="inlineStr">
        <is>
          <t>Meropenem 1 g IV Q8H</t>
        </is>
      </c>
      <c r="F286" s="38" t="inlineStr">
        <is>
          <t>Cefazolin 1 g IV Q8H</t>
        </is>
      </c>
      <c r="G286" s="38" t="inlineStr">
        <is>
          <t>Amoxicillin/Clavulanate 1 g BID</t>
        </is>
      </c>
      <c r="H286" s="38" t="inlineStr">
        <is>
          <t>Ceftriaxone 1 g IV OD</t>
        </is>
      </c>
      <c r="I286" s="37" t="inlineStr">
        <is>
          <t>2</t>
        </is>
      </c>
      <c r="J286" s="38"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38" t="n"/>
      <c r="L286" s="39" t="inlineStr">
        <is>
          <t>HIV infection</t>
        </is>
      </c>
      <c r="M286" s="39" t="inlineStr">
        <is>
          <t>Clinic</t>
        </is>
      </c>
      <c r="N286" s="38" t="inlineStr">
        <is>
          <t>ข้อ 5 (PLE_CC1_Key_Rx20_UBU.md)</t>
        </is>
      </c>
      <c r="O286" s="39" t="n"/>
      <c r="P286" s="39" t="n"/>
    </row>
    <row r="287" ht="13.2" customHeight="1" s="49">
      <c r="A287" s="37" t="n">
        <v>285</v>
      </c>
      <c r="B287" s="38"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38" t="n"/>
      <c r="D287" s="38" t="inlineStr">
        <is>
          <t>Amoxicillin/Clavulanate 1 g BID</t>
        </is>
      </c>
      <c r="E287" s="38" t="inlineStr">
        <is>
          <t>Ceftriaxone 1 g IV OD</t>
        </is>
      </c>
      <c r="F287" s="38" t="inlineStr">
        <is>
          <t>Ciprofloxacin 500 mg BID</t>
        </is>
      </c>
      <c r="G287" s="38" t="inlineStr">
        <is>
          <t>Azithromycin 500 mg OD</t>
        </is>
      </c>
      <c r="H287" s="38" t="inlineStr">
        <is>
          <t>Doxycycline 100 mg BID</t>
        </is>
      </c>
      <c r="I287" s="37" t="inlineStr">
        <is>
          <t>2</t>
        </is>
      </c>
      <c r="J287" s="38"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38" t="n"/>
      <c r="L287" s="39" t="inlineStr">
        <is>
          <t>Tuberculosis</t>
        </is>
      </c>
      <c r="M287" s="39" t="inlineStr">
        <is>
          <t>Clinic</t>
        </is>
      </c>
      <c r="N287" s="38" t="inlineStr">
        <is>
          <t>ข้อ 5 (PLE_CC1_Key_Rx20_UBU.md)</t>
        </is>
      </c>
      <c r="O287" s="39" t="n"/>
      <c r="P287" s="39" t="n"/>
    </row>
    <row r="288" ht="13.2" customHeight="1" s="49">
      <c r="A288" s="37" t="n">
        <v>286</v>
      </c>
      <c r="B288" s="38" t="inlineStr">
        <is>
          <t>นำยา Ceftazidime 1 vial มาผสมกับ 0.9% NaCl 5 ml จากนั้นดูดมา 2.5 ml แล$วเติม Isotonic solution 7.5 ml</t>
        </is>
      </c>
      <c r="C288" s="38" t="n"/>
      <c r="D288" s="38" t="inlineStr">
        <is>
          <t>Metronidazole 400 mg TID</t>
        </is>
      </c>
      <c r="E288" s="38" t="inlineStr">
        <is>
          <t>Nitrofurantoin 100 mg BID</t>
        </is>
      </c>
      <c r="F288" s="38" t="inlineStr">
        <is>
          <t>Tenofovir/Emtricitabine 300/200 mg OD</t>
        </is>
      </c>
      <c r="G288" s="38" t="inlineStr">
        <is>
          <t>Dolutegravir 50 mg OD</t>
        </is>
      </c>
      <c r="H288" s="38" t="inlineStr">
        <is>
          <t>Vancomycin 1 g IV Q12H</t>
        </is>
      </c>
      <c r="I288" s="37" t="inlineStr">
        <is>
          <t>1</t>
        </is>
      </c>
      <c r="J288" s="38"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38" t="n"/>
      <c r="L288" s="39" t="inlineStr">
        <is>
          <t>Cystitis</t>
        </is>
      </c>
      <c r="M288" s="39" t="inlineStr">
        <is>
          <t>Clinic</t>
        </is>
      </c>
      <c r="N288" s="38" t="inlineStr">
        <is>
          <t>ข้อ 1 (PLE_CC1_Key_Rx20_UBU.md)</t>
        </is>
      </c>
      <c r="O288" s="39" t="n"/>
      <c r="P288" s="39" t="n"/>
    </row>
    <row r="289" ht="13.2" customHeight="1" s="49">
      <c r="A289" s="37" t="n">
        <v>287</v>
      </c>
      <c r="B289" s="38" t="inlineStr">
        <is>
          <t>ชั่งยา Ceftazidime 500 mg แล$วเติม Isotonic solution จนครบ 10 ml</t>
        </is>
      </c>
      <c r="C289" s="38" t="n"/>
      <c r="D289" s="38" t="inlineStr">
        <is>
          <t>Dolutegravir 50 mg OD</t>
        </is>
      </c>
      <c r="E289" s="38" t="inlineStr">
        <is>
          <t>Vancomycin 1 g IV Q12H</t>
        </is>
      </c>
      <c r="F289" s="38" t="inlineStr">
        <is>
          <t>Meropenem 1 g IV Q8H</t>
        </is>
      </c>
      <c r="G289" s="38" t="inlineStr">
        <is>
          <t>Cefazolin 1 g IV Q8H</t>
        </is>
      </c>
      <c r="H289" s="38" t="inlineStr">
        <is>
          <t>Amoxicillin/Clavulanate 1 g BID</t>
        </is>
      </c>
      <c r="I289" s="37" t="inlineStr">
        <is>
          <t>1</t>
        </is>
      </c>
      <c r="J289" s="38"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38" t="n"/>
      <c r="L289" s="39" t="inlineStr">
        <is>
          <t>Cystitis</t>
        </is>
      </c>
      <c r="M289" s="39" t="inlineStr">
        <is>
          <t>Clinic</t>
        </is>
      </c>
      <c r="N289" s="38" t="inlineStr">
        <is>
          <t>ข้อ 2 (PLE_CC1_Key_Rx20_UBU.md)</t>
        </is>
      </c>
      <c r="O289" s="39" t="n"/>
      <c r="P289" s="39" t="n"/>
    </row>
    <row r="290" ht="13.2" customHeight="1" s="49">
      <c r="A290" s="37" t="n">
        <v>288</v>
      </c>
      <c r="B290" s="38" t="inlineStr">
        <is>
          <t>นำยา Ceftazidime 1 vial มาผสมกับ 0.9% NaCl 2.5 ml จากนั้นดูดมา 2.5 ml แล$วเติม Isotonic solution 7.5 ml</t>
        </is>
      </c>
      <c r="C290" s="38" t="n"/>
      <c r="D290" s="38" t="inlineStr">
        <is>
          <t>Cefazolin 1 g IV Q8H</t>
        </is>
      </c>
      <c r="E290" s="38" t="inlineStr">
        <is>
          <t>Amoxicillin/Clavulanate 1 g BID</t>
        </is>
      </c>
      <c r="F290" s="38" t="inlineStr">
        <is>
          <t>Ceftriaxone 1 g IV OD</t>
        </is>
      </c>
      <c r="G290" s="38" t="inlineStr">
        <is>
          <t>Ciprofloxacin 500 mg BID</t>
        </is>
      </c>
      <c r="H290" s="38" t="inlineStr">
        <is>
          <t>Azithromycin 500 mg OD</t>
        </is>
      </c>
      <c r="I290" s="37" t="inlineStr">
        <is>
          <t>1</t>
        </is>
      </c>
      <c r="J290" s="38"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38" t="n"/>
      <c r="L290" s="39" t="inlineStr">
        <is>
          <t>Cystitis</t>
        </is>
      </c>
      <c r="M290" s="39" t="inlineStr">
        <is>
          <t>Clinic</t>
        </is>
      </c>
      <c r="N290" s="38" t="inlineStr">
        <is>
          <t>ข้อ 3 (PLE_CC1_Key_Rx20_UBU.md)</t>
        </is>
      </c>
      <c r="O290" s="39" t="n"/>
      <c r="P290" s="39" t="n"/>
    </row>
    <row r="291" ht="13.2" customHeight="1" s="49">
      <c r="A291" s="37" t="n">
        <v>289</v>
      </c>
      <c r="B291" s="38" t="inlineStr">
        <is>
          <t>ชั่งยา Ceftazidime 250 mg แล$วเติม Isotonic solution จนครบ 10 ml</t>
        </is>
      </c>
      <c r="C291" s="38" t="n"/>
      <c r="D291" s="38" t="inlineStr">
        <is>
          <t>Ciprofloxacin 500 mg BID</t>
        </is>
      </c>
      <c r="E291" s="38" t="inlineStr">
        <is>
          <t>Azithromycin 500 mg OD</t>
        </is>
      </c>
      <c r="F291" s="38" t="inlineStr">
        <is>
          <t>Doxycycline 100 mg BID</t>
        </is>
      </c>
      <c r="G291" s="38" t="inlineStr">
        <is>
          <t>Cotrimoxazole 160/800 mg BID</t>
        </is>
      </c>
      <c r="H291" s="38" t="inlineStr">
        <is>
          <t>Metronidazole 400 mg TID</t>
        </is>
      </c>
      <c r="I291" s="37" t="inlineStr">
        <is>
          <t>1</t>
        </is>
      </c>
      <c r="J291" s="38"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38" t="n"/>
      <c r="L291" s="39" t="inlineStr">
        <is>
          <t>Cystitis</t>
        </is>
      </c>
      <c r="M291" s="39" t="inlineStr">
        <is>
          <t>Clinic</t>
        </is>
      </c>
      <c r="N291" s="38" t="inlineStr">
        <is>
          <t>ข้อ 4 (PLE_CC1_Key_Rx20_UBU.md)</t>
        </is>
      </c>
      <c r="O291" s="39" t="n"/>
      <c r="P291" s="39" t="n"/>
    </row>
    <row r="292" ht="13.2" customHeight="1" s="49">
      <c r="A292" s="37" t="n">
        <v>290</v>
      </c>
      <c r="B292" s="38" t="inlineStr">
        <is>
          <t>นำยา Ceftazidime 1 vial มาผสมกับ 0.9% NaCl 5 ml จากนั้นดูดมา 5 ml แล$วเติม Isotonic solution 5 ml</t>
        </is>
      </c>
      <c r="C292" s="38" t="n"/>
      <c r="D292" s="38" t="inlineStr">
        <is>
          <t>Cotrimoxazole 160/800 mg BID</t>
        </is>
      </c>
      <c r="E292" s="38" t="inlineStr">
        <is>
          <t>Metronidazole 400 mg TID</t>
        </is>
      </c>
      <c r="F292" s="38" t="inlineStr">
        <is>
          <t>Nitrofurantoin 100 mg BID</t>
        </is>
      </c>
      <c r="G292" s="38" t="inlineStr">
        <is>
          <t>Tenofovir/Emtricitabine 300/200 mg OD</t>
        </is>
      </c>
      <c r="H292" s="38" t="inlineStr">
        <is>
          <t>Dolutegravir 50 mg OD</t>
        </is>
      </c>
      <c r="I292" s="37" t="inlineStr">
        <is>
          <t>1</t>
        </is>
      </c>
      <c r="J292" s="38"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38" t="n"/>
      <c r="L292" s="39" t="inlineStr">
        <is>
          <t>Cystitis</t>
        </is>
      </c>
      <c r="M292" s="39" t="inlineStr">
        <is>
          <t>Clinic</t>
        </is>
      </c>
      <c r="N292" s="38" t="inlineStr">
        <is>
          <t>ข้อ 5 (PLE_CC1_Key_Rx20_UBU.md)</t>
        </is>
      </c>
      <c r="O292" s="39" t="n"/>
      <c r="P292" s="39" t="n"/>
    </row>
    <row r="293" ht="13.2" customHeight="1" s="49">
      <c r="A293" s="37" t="n">
        <v>291</v>
      </c>
      <c r="B293" s="38" t="inlineStr">
        <is>
          <t>เปลี่ยน Ceftazidime เปญน Ceftriaxone</t>
        </is>
      </c>
      <c r="C293" s="38" t="n"/>
      <c r="D293" s="38" t="inlineStr">
        <is>
          <t>Tenofovir/Emtricitabine 300/200 mg OD</t>
        </is>
      </c>
      <c r="E293" s="38" t="inlineStr">
        <is>
          <t>Dolutegravir 50 mg OD</t>
        </is>
      </c>
      <c r="F293" s="38" t="inlineStr">
        <is>
          <t>Vancomycin 1 g IV Q12H</t>
        </is>
      </c>
      <c r="G293" s="38" t="inlineStr">
        <is>
          <t>Meropenem 1 g IV Q8H</t>
        </is>
      </c>
      <c r="H293" s="38" t="inlineStr">
        <is>
          <t>Cefazolin 1 g IV Q8H</t>
        </is>
      </c>
      <c r="I293" s="37" t="inlineStr">
        <is>
          <t>1</t>
        </is>
      </c>
      <c r="J293"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38" t="n"/>
      <c r="L293" s="39" t="inlineStr">
        <is>
          <t>Pneumonia</t>
        </is>
      </c>
      <c r="M293" s="39" t="inlineStr">
        <is>
          <t>Clinic</t>
        </is>
      </c>
      <c r="N293" s="38" t="inlineStr">
        <is>
          <t>ข้อ 1 (PLE_CC1_Key_Rx20_UBU.md)</t>
        </is>
      </c>
      <c r="O293" s="39" t="n"/>
      <c r="P293" s="39" t="n"/>
    </row>
    <row r="294" ht="13.2" customHeight="1" s="49">
      <c r="A294" s="37" t="n">
        <v>292</v>
      </c>
      <c r="B294" s="38" t="inlineStr">
        <is>
          <t>Amoxicillin เปญนยาที่ทนกรด สามารถรับประทานได$ จากโครงสร$างของ Amoxicillin สGวนใดที่ทำให$ Amoxicillin รับประทานได$</t>
        </is>
      </c>
      <c r="C294" s="38" t="n"/>
      <c r="D294" s="38" t="inlineStr">
        <is>
          <t>Meropenem 1 g IV Q8H</t>
        </is>
      </c>
      <c r="E294" s="38" t="inlineStr">
        <is>
          <t>Cefazolin 1 g IV Q8H</t>
        </is>
      </c>
      <c r="F294" s="38" t="inlineStr">
        <is>
          <t>Amoxicillin/Clavulanate 1 g BID</t>
        </is>
      </c>
      <c r="G294" s="38" t="inlineStr">
        <is>
          <t>Ceftriaxone 1 g IV OD</t>
        </is>
      </c>
      <c r="H294" s="38" t="inlineStr">
        <is>
          <t>Ciprofloxacin 500 mg BID</t>
        </is>
      </c>
      <c r="I294" s="37" t="inlineStr">
        <is>
          <t>1</t>
        </is>
      </c>
      <c r="J294"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38" t="n"/>
      <c r="L294" s="39" t="inlineStr">
        <is>
          <t>URTI</t>
        </is>
      </c>
      <c r="M294" s="39" t="inlineStr">
        <is>
          <t>Clinic</t>
        </is>
      </c>
      <c r="N294" s="38" t="inlineStr">
        <is>
          <t>ข้อ 65 (PLE_CC1_Key_Rx20_UBU.md)</t>
        </is>
      </c>
      <c r="O294" s="39" t="n"/>
      <c r="P294" s="39" t="n"/>
    </row>
    <row r="295" ht="13.2" customHeight="1" s="49">
      <c r="A295" s="37" t="n">
        <v>293</v>
      </c>
      <c r="B295" s="38" t="inlineStr">
        <is>
          <t>ยาต้าน HIV ที่ควรให้ในผู้ป่วยรายนี้</t>
        </is>
      </c>
      <c r="C295" s="38" t="n"/>
      <c r="D295" s="38" t="inlineStr">
        <is>
          <t>Ceftriaxone 1 g IV OD</t>
        </is>
      </c>
      <c r="E295" s="38" t="inlineStr">
        <is>
          <t>Ciprofloxacin 500 mg BID</t>
        </is>
      </c>
      <c r="F295" s="38" t="inlineStr">
        <is>
          <t>Azithromycin 500 mg OD</t>
        </is>
      </c>
      <c r="G295" s="38" t="inlineStr">
        <is>
          <t>Doxycycline 100 mg BID</t>
        </is>
      </c>
      <c r="H295" s="38" t="inlineStr">
        <is>
          <t>Cotrimoxazole 160/800 mg BID</t>
        </is>
      </c>
      <c r="I295" s="37" t="inlineStr">
        <is>
          <t>1</t>
        </is>
      </c>
      <c r="J295"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38" t="n"/>
      <c r="L295" s="39" t="inlineStr">
        <is>
          <t>HIV infection</t>
        </is>
      </c>
      <c r="M295" s="39" t="inlineStr">
        <is>
          <t>Clinic</t>
        </is>
      </c>
      <c r="N295" s="38" t="inlineStr">
        <is>
          <t>ข้อ 6 (PLE_CC1_Key_Rx20_UBU.md)</t>
        </is>
      </c>
      <c r="O295" s="39" t="n"/>
      <c r="P295" s="39" t="n"/>
    </row>
    <row r="296" ht="13.2" customHeight="1" s="49">
      <c r="A296" s="37" t="n">
        <v>294</v>
      </c>
      <c r="B296" s="38" t="inlineStr">
        <is>
          <t>ยาที่ควรได้รับในผู้ป่วยรายนี้เพื่อป้องกันโรคติดเชื้อฉวยโอกาส</t>
        </is>
      </c>
      <c r="C296" s="38" t="n"/>
      <c r="D296" s="38" t="inlineStr">
        <is>
          <t>Doxycycline 100 mg BID</t>
        </is>
      </c>
      <c r="E296" s="38" t="inlineStr">
        <is>
          <t>Cotrimoxazole 160/800 mg BID</t>
        </is>
      </c>
      <c r="F296" s="38" t="inlineStr">
        <is>
          <t>Metronidazole 400 mg TID</t>
        </is>
      </c>
      <c r="G296" s="38" t="inlineStr">
        <is>
          <t>Nitrofurantoin 100 mg BID</t>
        </is>
      </c>
      <c r="H296" s="38" t="inlineStr">
        <is>
          <t>Tenofovir/Emtricitabine 300/200 mg OD</t>
        </is>
      </c>
      <c r="I296" s="37" t="inlineStr">
        <is>
          <t>1</t>
        </is>
      </c>
      <c r="J296" s="38"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38" t="n"/>
      <c r="L296" s="39" t="inlineStr">
        <is>
          <t>HIV infection</t>
        </is>
      </c>
      <c r="M296" s="39" t="inlineStr">
        <is>
          <t>Clinic</t>
        </is>
      </c>
      <c r="N296" s="38" t="inlineStr">
        <is>
          <t>ข้อ 8 (PLE_CC1_Key_Rx20_UBU.md)</t>
        </is>
      </c>
      <c r="O296" s="39" t="n"/>
      <c r="P296" s="39" t="n"/>
    </row>
    <row r="297" ht="13.2" customHeight="1" s="49">
      <c r="A297" s="37" t="n">
        <v>295</v>
      </c>
      <c r="B297" s="38" t="inlineStr">
        <is>
          <t>Herpe zoster ตากุ้งยิงเป็นการอักเสบหรือติดเชื้อจากการอุดตันของต่อมไขมันบริเวณเปลือกตา</t>
        </is>
      </c>
      <c r="C297" s="38" t="n"/>
      <c r="D297" s="38" t="inlineStr">
        <is>
          <t>Nitrofurantoin 100 mg BID</t>
        </is>
      </c>
      <c r="E297" s="38" t="inlineStr">
        <is>
          <t>Tenofovir/Emtricitabine 300/200 mg OD</t>
        </is>
      </c>
      <c r="F297" s="38" t="inlineStr">
        <is>
          <t>Dolutegravir 50 mg OD</t>
        </is>
      </c>
      <c r="G297" s="38" t="inlineStr">
        <is>
          <t>Vancomycin 1 g IV Q12H</t>
        </is>
      </c>
      <c r="H297" s="38" t="inlineStr">
        <is>
          <t>Meropenem 1 g IV Q8H</t>
        </is>
      </c>
      <c r="I297" s="37" t="inlineStr">
        <is>
          <t>5</t>
        </is>
      </c>
      <c r="J297" s="38"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38" t="n"/>
      <c r="L297" s="39" t="inlineStr">
        <is>
          <t>HIV infection</t>
        </is>
      </c>
      <c r="M297" s="39" t="inlineStr">
        <is>
          <t>Clinic</t>
        </is>
      </c>
      <c r="N297" s="38" t="inlineStr">
        <is>
          <t>ข้อ 5 (PLE_CC1_Key_Rx20_UBU.md)</t>
        </is>
      </c>
      <c r="O297" s="39" t="n"/>
      <c r="P297" s="39" t="n"/>
    </row>
    <row r="298" ht="13.2" customHeight="1" s="49">
      <c r="A298" s="37" t="n">
        <v>296</v>
      </c>
      <c r="B298" s="38" t="inlineStr">
        <is>
          <t>dicloxacillin ต่างจาก amoxicillin อย่างไร</t>
        </is>
      </c>
      <c r="C298" s="38" t="n"/>
      <c r="D298" s="38" t="inlineStr">
        <is>
          <t>Vancomycin 1 g IV Q12H</t>
        </is>
      </c>
      <c r="E298" s="38" t="inlineStr">
        <is>
          <t>Meropenem 1 g IV Q8H</t>
        </is>
      </c>
      <c r="F298" s="38" t="inlineStr">
        <is>
          <t>Cefazolin 1 g IV Q8H</t>
        </is>
      </c>
      <c r="G298" s="38" t="inlineStr">
        <is>
          <t>Amoxicillin/Clavulanate 1 g BID</t>
        </is>
      </c>
      <c r="H298" s="38" t="inlineStr">
        <is>
          <t>Ceftriaxone 1 g IV OD</t>
        </is>
      </c>
      <c r="I298" s="37" t="inlineStr">
        <is>
          <t>1</t>
        </is>
      </c>
      <c r="J298"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38" t="n"/>
      <c r="L298" s="39" t="inlineStr">
        <is>
          <t>URTI</t>
        </is>
      </c>
      <c r="M298" s="39" t="inlineStr">
        <is>
          <t>Clinic</t>
        </is>
      </c>
      <c r="N298" s="38" t="inlineStr">
        <is>
          <t>ข้อ 5 (PLE_CC1_Key_Rx20_UBU.md)</t>
        </is>
      </c>
      <c r="O298" s="39" t="n"/>
      <c r="P298" s="39" t="n"/>
    </row>
    <row r="299" ht="13.2" customHeight="1" s="49">
      <c r="A299" s="37" t="n">
        <v>297</v>
      </c>
      <c r="B299" s="38" t="inlineStr">
        <is>
          <t>ทน bata lactamase มากกว่า amoxicillin</t>
        </is>
      </c>
      <c r="C299" s="38" t="n"/>
      <c r="D299" s="38" t="inlineStr">
        <is>
          <t>Amoxicillin/Clavulanate 1 g BID</t>
        </is>
      </c>
      <c r="E299" s="38" t="inlineStr">
        <is>
          <t>Ceftriaxone 1 g IV OD</t>
        </is>
      </c>
      <c r="F299" s="38" t="inlineStr">
        <is>
          <t>Ciprofloxacin 500 mg BID</t>
        </is>
      </c>
      <c r="G299" s="38" t="inlineStr">
        <is>
          <t>Azithromycin 500 mg OD</t>
        </is>
      </c>
      <c r="H299" s="38" t="inlineStr">
        <is>
          <t>Doxycycline 100 mg BID</t>
        </is>
      </c>
      <c r="I299" s="37" t="inlineStr">
        <is>
          <t>1</t>
        </is>
      </c>
      <c r="J299" s="38" t="inlineStr">
        <is>
          <t>✅ คำตอบที่ถูกต้อง: ข้อ ก. Amoxicillin/Clavulanate 1 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38" t="n"/>
      <c r="L299" s="39" t="inlineStr">
        <is>
          <t>URTI</t>
        </is>
      </c>
      <c r="M299" s="39" t="inlineStr">
        <is>
          <t>Clinic</t>
        </is>
      </c>
      <c r="N299" s="38" t="inlineStr">
        <is>
          <t>ข้อ 1 (PLE_CC1_Key_Rx20_UBU.md)</t>
        </is>
      </c>
      <c r="O299" s="39" t="n"/>
      <c r="P299" s="39" t="n"/>
    </row>
    <row r="300" ht="13.2" customHeight="1" s="49">
      <c r="A300" s="37" t="n">
        <v>298</v>
      </c>
      <c r="B300" s="38" t="inlineStr">
        <is>
          <t>ใช้ร่วมกับยา rifampin</t>
        </is>
      </c>
      <c r="C300" s="38" t="n"/>
      <c r="D300" s="38" t="inlineStr">
        <is>
          <t>Azithromycin 500 mg OD</t>
        </is>
      </c>
      <c r="E300" s="38" t="inlineStr">
        <is>
          <t>Doxycycline 100 mg BID</t>
        </is>
      </c>
      <c r="F300" s="38" t="inlineStr">
        <is>
          <t>Cotrimoxazole 160/800 mg BID</t>
        </is>
      </c>
      <c r="G300" s="38" t="inlineStr">
        <is>
          <t>Metronidazole 400 mg TID</t>
        </is>
      </c>
      <c r="H300" s="38" t="inlineStr">
        <is>
          <t>Nitrofurantoin 100 mg BID</t>
        </is>
      </c>
      <c r="I300" s="37" t="inlineStr">
        <is>
          <t>1</t>
        </is>
      </c>
      <c r="J300" s="38"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38" t="n"/>
      <c r="L300" s="39" t="inlineStr">
        <is>
          <t>HIV infection</t>
        </is>
      </c>
      <c r="M300" s="39" t="inlineStr">
        <is>
          <t>Clinic</t>
        </is>
      </c>
      <c r="N300" s="38" t="inlineStr">
        <is>
          <t>ข้อ 4 (PLE_CC1_Key_Rx20_UBU.md)</t>
        </is>
      </c>
      <c r="O300" s="39" t="n"/>
      <c r="P300" s="39" t="n"/>
    </row>
    <row r="301" ht="13.2" customHeight="1" s="49">
      <c r="A301" s="37" t="n">
        <v>299</v>
      </c>
      <c r="B301" s="38"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38" t="n"/>
      <c r="D301" s="38" t="inlineStr">
        <is>
          <t>Metronidazole 400 mg TID</t>
        </is>
      </c>
      <c r="E301" s="38" t="inlineStr">
        <is>
          <t>Nitrofurantoin 100 mg BID</t>
        </is>
      </c>
      <c r="F301" s="38" t="inlineStr">
        <is>
          <t>Tenofovir/Emtricitabine 300/200 mg OD</t>
        </is>
      </c>
      <c r="G301" s="38" t="inlineStr">
        <is>
          <t>Dolutegravir 50 mg OD</t>
        </is>
      </c>
      <c r="H301" s="38" t="inlineStr">
        <is>
          <t>Vancomycin 1 g IV Q12H</t>
        </is>
      </c>
      <c r="I301" s="37" t="inlineStr">
        <is>
          <t>1</t>
        </is>
      </c>
      <c r="J301" s="38"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38" t="n"/>
      <c r="L301" s="39" t="inlineStr">
        <is>
          <t>HIV infection</t>
        </is>
      </c>
      <c r="M301" s="39" t="inlineStr">
        <is>
          <t>Clinic</t>
        </is>
      </c>
      <c r="N301" s="38" t="inlineStr">
        <is>
          <t>ข้อ 5 (PLE_CC1_Key_Rx20_UBU.md)</t>
        </is>
      </c>
      <c r="O301" s="39" t="n"/>
      <c r="P301" s="39" t="n"/>
    </row>
    <row r="302" ht="13.2" customHeight="1" s="49">
      <c r="A302" s="37" t="n">
        <v>300</v>
      </c>
      <c r="B302" s="38" t="inlineStr">
        <is>
          <t>ป้องกันภาวะแทรกซ้อนจากการติดเชื้อในช่องท้อง</t>
        </is>
      </c>
      <c r="C302" s="38" t="n"/>
      <c r="D302" s="38" t="inlineStr">
        <is>
          <t>Dolutegravir 50 mg OD</t>
        </is>
      </c>
      <c r="E302" s="38" t="inlineStr">
        <is>
          <t>Vancomycin 1 g IV Q12H</t>
        </is>
      </c>
      <c r="F302" s="38" t="inlineStr">
        <is>
          <t>Meropenem 1 g IV Q8H</t>
        </is>
      </c>
      <c r="G302" s="38" t="inlineStr">
        <is>
          <t>Cefazolin 1 g IV Q8H</t>
        </is>
      </c>
      <c r="H302" s="38" t="inlineStr">
        <is>
          <t>Amoxicillin/Clavulanate 1 g BID</t>
        </is>
      </c>
      <c r="I302" s="37" t="inlineStr">
        <is>
          <t>1</t>
        </is>
      </c>
      <c r="J302"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38" t="n"/>
      <c r="L302" s="39" t="inlineStr">
        <is>
          <t>HIV infection</t>
        </is>
      </c>
      <c r="M302" s="39" t="inlineStr">
        <is>
          <t>Clinic</t>
        </is>
      </c>
      <c r="N302" s="38" t="inlineStr">
        <is>
          <t>ข้อ 1 (PLE_CC1_Key_Rx20_UBU.md)</t>
        </is>
      </c>
      <c r="O302" s="39" t="n"/>
      <c r="P302" s="39" t="n"/>
    </row>
    <row r="303" ht="13.2" customHeight="1" s="49">
      <c r="A303" s="37" t="n">
        <v>301</v>
      </c>
      <c r="B303" s="38" t="inlineStr">
        <is>
          <t>น่าจะติดเชื้อใด</t>
        </is>
      </c>
      <c r="C303" s="38" t="n"/>
      <c r="D303" s="38" t="inlineStr">
        <is>
          <t>Cefazolin 1 g IV Q8H</t>
        </is>
      </c>
      <c r="E303" s="38" t="inlineStr">
        <is>
          <t>Amoxicillin/Clavulanate 1 g BID</t>
        </is>
      </c>
      <c r="F303" s="38" t="inlineStr">
        <is>
          <t>Ceftriaxone 1 g IV OD</t>
        </is>
      </c>
      <c r="G303" s="38" t="inlineStr">
        <is>
          <t>Ciprofloxacin 500 mg BID</t>
        </is>
      </c>
      <c r="H303" s="38" t="inlineStr">
        <is>
          <t>Azithromycin 500 mg OD</t>
        </is>
      </c>
      <c r="I303" s="37" t="inlineStr">
        <is>
          <t>1</t>
        </is>
      </c>
      <c r="J303" s="38"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38" t="n"/>
      <c r="L303" s="39" t="inlineStr">
        <is>
          <t>HIV infection</t>
        </is>
      </c>
      <c r="M303" s="39" t="inlineStr">
        <is>
          <t>Clinic</t>
        </is>
      </c>
      <c r="N303" s="38" t="inlineStr">
        <is>
          <t>ข้อ 1 (PLE_CC1_Key_Rx20_UBU.md)</t>
        </is>
      </c>
      <c r="O303" s="39" t="n"/>
      <c r="P303" s="39" t="n"/>
    </row>
    <row r="304" ht="13.2" customHeight="1" s="49">
      <c r="A304" s="37" t="n">
        <v>302</v>
      </c>
      <c r="B304" s="38" t="inlineStr">
        <is>
          <t>ข้อใดน่าจะเป็นสาเหตุของการติดเชื้อในครั้งนี้มากที่สุด</t>
        </is>
      </c>
      <c r="C304" s="38" t="n"/>
      <c r="D304" s="38" t="inlineStr">
        <is>
          <t>Ciprofloxacin 500 mg BID</t>
        </is>
      </c>
      <c r="E304" s="38" t="inlineStr">
        <is>
          <t>Azithromycin 500 mg OD</t>
        </is>
      </c>
      <c r="F304" s="38" t="inlineStr">
        <is>
          <t>Doxycycline 100 mg BID</t>
        </is>
      </c>
      <c r="G304" s="38" t="inlineStr">
        <is>
          <t>Cotrimoxazole 160/800 mg BID</t>
        </is>
      </c>
      <c r="H304" s="38" t="inlineStr">
        <is>
          <t>Metronidazole 400 mg TID</t>
        </is>
      </c>
      <c r="I304" s="37" t="inlineStr">
        <is>
          <t>1</t>
        </is>
      </c>
      <c r="J304" s="38"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38" t="n"/>
      <c r="L304" s="39" t="inlineStr">
        <is>
          <t>HIV infection</t>
        </is>
      </c>
      <c r="M304" s="39" t="inlineStr">
        <is>
          <t>Clinic</t>
        </is>
      </c>
      <c r="N304" s="38" t="inlineStr">
        <is>
          <t>ข้อ 2 (PLE_CC1_Key_Rx20_UBU.md)</t>
        </is>
      </c>
      <c r="O304" s="39" t="n"/>
      <c r="P304" s="39" t="n"/>
    </row>
    <row r="305" ht="13.2" customHeight="1" s="49">
      <c r="A305" s="37" t="n">
        <v>303</v>
      </c>
      <c r="B305" s="38" t="inlineStr">
        <is>
          <t>Fluticasone ICS</t>
        </is>
      </c>
      <c r="C305" s="38" t="n"/>
      <c r="D305" s="38" t="inlineStr">
        <is>
          <t>Cotrimoxazole 160/800 mg BID</t>
        </is>
      </c>
      <c r="E305" s="38" t="inlineStr">
        <is>
          <t>Metronidazole 400 mg TID</t>
        </is>
      </c>
      <c r="F305" s="38" t="inlineStr">
        <is>
          <t>Nitrofurantoin 100 mg BID</t>
        </is>
      </c>
      <c r="G305" s="38" t="inlineStr">
        <is>
          <t>Tenofovir/Emtricitabine 300/200 mg OD</t>
        </is>
      </c>
      <c r="H305" s="38" t="inlineStr">
        <is>
          <t>Dolutegravir 50 mg OD</t>
        </is>
      </c>
      <c r="I305" s="37" t="inlineStr">
        <is>
          <t>1</t>
        </is>
      </c>
      <c r="J305" s="38"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38" t="n"/>
      <c r="L305" s="39" t="inlineStr">
        <is>
          <t>Cystitis</t>
        </is>
      </c>
      <c r="M305" s="39" t="inlineStr">
        <is>
          <t>Clinic</t>
        </is>
      </c>
      <c r="N305" s="38" t="inlineStr">
        <is>
          <t>ข้อ 1 (PLE_CC1_Key_Rx20_UBU.md)</t>
        </is>
      </c>
      <c r="O305" s="39" t="n"/>
      <c r="P305" s="39" t="n"/>
    </row>
    <row r="306" ht="13.2" customHeight="1" s="49">
      <c r="A306" s="37" t="n">
        <v>304</v>
      </c>
      <c r="B306" s="38" t="inlineStr">
        <is>
          <t>ติดเชื้อ H.pylori</t>
        </is>
      </c>
      <c r="C306" s="38" t="n"/>
      <c r="D306" s="38" t="inlineStr">
        <is>
          <t>Tenofovir/Emtricitabine 300/200 mg OD</t>
        </is>
      </c>
      <c r="E306" s="38" t="inlineStr">
        <is>
          <t>Dolutegravir 50 mg OD</t>
        </is>
      </c>
      <c r="F306" s="38" t="inlineStr">
        <is>
          <t>Vancomycin 1 g IV Q12H</t>
        </is>
      </c>
      <c r="G306" s="38" t="inlineStr">
        <is>
          <t>Meropenem 1 g IV Q8H</t>
        </is>
      </c>
      <c r="H306" s="38" t="inlineStr">
        <is>
          <t>Cefazolin 1 g IV Q8H</t>
        </is>
      </c>
      <c r="I306" s="37" t="inlineStr">
        <is>
          <t>1</t>
        </is>
      </c>
      <c r="J306" s="38"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38" t="n"/>
      <c r="L306" s="39" t="inlineStr">
        <is>
          <t>HIV infection</t>
        </is>
      </c>
      <c r="M306" s="39" t="inlineStr">
        <is>
          <t>Clinic</t>
        </is>
      </c>
      <c r="N306" s="38" t="inlineStr">
        <is>
          <t>ข้อ 3 (PLE_CC1_Key_Rx20_UBU.md)</t>
        </is>
      </c>
      <c r="O306" s="39" t="n"/>
      <c r="P306" s="39" t="n"/>
    </row>
    <row r="307" ht="13.2" customHeight="1" s="49">
      <c r="A307" s="37" t="n">
        <v>305</v>
      </c>
      <c r="B307" s="38" t="inlineStr">
        <is>
          <t>ยาตาน HIV ที่ผูปวยไดรับมีผลรบกวนยาแกปวดหัวไมเกรนยังไง</t>
        </is>
      </c>
      <c r="C307" s="38" t="n"/>
      <c r="D307" s="38" t="inlineStr">
        <is>
          <t>Meropenem 1 g IV Q8H</t>
        </is>
      </c>
      <c r="E307" s="38" t="inlineStr">
        <is>
          <t>Cefazolin 1 g IV Q8H</t>
        </is>
      </c>
      <c r="F307" s="38" t="inlineStr">
        <is>
          <t>Amoxicillin/Clavulanate 1 g BID</t>
        </is>
      </c>
      <c r="G307" s="38" t="inlineStr">
        <is>
          <t>Ceftriaxone 1 g IV OD</t>
        </is>
      </c>
      <c r="H307" s="38" t="inlineStr">
        <is>
          <t>Ciprofloxacin 500 mg BID</t>
        </is>
      </c>
      <c r="I307" s="37" t="inlineStr">
        <is>
          <t>1</t>
        </is>
      </c>
      <c r="J307" s="38"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38" t="n"/>
      <c r="L307" s="39" t="inlineStr">
        <is>
          <t>HIV infection</t>
        </is>
      </c>
      <c r="M307" s="39" t="inlineStr">
        <is>
          <t>Clinic</t>
        </is>
      </c>
      <c r="N307" s="38" t="inlineStr">
        <is>
          <t>ข้อ 1 (PLE_CC1_Key_Rx20_UBU.md)</t>
        </is>
      </c>
      <c r="O307" s="39" t="n"/>
      <c r="P307" s="39" t="n"/>
    </row>
    <row r="308" ht="13.2" customHeight="1" s="49">
      <c r="A308" s="37" t="n">
        <v>306</v>
      </c>
      <c r="B308" s="38" t="inlineStr">
        <is>
          <t>ผู้ป่วยรายนี้ติดเชื้ออะไร</t>
        </is>
      </c>
      <c r="C308" s="38" t="n"/>
      <c r="D308" s="38" t="inlineStr">
        <is>
          <t>Adeno virus</t>
        </is>
      </c>
      <c r="E308" s="38" t="inlineStr">
        <is>
          <t>Influenza virus</t>
        </is>
      </c>
      <c r="F308" s="38" t="inlineStr">
        <is>
          <t>Haemophilus influenza</t>
        </is>
      </c>
      <c r="G308" s="38" t="inlineStr">
        <is>
          <t>streptococcus pyrogenes</t>
        </is>
      </c>
      <c r="H308" s="38" t="inlineStr">
        <is>
          <t>streptococcus pneumoniae</t>
        </is>
      </c>
      <c r="I308" s="37" t="inlineStr">
        <is>
          <t>1</t>
        </is>
      </c>
      <c r="J308" s="38"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38" t="n"/>
      <c r="L308" s="39" t="inlineStr">
        <is>
          <t>HIV infection</t>
        </is>
      </c>
      <c r="M308" s="39" t="inlineStr">
        <is>
          <t>Clinic</t>
        </is>
      </c>
      <c r="N308" s="38" t="inlineStr">
        <is>
          <t>ข้อ 37 (PLE_CC1_Key_Rx20_UBU.md)</t>
        </is>
      </c>
      <c r="O308" s="39" t="n"/>
      <c r="P308" s="39" t="n"/>
    </row>
    <row r="309" ht="13.2" customHeight="1" s="49">
      <c r="A309" s="42" t="n">
        <v>307</v>
      </c>
      <c r="B309" s="38"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38" t="n"/>
      <c r="D309" s="38" t="inlineStr">
        <is>
          <t>1IRZE/5IR</t>
        </is>
      </c>
      <c r="E309" s="38" t="inlineStr">
        <is>
          <t>2IRZE/2IR</t>
        </is>
      </c>
      <c r="F309" s="38" t="inlineStr">
        <is>
          <t>2IRZE/4IR</t>
        </is>
      </c>
      <c r="G309" s="38" t="inlineStr">
        <is>
          <t>3IRZE/2IR</t>
        </is>
      </c>
      <c r="H309" s="38" t="inlineStr">
        <is>
          <t>3IRZE/3IR</t>
        </is>
      </c>
      <c r="I309" s="37" t="inlineStr">
        <is>
          <t>3</t>
        </is>
      </c>
      <c r="J309" s="38"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38" t="n"/>
      <c r="L309" s="39" t="inlineStr">
        <is>
          <t>Tuberculosis</t>
        </is>
      </c>
      <c r="M309" s="39" t="inlineStr">
        <is>
          <t>Clinic</t>
        </is>
      </c>
      <c r="N309" s="38" t="inlineStr">
        <is>
          <t>Mock PLE-CC 1 ข้อ 95</t>
        </is>
      </c>
      <c r="O309" s="39" t="n"/>
      <c r="P309" s="39" t="n"/>
    </row>
    <row r="310" ht="13.2" customHeight="1" s="49">
      <c r="A310" s="42" t="n">
        <v>308</v>
      </c>
      <c r="B310" s="38"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38" t="n"/>
      <c r="D310" s="38" t="inlineStr">
        <is>
          <t>หยุดยา Ethambutol (E) เพียงตัวเดียว</t>
        </is>
      </c>
      <c r="E310" s="38" t="inlineStr">
        <is>
          <t>หยุดยา Isoniazid (I) และ Rifampicin (R) แต่คง Pyrazinamide (Z) ไว้</t>
        </is>
      </c>
      <c r="F310" s="38" t="inlineStr">
        <is>
          <t>หยุดยาที่มีพิษต่อตับ (I, R, Z) ทันที รอระดับเอนไซม์ตับกลับมาปกติก่อนพิจารณาเริ่มยาใหม่</t>
        </is>
      </c>
      <c r="G310" s="38" t="inlineStr">
        <is>
          <t>หยุดยา I, R, Z รอระดับเอนไซม์กลับมาปกติแล้วเริ่มยาทุกตัวพร้อมกันในขนาดครึ่งหนึ่ง</t>
        </is>
      </c>
      <c r="H310" s="38" t="inlineStr">
        <is>
          <t>ใช้ยาต่อเนื่องได้ ไม่ต้องหยุดยาเนื่องจากเอนไซม์ตับยังไม่เกิน 5 เท่า</t>
        </is>
      </c>
      <c r="I310" s="37" t="inlineStr">
        <is>
          <t>3</t>
        </is>
      </c>
      <c r="J310" s="38"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38" t="n"/>
      <c r="L310" s="39" t="inlineStr">
        <is>
          <t>Tuberculosis</t>
        </is>
      </c>
      <c r="M310" s="39" t="inlineStr">
        <is>
          <t>Clinic</t>
        </is>
      </c>
      <c r="N310" s="38" t="inlineStr">
        <is>
          <t>Mock PLE-CC 1 ข้อ 96</t>
        </is>
      </c>
      <c r="O310" s="39" t="n"/>
      <c r="P310" s="39" t="n"/>
    </row>
    <row r="311" ht="13.2" customHeight="1" s="49">
      <c r="A311" s="42" t="n">
        <v>309</v>
      </c>
      <c r="B311" s="38" t="inlineStr">
        <is>
          <t>ข้อใดถูกต้องเกี่ยวกับยา Rifampicin ในสูตรการรักษาวัณโรค</t>
        </is>
      </c>
      <c r="C311" s="38" t="n"/>
      <c r="D311" s="38" t="inlineStr">
        <is>
          <t>ยานี้ออกฤทธิ์ยับยั้งการสังเคราะห์ DNA โดยตรง</t>
        </is>
      </c>
      <c r="E311" s="38" t="inlineStr">
        <is>
          <t>ยานี้ออกฤทธิ์ยับยั้งการสังเคราะห์เยื่อหุ้มเซลล์</t>
        </is>
      </c>
      <c r="F311" s="38" t="inlineStr">
        <is>
          <t>ยานี้ทำให้ปัสสาวะ น้ำตา และสารคัดหลั่งในร่างกายเปลี่ยนเป็นสีส้มแดง</t>
        </is>
      </c>
      <c r="G311" s="38" t="inlineStr">
        <is>
          <t>Product acetyl ของยานี้เป็นพิษต่อตับจากการทำงานของเอนไซม์ NAT2</t>
        </is>
      </c>
      <c r="H311" s="38" t="inlineStr">
        <is>
          <t>ยานี้เป็นเอนไซม์อินฮิบิเตอร์ที่ยับยั้งการทำงานของ CYP3A4 อย่างแรง</t>
        </is>
      </c>
      <c r="I311" s="37" t="inlineStr">
        <is>
          <t>3</t>
        </is>
      </c>
      <c r="J311" s="38"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38" t="n"/>
      <c r="L311" s="39" t="inlineStr">
        <is>
          <t>Tuberculosis</t>
        </is>
      </c>
      <c r="M311" s="39" t="inlineStr">
        <is>
          <t>Clinic</t>
        </is>
      </c>
      <c r="N311" s="38" t="inlineStr">
        <is>
          <t>Mock PLE-CC 1 ข้อ 103</t>
        </is>
      </c>
      <c r="O311" s="39" t="n"/>
      <c r="P311" s="39" t="n"/>
    </row>
    <row r="312" ht="13.2" customHeight="1" s="49">
      <c r="A312" s="42" t="n">
        <v>310</v>
      </c>
      <c r="B312" s="38"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38" t="n"/>
      <c r="D312" s="38" t="inlineStr">
        <is>
          <t>Dolutegravir (DTG)</t>
        </is>
      </c>
      <c r="E312" s="38" t="inlineStr">
        <is>
          <t>Lopinavir/Ritonavir (LPV/r)</t>
        </is>
      </c>
      <c r="F312" s="38" t="inlineStr">
        <is>
          <t>Etravirine (ETR)</t>
        </is>
      </c>
      <c r="G312" s="38" t="inlineStr">
        <is>
          <t>Emtricitabine (FTC)</t>
        </is>
      </c>
      <c r="H312" s="38" t="inlineStr">
        <is>
          <t>Enfuvirtide (T-20)</t>
        </is>
      </c>
      <c r="I312" s="37" t="inlineStr">
        <is>
          <t>2</t>
        </is>
      </c>
      <c r="J312" s="38"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38" t="n"/>
      <c r="L312" s="39" t="inlineStr">
        <is>
          <t>Infectious diseases</t>
        </is>
      </c>
      <c r="M312" s="39" t="inlineStr">
        <is>
          <t>Clinic</t>
        </is>
      </c>
      <c r="N312" s="38" t="inlineStr">
        <is>
          <t>PLE_CC1_2567_Key ข้อ 12</t>
        </is>
      </c>
      <c r="O312" s="39" t="n"/>
      <c r="P312" s="39" t="n"/>
    </row>
    <row r="313" ht="13.2" customHeight="1" s="49">
      <c r="A313" t="n">
        <v>311</v>
      </c>
      <c r="B313" t="inlineStr">
        <is>
          <t>ถ้าผู้ป่วยติดเชื้อในช่องท้อง (SBP) ยาใดที่ควรให้</t>
        </is>
      </c>
      <c r="D313" t="inlineStr">
        <is>
          <t>Imipenem</t>
        </is>
      </c>
      <c r="E313" t="inlineStr">
        <is>
          <t>Ceftazidime IV</t>
        </is>
      </c>
      <c r="F313" t="inlineStr">
        <is>
          <t>Cefotaxime IV</t>
        </is>
      </c>
      <c r="G313" t="inlineStr">
        <is>
          <t>Norfloxacin oral</t>
        </is>
      </c>
      <c r="H313" t="inlineStr">
        <is>
          <t>Amoxicillin/clavulanic IV</t>
        </is>
      </c>
      <c r="I313" t="inlineStr">
        <is>
          <t>1</t>
        </is>
      </c>
      <c r="J313"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88 (PLE_CC1_2558_Key.md)</t>
        </is>
      </c>
    </row>
    <row r="314" ht="13.2" customHeight="1" s="49">
      <c r="A314" t="n">
        <v>312</v>
      </c>
      <c r="B314" t="inlineStr">
        <is>
          <t>เชื้อสาเหตุของ SBP คือข้อใด</t>
        </is>
      </c>
      <c r="D314" t="inlineStr">
        <is>
          <t>S. aureus</t>
        </is>
      </c>
      <c r="E314" t="inlineStr">
        <is>
          <t>S. pyogenes</t>
        </is>
      </c>
      <c r="F314" t="inlineStr">
        <is>
          <t>K. pneumoniea</t>
        </is>
      </c>
      <c r="G314" t="inlineStr">
        <is>
          <t>P. aeroginosa</t>
        </is>
      </c>
      <c r="H314" t="inlineStr">
        <is>
          <t>Proteus mirabilis</t>
        </is>
      </c>
      <c r="I314" t="inlineStr">
        <is>
          <t>1</t>
        </is>
      </c>
      <c r="J314"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90 (PLE_CC1_2558_Key.md)</t>
        </is>
      </c>
    </row>
    <row r="315" ht="13.2" customHeight="1" s="49">
      <c r="A315" t="n">
        <v>313</v>
      </c>
      <c r="B315" t="inlineStr">
        <is>
          <t>ยาที่ออกฤทธิ์ต่อพยาธิ โดยการยับยั้งการสร้าง microtubule และมีผลยับยั้งการนำกลูโคสเข้าเซลล์ คือยา ในข้อใด</t>
        </is>
      </c>
      <c r="D315" t="inlineStr">
        <is>
          <t>Praziquantel</t>
        </is>
      </c>
      <c r="E315" t="inlineStr">
        <is>
          <t>Niclosamide</t>
        </is>
      </c>
      <c r="F315" t="inlineStr">
        <is>
          <t>Mebendazole</t>
        </is>
      </c>
      <c r="G315" t="inlineStr">
        <is>
          <t>Pyrantel pamoate</t>
        </is>
      </c>
      <c r="H315" t="inlineStr">
        <is>
          <t>Ivermectin</t>
        </is>
      </c>
      <c r="I315" t="inlineStr">
        <is>
          <t>1</t>
        </is>
      </c>
      <c r="J315"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40 (PLE_CC1_Practice_Exam.md)</t>
        </is>
      </c>
    </row>
    <row r="316" ht="13.2" customHeight="1" s="49">
      <c r="A316" t="n">
        <v>314</v>
      </c>
      <c r="B316" t="inlineStr">
        <is>
          <t>กระบวนการเปลี่ยนแปลงตัวยาในกลุ่ม nitroimidazole ให้อยู่ในรูปที่ออกฤทธิ์ได้ในเชื้อโปรโตซัวเรียกว่า อะไร</t>
        </is>
      </c>
      <c r="D316" t="inlineStr">
        <is>
          <t>Nitro-Reduction</t>
        </is>
      </c>
      <c r="E316" t="inlineStr">
        <is>
          <t>Hydroxylation</t>
        </is>
      </c>
      <c r="F316" t="inlineStr">
        <is>
          <t>Hydrolysis</t>
        </is>
      </c>
      <c r="G316" t="inlineStr">
        <is>
          <t>Demethylation</t>
        </is>
      </c>
      <c r="H316" t="inlineStr">
        <is>
          <t>Cyclization</t>
        </is>
      </c>
      <c r="I316" t="inlineStr">
        <is>
          <t>1</t>
        </is>
      </c>
      <c r="J316"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6" t="inlineStr">
        <is>
          <t>Hypertension</t>
        </is>
      </c>
      <c r="M316" t="inlineStr">
        <is>
          <t>Clinic</t>
        </is>
      </c>
      <c r="N316" t="inlineStr">
        <is>
          <t>ข้อ 43 (PLE_CC1_Practice_Exam.md)</t>
        </is>
      </c>
    </row>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Q145"/>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37" t="n">
        <v>1</v>
      </c>
      <c r="B3" s="38"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38" t="n"/>
      <c r="D3" s="38" t="inlineStr">
        <is>
          <t>แนะนำให้ผู้ป่วยหลีกเลี่ยงปัจจัยกระตุ้นให้เกิดการชัก</t>
        </is>
      </c>
      <c r="E3" s="38" t="inlineStr">
        <is>
          <t>สามารถรักษาโรคชักบางชนิดได้ด้วยการผ่าตัด</t>
        </is>
      </c>
      <c r="F3" s="38" t="inlineStr">
        <is>
          <t>ควรใช้ยากันชักเฉพาะช่วงที่ผู้ป่วยมีอาการชักเท่านั้น</t>
        </is>
      </c>
      <c r="G3" s="38" t="inlineStr">
        <is>
          <t>หากใช้ยากันชักชนิดเดียวไม่ได้ผล อาจจะพิจารณาเพิ่มยาตัวที่สอง</t>
        </is>
      </c>
      <c r="H3" s="38" t="inlineStr">
        <is>
          <t>หากยากันชักชนิดแรกไม่สามารถควบคุมอาการชักได้ ให้ใช้ยาตัวอื่นหรือใช้ยา 2 ชนิดร่วมกัน</t>
        </is>
      </c>
      <c r="I3" s="37" t="inlineStr">
        <is>
          <t>3</t>
        </is>
      </c>
      <c r="J3" s="38"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38" t="n"/>
      <c r="L3" s="39" t="inlineStr">
        <is>
          <t>Epilepsy</t>
        </is>
      </c>
      <c r="M3" s="39" t="inlineStr">
        <is>
          <t>Clinic</t>
        </is>
      </c>
      <c r="N3" s="38" t="inlineStr">
        <is>
          <t>ข้อ 1 Pharma Plus เล่มม่วง (เฉลยข้อ ค)</t>
        </is>
      </c>
      <c r="O3" s="39" t="n"/>
      <c r="P3" s="39" t="n"/>
    </row>
    <row r="4" ht="13.2" customHeight="1" s="49">
      <c r="A4" s="37" t="n">
        <v>2</v>
      </c>
      <c r="B4" s="38" t="inlineStr">
        <is>
          <t>ยากันชักข้อใดที่มีกลไกการออกฤทธิ์เหมือนกับ phenytoin sodium</t>
        </is>
      </c>
      <c r="C4" s="38" t="n"/>
      <c r="D4" s="38" t="inlineStr">
        <is>
          <t>Ethosuximide</t>
        </is>
      </c>
      <c r="E4" s="38" t="inlineStr">
        <is>
          <t>Diazepam</t>
        </is>
      </c>
      <c r="F4" s="38" t="inlineStr">
        <is>
          <t>Vigabatrin</t>
        </is>
      </c>
      <c r="G4" s="38" t="inlineStr">
        <is>
          <t>Carbamazepine</t>
        </is>
      </c>
      <c r="H4" s="38" t="inlineStr">
        <is>
          <t>Gabapentin</t>
        </is>
      </c>
      <c r="I4" s="37" t="inlineStr">
        <is>
          <t>4</t>
        </is>
      </c>
      <c r="J4" s="38"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38" t="n"/>
      <c r="L4" s="39" t="inlineStr">
        <is>
          <t>Epilepsy</t>
        </is>
      </c>
      <c r="M4" s="39" t="inlineStr">
        <is>
          <t>Clinic</t>
        </is>
      </c>
      <c r="N4" s="38" t="inlineStr">
        <is>
          <t>ข้อ 2 Pharma Plus เล่มม่วง (เฉลยข้อ ง)</t>
        </is>
      </c>
      <c r="O4" s="39" t="n"/>
      <c r="P4" s="39" t="n"/>
    </row>
    <row r="5" ht="13.2" customHeight="1" s="49">
      <c r="A5" s="37" t="n">
        <v>3</v>
      </c>
      <c r="B5" s="38" t="inlineStr">
        <is>
          <t>อาการไม่พึงประสงค์ในข้อใดที่สัมพันธ์กับระดับ phenytoin ในกระแสเลือดของผู้ป่วย</t>
        </is>
      </c>
      <c r="C5" s="38" t="n"/>
      <c r="D5" s="38" t="inlineStr">
        <is>
          <t>Gingival hyperplasia</t>
        </is>
      </c>
      <c r="E5" s="38" t="inlineStr">
        <is>
          <t>Hepatitis</t>
        </is>
      </c>
      <c r="F5" s="38" t="inlineStr">
        <is>
          <t>Rash</t>
        </is>
      </c>
      <c r="G5" s="38" t="inlineStr">
        <is>
          <t>Ataxia</t>
        </is>
      </c>
      <c r="H5" s="38" t="inlineStr">
        <is>
          <t>Hyponatremia</t>
        </is>
      </c>
      <c r="I5" s="37" t="inlineStr">
        <is>
          <t>4</t>
        </is>
      </c>
      <c r="J5" s="38"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38" t="n"/>
      <c r="L5" s="39" t="inlineStr">
        <is>
          <t>Epilepsy</t>
        </is>
      </c>
      <c r="M5" s="39" t="inlineStr">
        <is>
          <t>Clinic</t>
        </is>
      </c>
      <c r="N5" s="38" t="inlineStr">
        <is>
          <t>ข้อ 3 Pharma Plus เล่มม่วง (เฉลยข้อ ง)</t>
        </is>
      </c>
      <c r="O5" s="39" t="n"/>
      <c r="P5" s="39" t="n"/>
    </row>
    <row r="6" ht="13.2" customHeight="1" s="49">
      <c r="A6" s="37" t="n">
        <v>4</v>
      </c>
      <c r="B6" s="38" t="inlineStr">
        <is>
          <t>ยากันชักตัวใดมีผลเพิ่มระดับความเข้มข้นของยาซึ่งผ่านกระบวนการเมตาบอลิซึมจากเอนไซม์ตัวเดียวกัน</t>
        </is>
      </c>
      <c r="C6" s="38" t="n"/>
      <c r="D6" s="38" t="inlineStr">
        <is>
          <t>Phenytoin</t>
        </is>
      </c>
      <c r="E6" s="38" t="inlineStr">
        <is>
          <t>Valproate</t>
        </is>
      </c>
      <c r="F6" s="38" t="inlineStr">
        <is>
          <t>Phenobarbital</t>
        </is>
      </c>
      <c r="G6" s="38" t="inlineStr">
        <is>
          <t>Carbamazepine</t>
        </is>
      </c>
      <c r="H6" s="38" t="inlineStr">
        <is>
          <t>Phenobarbital</t>
        </is>
      </c>
      <c r="I6" s="37" t="inlineStr">
        <is>
          <t>2</t>
        </is>
      </c>
      <c r="J6" s="38"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38" t="n"/>
      <c r="L6" s="39" t="inlineStr">
        <is>
          <t>Epilepsy</t>
        </is>
      </c>
      <c r="M6" s="39" t="inlineStr">
        <is>
          <t>Clinic</t>
        </is>
      </c>
      <c r="N6" s="38" t="inlineStr">
        <is>
          <t>ข้อ 4 Pharma Plus เล่มม่วง (เฉลยข้อ ข)</t>
        </is>
      </c>
      <c r="O6" s="39" t="n"/>
      <c r="P6" s="39" t="n"/>
    </row>
    <row r="7" ht="13.2" customHeight="1" s="49">
      <c r="A7" s="37" t="n">
        <v>5</v>
      </c>
      <c r="B7" s="38" t="inlineStr">
        <is>
          <t>ยาในข้อใดหากรับประทานพร้อมกับ phenytoin จะทำให้ phenytoin เพิ่มขึ้น</t>
        </is>
      </c>
      <c r="C7" s="38" t="n"/>
      <c r="D7" s="38" t="inlineStr">
        <is>
          <t>Erythromycin</t>
        </is>
      </c>
      <c r="E7" s="38" t="inlineStr">
        <is>
          <t>Cimetidine</t>
        </is>
      </c>
      <c r="F7" s="38" t="inlineStr">
        <is>
          <t>Conjugated estrogen</t>
        </is>
      </c>
      <c r="G7" s="38" t="inlineStr">
        <is>
          <t>Furosemide</t>
        </is>
      </c>
      <c r="H7" s="38" t="inlineStr">
        <is>
          <t>Thiazide</t>
        </is>
      </c>
      <c r="I7" s="37" t="inlineStr">
        <is>
          <t>2</t>
        </is>
      </c>
      <c r="J7" s="38"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38" t="n"/>
      <c r="L7" s="39" t="inlineStr">
        <is>
          <t>Epilepsy</t>
        </is>
      </c>
      <c r="M7" s="39" t="inlineStr">
        <is>
          <t>Clinic</t>
        </is>
      </c>
      <c r="N7" s="38" t="inlineStr">
        <is>
          <t>ข้อ 5 Pharma Plus เล่มม่วง (เฉลยข้อ ข)</t>
        </is>
      </c>
      <c r="O7" s="39" t="n"/>
      <c r="P7" s="39" t="n"/>
    </row>
    <row r="8" ht="13.2" customHeight="1" s="49">
      <c r="A8" s="37" t="n">
        <v>6</v>
      </c>
      <c r="B8" s="38"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38" t="n"/>
      <c r="D8" s="38" t="inlineStr">
        <is>
          <t>Migraine headache</t>
        </is>
      </c>
      <c r="E8" s="38" t="inlineStr">
        <is>
          <t>Tension headache</t>
        </is>
      </c>
      <c r="F8" s="38" t="inlineStr">
        <is>
          <t>Cluster headache</t>
        </is>
      </c>
      <c r="G8" s="38" t="inlineStr">
        <is>
          <t>Trauma headache</t>
        </is>
      </c>
      <c r="H8" s="38" t="inlineStr">
        <is>
          <t>Hypertension</t>
        </is>
      </c>
      <c r="I8" s="37" t="inlineStr">
        <is>
          <t>1</t>
        </is>
      </c>
      <c r="J8" s="38" t="inlineStr">
        <is>
          <t>✅ คำตอบที่ถูกต้อง: ข้อ ก. Migraine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38" t="n"/>
      <c r="L8" s="39" t="inlineStr">
        <is>
          <t>Headache</t>
        </is>
      </c>
      <c r="M8" s="39" t="inlineStr">
        <is>
          <t>Clinic</t>
        </is>
      </c>
      <c r="N8" s="38" t="inlineStr">
        <is>
          <t>ข้อ 6 Pharma Plus เล่มม่วง (เฉลยข้อ ก)</t>
        </is>
      </c>
      <c r="O8" s="39" t="n"/>
      <c r="P8" s="39" t="n"/>
    </row>
    <row r="9" ht="13.2" customHeight="1" s="49">
      <c r="A9" s="37" t="n">
        <v>7</v>
      </c>
      <c r="B9" s="38"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38" t="n"/>
      <c r="D9" s="38" t="inlineStr">
        <is>
          <t>Methyl ergotamine</t>
        </is>
      </c>
      <c r="E9" s="38" t="inlineStr">
        <is>
          <t>Sumatriptan</t>
        </is>
      </c>
      <c r="F9" s="38" t="inlineStr">
        <is>
          <t>Amitriptyline</t>
        </is>
      </c>
      <c r="G9" s="38" t="inlineStr">
        <is>
          <t>Naproxen</t>
        </is>
      </c>
      <c r="H9" s="38" t="inlineStr">
        <is>
          <t>Verapamil</t>
        </is>
      </c>
      <c r="I9" s="37" t="inlineStr">
        <is>
          <t>2</t>
        </is>
      </c>
      <c r="J9" s="38" t="inlineStr">
        <is>
          <t>✅ คำตอบที่ถูกต้อง: ข้อ ข. Sumatriptan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38" t="n"/>
      <c r="L9" s="39" t="inlineStr">
        <is>
          <t>Headache</t>
        </is>
      </c>
      <c r="M9" s="39" t="inlineStr">
        <is>
          <t>Clinic</t>
        </is>
      </c>
      <c r="N9" s="38" t="inlineStr">
        <is>
          <t>ข้อ 7 Pharma Plus เล่มม่วง (เฉลยข้อ ข)</t>
        </is>
      </c>
      <c r="O9" s="39" t="n"/>
      <c r="P9" s="39" t="n"/>
    </row>
    <row r="10" ht="13.2" customHeight="1" s="49">
      <c r="A10" s="37" t="n">
        <v>8</v>
      </c>
      <c r="B10" s="38"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38" t="n"/>
      <c r="D10" s="38" t="inlineStr">
        <is>
          <t>ขนาดเริ่มต้นคือ 1-2 เม็ด รับประทานเมื่อมีอาการ</t>
        </is>
      </c>
      <c r="E10" s="38" t="inlineStr">
        <is>
          <t>รับประทานยาซ้ำได้เมื่ออาการไม่ดีขึ้นภายใน 30 นาที</t>
        </is>
      </c>
      <c r="F10" s="38" t="inlineStr">
        <is>
          <t>ถ้ามีอาการชาที่ปลายมือปลายเท้าให้หยุดยา</t>
        </is>
      </c>
      <c r="G10" s="38" t="inlineStr">
        <is>
          <t>ไม่ควรรับประทานยาเกิน 6 เม็ด ต่อวัน</t>
        </is>
      </c>
      <c r="H10" s="38" t="inlineStr">
        <is>
          <t>ไม่มีข้อใดผิด</t>
        </is>
      </c>
      <c r="I10" s="37" t="n">
        <v>5</v>
      </c>
      <c r="J10" s="38"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38" t="n"/>
      <c r="L10" s="39" t="inlineStr">
        <is>
          <t>Headache</t>
        </is>
      </c>
      <c r="M10" s="39" t="inlineStr">
        <is>
          <t>Clinic</t>
        </is>
      </c>
      <c r="N10" s="38" t="inlineStr">
        <is>
          <t>ข้อ 8 Pharma Plus เล่มม่วง (เฉลยข้อ ก)</t>
        </is>
      </c>
      <c r="O10" s="39" t="n"/>
      <c r="P10" s="39" t="n"/>
    </row>
    <row r="11" ht="13.2" customHeight="1" s="49">
      <c r="A11" s="37" t="n">
        <v>9</v>
      </c>
      <c r="B11" s="38"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38" t="n"/>
      <c r="D11" s="38" t="inlineStr">
        <is>
          <t>Absorption</t>
        </is>
      </c>
      <c r="E11" s="38" t="inlineStr">
        <is>
          <t>Distribution</t>
        </is>
      </c>
      <c r="F11" s="38" t="inlineStr">
        <is>
          <t>Biotransformation</t>
        </is>
      </c>
      <c r="G11" s="38" t="inlineStr">
        <is>
          <t>Elimination</t>
        </is>
      </c>
      <c r="H11" s="38" t="inlineStr">
        <is>
          <t>Excretion</t>
        </is>
      </c>
      <c r="I11" s="37" t="inlineStr">
        <is>
          <t>3</t>
        </is>
      </c>
      <c r="J11" s="38" t="inlineStr">
        <is>
          <t>✅ คำตอบที่ถูกต้อง: ข้อ ค. Biotransformation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38" t="n"/>
      <c r="L11" s="39" t="inlineStr">
        <is>
          <t>Headache</t>
        </is>
      </c>
      <c r="M11" s="39" t="inlineStr">
        <is>
          <t>Clinic</t>
        </is>
      </c>
      <c r="N11" s="38" t="inlineStr">
        <is>
          <t>ข้อ 9 Pharma Plus เล่มม่วง (เฉลยข้อ ค)</t>
        </is>
      </c>
      <c r="O11" s="39" t="n"/>
      <c r="P11" s="39" t="n"/>
    </row>
    <row r="12" ht="13.2" customHeight="1" s="49">
      <c r="A12" s="37" t="n">
        <v>10</v>
      </c>
      <c r="B12" s="38"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38" t="n"/>
      <c r="D12" s="38" t="inlineStr">
        <is>
          <t>ผู้ป่วยปวดศีรษะมากกว่า 2-3 ครั้ง/เดือน</t>
        </is>
      </c>
      <c r="E12" s="38" t="inlineStr">
        <is>
          <t>อาการปวดศีรษะค่อนข้างรุนแรง</t>
        </is>
      </c>
      <c r="F12" s="38" t="inlineStr">
        <is>
          <t>ผู้ป่วยมีอาการปวดนาน 12 ชม. และอายุที่เป็นครั้งแรกมากกว่า 55 ปี</t>
        </is>
      </c>
      <c r="G12" s="38" t="inlineStr">
        <is>
          <t>ผู้ป่วยทนต่ออาการไม่พึงประสงค์ของยาบรรเทาการปวดศีรษะไม่ได้</t>
        </is>
      </c>
      <c r="H12" s="38" t="inlineStr">
        <is>
          <t>ระยะเวลาที่จะมีอาการปวดศีรษะสามารถคาดการณ์ล่วงหน้าได้</t>
        </is>
      </c>
      <c r="I12" s="37" t="inlineStr">
        <is>
          <t>4</t>
        </is>
      </c>
      <c r="J12" s="38" t="inlineStr">
        <is>
          <t>✅ คำตอบที่ถูกต้อง: ข้อ ง. ผู้ป่วยทนต่ออาการไม่พึงประสงค์ของยาบรรเทาการปวดศีรษะไม่ได้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8" t="n"/>
      <c r="L12" s="39" t="inlineStr">
        <is>
          <t>Headache</t>
        </is>
      </c>
      <c r="M12" s="39" t="inlineStr">
        <is>
          <t>Clinic</t>
        </is>
      </c>
      <c r="N12" s="38" t="inlineStr">
        <is>
          <t>ข้อ 10 Pharma Plus เล่มม่วง (เฉลยข้อ ง)</t>
        </is>
      </c>
      <c r="O12" s="39" t="n"/>
      <c r="P12" s="39" t="n"/>
    </row>
    <row r="13" ht="13.2" customHeight="1" s="49">
      <c r="A13" s="37" t="n">
        <v>11</v>
      </c>
      <c r="B13" s="38"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38" t="n"/>
      <c r="D13" s="38" t="inlineStr">
        <is>
          <t>Indomethacin</t>
        </is>
      </c>
      <c r="E13" s="38" t="inlineStr">
        <is>
          <t>Ergotamine</t>
        </is>
      </c>
      <c r="F13" s="38" t="inlineStr">
        <is>
          <t>Sumatriptan</t>
        </is>
      </c>
      <c r="G13" s="38" t="inlineStr">
        <is>
          <t>Propranolol</t>
        </is>
      </c>
      <c r="H13" s="38" t="inlineStr">
        <is>
          <t>Verapamil</t>
        </is>
      </c>
      <c r="I13" s="37" t="inlineStr">
        <is>
          <t>4</t>
        </is>
      </c>
      <c r="J13" s="38" t="inlineStr">
        <is>
          <t>✅ คำตอบที่ถูกต้อง: ข้อ ง. Propranolol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38" t="n"/>
      <c r="L13" s="39" t="inlineStr">
        <is>
          <t>Headache</t>
        </is>
      </c>
      <c r="M13" s="39" t="inlineStr">
        <is>
          <t>Clinic</t>
        </is>
      </c>
      <c r="N13" s="38" t="inlineStr">
        <is>
          <t>ข้อ 11 Pharma Plus เล่มม่วง (เฉลยข้อ ง)</t>
        </is>
      </c>
      <c r="O13" s="39" t="n"/>
      <c r="P13" s="39" t="n"/>
    </row>
    <row r="14" ht="13.2" customHeight="1" s="49">
      <c r="A14" s="37" t="n">
        <v>12</v>
      </c>
      <c r="B14" s="38" t="inlineStr">
        <is>
          <t>การใช้ยาป้องกันอาการปวดศีรษะของผู้ป่วยรายนี้ ควรได้รับ</t>
        </is>
      </c>
      <c r="C14" s="38" t="n"/>
      <c r="D14" s="38" t="inlineStr">
        <is>
          <t>อย่างน้อย 6 เดือน หลังจากการปวดศีรษะครั้งสุดท้าย</t>
        </is>
      </c>
      <c r="E14" s="38" t="inlineStr">
        <is>
          <t>อย่างน้อย 6 เดือน หลังจากความถี่และอาการปวดศีรษะลดลง</t>
        </is>
      </c>
      <c r="F14" s="38" t="inlineStr">
        <is>
          <t>กินยาต่อไปจนกว่าผู้ป่วยจะทนอาการไม่พึงประสงค์ไม่ได้</t>
        </is>
      </c>
      <c r="G14" s="38" t="inlineStr">
        <is>
          <t>กินยาเดือนเว้นเดือน จนกว่าจะไม่มีอาการ</t>
        </is>
      </c>
      <c r="H14" s="38" t="inlineStr">
        <is>
          <t>กินได้ตลอดไป</t>
        </is>
      </c>
      <c r="I14" s="37" t="inlineStr">
        <is>
          <t>2</t>
        </is>
      </c>
      <c r="J14" s="38" t="inlineStr">
        <is>
          <t>✅ คำตอบที่ถูกต้อง: ข้อ ข. อย่างน้อย 6 เดือน หลังจากความถี่และอาการปวดศีรษะลดลง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8" t="n"/>
      <c r="L14" s="39" t="inlineStr">
        <is>
          <t>Headache</t>
        </is>
      </c>
      <c r="M14" s="39" t="inlineStr">
        <is>
          <t>Clinic</t>
        </is>
      </c>
      <c r="N14" s="38" t="inlineStr">
        <is>
          <t>ข้อ 12 Pharma Plus เล่มม่วง (เฉลยข้อ ข)</t>
        </is>
      </c>
      <c r="O14" s="39" t="n"/>
      <c r="P14" s="39" t="n"/>
    </row>
    <row r="15" ht="13.2" customHeight="1" s="49">
      <c r="A15" s="37" t="n">
        <v>13</v>
      </c>
      <c r="B15" s="38" t="inlineStr">
        <is>
          <t>ยาในข้อใดไม่ควรใช้ป้องกันอาการปวดศีรษะในผู้ป่วยที่มีอาการ</t>
        </is>
      </c>
      <c r="C15" s="38" t="n"/>
      <c r="D15" s="38" t="inlineStr">
        <is>
          <t>Amitriptyline</t>
        </is>
      </c>
      <c r="E15" s="38" t="inlineStr">
        <is>
          <t>Fluoxetine</t>
        </is>
      </c>
      <c r="F15" s="38" t="inlineStr">
        <is>
          <t>Propranolol</t>
        </is>
      </c>
      <c r="G15" s="38" t="inlineStr">
        <is>
          <t>Diltiazem</t>
        </is>
      </c>
      <c r="H15" s="38" t="inlineStr">
        <is>
          <t>Gabapentin</t>
        </is>
      </c>
      <c r="I15" s="37" t="inlineStr">
        <is>
          <t>2</t>
        </is>
      </c>
      <c r="J15" s="38" t="inlineStr">
        <is>
          <t>✅ คำตอบที่ถูกต้อง: ข้อ ข. Fluoxetine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38" t="n"/>
      <c r="L15" s="39" t="inlineStr">
        <is>
          <t>Headache</t>
        </is>
      </c>
      <c r="M15" s="39" t="inlineStr">
        <is>
          <t>Clinic</t>
        </is>
      </c>
      <c r="N15" s="38" t="inlineStr">
        <is>
          <t>ข้อ 13 Pharma Plus เล่มม่วง (เฉลยข้อ ข ง)</t>
        </is>
      </c>
      <c r="O15" s="39" t="n"/>
      <c r="P15" s="39" t="n"/>
    </row>
    <row r="16" ht="13.2" customHeight="1" s="49">
      <c r="A16" s="37" t="n">
        <v>14</v>
      </c>
      <c r="B16" s="38"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38" t="n"/>
      <c r="D16" s="38" t="inlineStr">
        <is>
          <t>Migraine with aura</t>
        </is>
      </c>
      <c r="E16" s="38" t="inlineStr">
        <is>
          <t>Migraine without aura</t>
        </is>
      </c>
      <c r="F16" s="38" t="inlineStr">
        <is>
          <t>Tension</t>
        </is>
      </c>
      <c r="G16" s="38" t="inlineStr">
        <is>
          <t>Cluster</t>
        </is>
      </c>
      <c r="H16" s="38" t="inlineStr">
        <is>
          <t>Traumatic</t>
        </is>
      </c>
      <c r="I16" s="37" t="inlineStr">
        <is>
          <t>1</t>
        </is>
      </c>
      <c r="J16" s="38" t="inlineStr">
        <is>
          <t>✅ คำตอบที่ถูกต้อง: ข้อ ก. Migraine with aura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8" t="n"/>
      <c r="L16" s="39" t="inlineStr">
        <is>
          <t>Headache</t>
        </is>
      </c>
      <c r="M16" s="39" t="inlineStr">
        <is>
          <t>Clinic</t>
        </is>
      </c>
      <c r="N16" s="38" t="inlineStr">
        <is>
          <t>ข้อ 14 Pharma Plus เล่มม่วง (เฉลยข้อ ก)</t>
        </is>
      </c>
      <c r="O16" s="39" t="n"/>
      <c r="P16" s="39" t="n"/>
    </row>
    <row r="17" ht="13.2" customHeight="1" s="49">
      <c r="A17" s="37" t="n">
        <v>15</v>
      </c>
      <c r="B17" s="38"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38" t="n"/>
      <c r="D17" s="38" t="inlineStr">
        <is>
          <t>เนื่องจากผู้ป่วยรายนี้มีอาการคลื่นไส้อาเจียนร่วมด้วย</t>
        </is>
      </c>
      <c r="E17" s="38" t="inlineStr">
        <is>
          <t>ป้องกันการเกิดอาการปวดศีรษะซ้ำ</t>
        </is>
      </c>
      <c r="F17" s="38" t="inlineStr">
        <is>
          <t>ลดผลข้างเคียงจากยา cafergot</t>
        </is>
      </c>
      <c r="G17" s="38" t="inlineStr">
        <is>
          <t>ก และ ข ถูก</t>
        </is>
      </c>
      <c r="H17" s="38" t="inlineStr">
        <is>
          <t>ก และ ค ถูก</t>
        </is>
      </c>
      <c r="I17" s="37" t="inlineStr">
        <is>
          <t>5</t>
        </is>
      </c>
      <c r="J17" s="38" t="inlineStr">
        <is>
          <t>✅ คำตอบที่ถูกต้อง: ข้อ จ. ก และ ค ถูก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 และ ค ถูก Metoclopramide ใช้เป็นยาเสริม (antiemetic/prokinetic) ในการรักษาไมเกรนเฉียบพลัน เพื่อรักษาอาการคลื่นไส้อาเจียนและช่วยเพิ่มการดูดซึมของยาแก้ปวดในทางเดินอาหาร
🔍 ข้ออื่นผิดเพราะอะไร:
- ข้อ ก. แม้การบรรเทาอาการคลื่นไส้อาเจียนจะเป็นประโยชน์โดยตรง แต่การให้ Metoclopramide ยังช่วยต้านผลข้างเคียงของ Ergotamine และกระตุ้น gastric motility ช่วยดูดซึมยาด้วย ตัวเลือกนี้จึงถูกต้องเพียงบางส่วน
- ข้อ ข. Metoclopramide เป็นเพียง antiemetic และ prokinetic agent ไม่มีฤทธิ์ป้องกันการกลับเป็นซ้ำของโรคไมเกรน (no preventive efficacy against recurrence)
- ข้อ ค. แม้จะช่วยลดผลข้างเคียงคลื่นไส้จาก Cafergot แต่ผู้ป่วยรายนี้ก็มีอาการคลื่นไส้อาเจียนจากตัวโรคไมเกรนเองด้วย การเลือกข้อนี้ข้อเดียวจึงไม่ครอบคลุมประโยชน์ทั้งหมด
- ข้อ ง. ตัวเลือกนี้ผิดเนื่องจากข้อ ข ไม่ถูกต้อง โดย Metoclopramide ไม่มีคุณสมบัติป้องกันการกำเริบซ้ำของอาการปวดศีรษะไมเกรน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8" t="n"/>
      <c r="L17" s="39" t="inlineStr">
        <is>
          <t>Pain management</t>
        </is>
      </c>
      <c r="M17" s="39" t="inlineStr">
        <is>
          <t>Clinic</t>
        </is>
      </c>
      <c r="N17" s="38" t="inlineStr">
        <is>
          <t>ข้อ 15 Pharma Plus เล่มม่วง (เฉลยข้อ จ)</t>
        </is>
      </c>
      <c r="O17" s="39" t="n"/>
      <c r="P17" s="39" t="n"/>
    </row>
    <row r="18" ht="13.2" customHeight="1" s="49">
      <c r="A18" s="37" t="n">
        <v>16</v>
      </c>
      <c r="B18" s="38"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38" t="n"/>
      <c r="D18" s="38" t="inlineStr">
        <is>
          <t>Flunarizine</t>
        </is>
      </c>
      <c r="E18" s="38" t="inlineStr">
        <is>
          <t>Ibuprofen</t>
        </is>
      </c>
      <c r="F18" s="38" t="inlineStr">
        <is>
          <t>Cafergot</t>
        </is>
      </c>
      <c r="G18" s="38" t="inlineStr">
        <is>
          <t>Nitrate</t>
        </is>
      </c>
      <c r="H18" s="38" t="inlineStr">
        <is>
          <t>Sumatriptan</t>
        </is>
      </c>
      <c r="I18" s="37" t="inlineStr">
        <is>
          <t>1</t>
        </is>
      </c>
      <c r="J18" s="38" t="inlineStr">
        <is>
          <t>✅ คำตอบที่ถูกต้อง: ข้อ ก. Flunarizine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Flunarizine เป็น Calcium channel blocker ที่เป็นยาป้องกันไมเกรน (prophylaxis) ที่นิยมใช้ ในขณะที่ Ibuprofen, Cafergot และ Sumatriptan เป็นยาสำหรับรักษาอาการกำเริบเฉียบพลัน (acute/abortive treatment)
🔍 ข้ออื่นผิดเพราะอะไร:
- ข้อ ข. Ibuprofen เป็นยากลุ่ม NSAIDs ที่ใช้สำหรับบรรเทาอาการปวดไมเกรนเฉียบพลัน (Acute abortive treatment) เท่านั้น ไม่ได้ใช้เป็นยาป้องกันประจำวัน
- ข้อ ค. Cafergot (Ergotamine/Caffeine) เป็นยาเฉพาะเจาะจงสำหรับระงับอาการปวดไมเกรนเฉียบพลัน ห้ามใช้รับประทานติดต่อกันทุกวันเพื่อป้องกันเพราะจะเกิดภาวะติดยาและ Rebound headache
- ข้อ ง. Nitrate เป็นสารขยายหลอดเลือด (Vasodilator) ที่กระตุ้นให้เกิดอาการปวดศีรษะไมเกรนกำเริบรุนแรง จึงเป็นข้อห้ามและไม่ใช่ยาป้องกัน
- ข้อ จ. Sumatriptan เป็นยาจำเพาะกลุ่ม 5-HT1B/1D agonist สำหรับระงับอาการปวดไมเกรนเฉียบพลันระดับปานกลางถึงรุนแรง ไม่ใช้สำหรับการป้องกันโรคระยะยาว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8" t="n"/>
      <c r="L18" s="39" t="inlineStr">
        <is>
          <t>Pain management</t>
        </is>
      </c>
      <c r="M18" s="39" t="inlineStr">
        <is>
          <t>Clinic</t>
        </is>
      </c>
      <c r="N18" s="38" t="inlineStr">
        <is>
          <t>ข้อ 16 Pharma Plus เล่มม่วง (เฉลยข้อ ก)</t>
        </is>
      </c>
      <c r="O18" s="39" t="n"/>
      <c r="P18" s="39" t="n"/>
    </row>
    <row r="19" ht="13.2" customHeight="1" s="49">
      <c r="A19" s="37" t="n">
        <v>17</v>
      </c>
      <c r="B19" s="38" t="inlineStr">
        <is>
          <t>ยาใดต่อไปนี้ไม่จัดเป็นยาป้องกันการเกิดไมเกรน</t>
        </is>
      </c>
      <c r="C19" s="38" t="n"/>
      <c r="D19" s="38" t="inlineStr">
        <is>
          <t>Amitriptyline</t>
        </is>
      </c>
      <c r="E19" s="38" t="inlineStr">
        <is>
          <t>Gabapentin</t>
        </is>
      </c>
      <c r="F19" s="38" t="inlineStr">
        <is>
          <t>Propranolol</t>
        </is>
      </c>
      <c r="G19" s="38" t="inlineStr">
        <is>
          <t>Metoprolol</t>
        </is>
      </c>
      <c r="H19" s="38" t="inlineStr">
        <is>
          <t>ทุกข้อเป็นยาป้องกันไมเกรน</t>
        </is>
      </c>
      <c r="I19" s="37" t="inlineStr">
        <is>
          <t>5</t>
        </is>
      </c>
      <c r="J19" s="38" t="inlineStr">
        <is>
          <t>✅ คำตอบที่ถูกต้อง: ข้อ จ. ทุกข้อเป็นยาป้องกันไมเกรน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38" t="n"/>
      <c r="L19" s="39" t="inlineStr">
        <is>
          <t>Headache</t>
        </is>
      </c>
      <c r="M19" s="39" t="inlineStr">
        <is>
          <t>Clinic</t>
        </is>
      </c>
      <c r="N19" s="38" t="inlineStr">
        <is>
          <t>ข้อ 17 Pharma Plus เล่มม่วง (เฉลยข้อ จ)</t>
        </is>
      </c>
      <c r="O19" s="39" t="n"/>
      <c r="P19" s="39" t="n"/>
    </row>
    <row r="20" ht="13.2" customHeight="1" s="49">
      <c r="A20" s="37" t="n">
        <v>18</v>
      </c>
      <c r="B20" s="38" t="inlineStr">
        <is>
          <t>Ergotamine มี side effect ต่าง ๆ ต่อไปนี้ ยกเว้น</t>
        </is>
      </c>
      <c r="C20" s="38" t="n"/>
      <c r="D20" s="38" t="inlineStr">
        <is>
          <t>Nausea and vomiting</t>
        </is>
      </c>
      <c r="E20" s="38" t="inlineStr">
        <is>
          <t>Weakness in legs</t>
        </is>
      </c>
      <c r="F20" s="38" t="inlineStr">
        <is>
          <t>Angina-like pain</t>
        </is>
      </c>
      <c r="G20" s="38" t="inlineStr">
        <is>
          <t>Hypertension</t>
        </is>
      </c>
      <c r="H20" s="38" t="inlineStr">
        <is>
          <t>Bradycardia</t>
        </is>
      </c>
      <c r="I20" s="37" t="inlineStr">
        <is>
          <t>5</t>
        </is>
      </c>
      <c r="J20" s="38" t="inlineStr">
        <is>
          <t>✅ คำตอบที่ถูกต้อง: ข้อ จ. Bradycardia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8" t="n"/>
      <c r="L20" s="39" t="inlineStr">
        <is>
          <t>Headache</t>
        </is>
      </c>
      <c r="M20" s="39" t="inlineStr">
        <is>
          <t>Clinic</t>
        </is>
      </c>
      <c r="N20" s="38" t="inlineStr">
        <is>
          <t>ข้อ 18 Pharma Plus เล่มม่วง (เฉลยข้อ จ)</t>
        </is>
      </c>
      <c r="O20" s="39" t="n"/>
      <c r="P20" s="39" t="n"/>
    </row>
    <row r="21" ht="13.2" customHeight="1" s="49">
      <c r="A21" s="37" t="n">
        <v>19</v>
      </c>
      <c r="B21" s="38" t="inlineStr">
        <is>
          <t>ข้อความต่อไปนี้เกี่ยวกับ ergotamine ผิด</t>
        </is>
      </c>
      <c r="C21" s="38" t="n"/>
      <c r="D21" s="38" t="inlineStr">
        <is>
          <t>เป็น drug of choice สำหรับระงับอาการ migraine attack</t>
        </is>
      </c>
      <c r="E21" s="38" t="inlineStr">
        <is>
          <t>ถ้าใช้ในขนาดที่มากเกินไปจะก่อให้เกิด gangrene ตามปลายนิ้วมือปลายเท้า</t>
        </is>
      </c>
      <c r="F21" s="38" t="inlineStr">
        <is>
          <t>ถ้าใช้ร่วมกับ selective serotonin receptor agonist เช่น sumatriptan จะให้ผลดียิ่งขึ้น</t>
        </is>
      </c>
      <c r="G21" s="38" t="inlineStr">
        <is>
          <t>ไม่ควรใช้ในสตรีมีครรภ์</t>
        </is>
      </c>
      <c r="H21" s="38" t="inlineStr">
        <is>
          <t>ใช้ไปนาน ๆ อาจติดยาได้ (physical dependence)</t>
        </is>
      </c>
      <c r="I21" s="37" t="inlineStr">
        <is>
          <t>1</t>
        </is>
      </c>
      <c r="J21" s="38" t="inlineStr">
        <is>
          <t>✅ คำตอบที่ถูกต้อง: ข้อ ก. เป็น drug of choice สำหรับระงับอาการ migraine attack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38" t="n"/>
      <c r="L21" s="39" t="inlineStr">
        <is>
          <t>Headache</t>
        </is>
      </c>
      <c r="M21" s="39" t="inlineStr">
        <is>
          <t>Clinic</t>
        </is>
      </c>
      <c r="N21" s="38" t="inlineStr">
        <is>
          <t>ข้อ 19 Pharma Plus เล่มม่วง (เฉลยข้อ ก ค)</t>
        </is>
      </c>
      <c r="O21" s="39" t="n"/>
      <c r="P21" s="39" t="n"/>
    </row>
    <row r="22" ht="13.2" customHeight="1" s="49">
      <c r="A22" s="37" t="n">
        <v>20</v>
      </c>
      <c r="B22" s="38" t="inlineStr">
        <is>
          <t>ข้อใดต่อไปนี้ไม่ใช่อาการของไมเกรน</t>
        </is>
      </c>
      <c r="C22" s="38" t="n"/>
      <c r="D22" s="38" t="inlineStr">
        <is>
          <t>ปวดตามท้ายทอยร้าวไปกลางศีรษะหรือลักษณะคล้ายวิ่งจี๊ดไปมา</t>
        </is>
      </c>
      <c r="E22" s="38" t="inlineStr">
        <is>
          <t>ปวดศีรษะข้างเดียว ปวดตุบๆ</t>
        </is>
      </c>
      <c r="F22" s="38" t="inlineStr">
        <is>
          <t>ปวดตุบ ๆ สลับข้างหรือทั้ง 2 ข้าง และมักมีอาการคลื่นไส้อาเจียนร่วมด้วย</t>
        </is>
      </c>
      <c r="G22" s="38" t="inlineStr">
        <is>
          <t>ก่อนปวดศีรษะมีอาการเห็นภาพผิดปกติ (visual disturbance)</t>
        </is>
      </c>
      <c r="H22" s="38" t="inlineStr">
        <is>
          <t>ก่อนปวดศีรษะอาจมีอาการหงุดหงิด ทนแสงหรือเสียงดังไม่ได้</t>
        </is>
      </c>
      <c r="I22" s="37" t="inlineStr">
        <is>
          <t>1</t>
        </is>
      </c>
      <c r="J22" s="38" t="inlineStr">
        <is>
          <t>✅ คำตอบที่ถูกต้อง: ข้อ ก. ปวดตามท้ายทอยร้าวไปกลางศีรษะหรือลักษณะคล้ายวิ่งจี๊ดไปมา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8" t="n"/>
      <c r="L22" s="39" t="inlineStr">
        <is>
          <t>Headache</t>
        </is>
      </c>
      <c r="M22" s="39" t="inlineStr">
        <is>
          <t>Clinic</t>
        </is>
      </c>
      <c r="N22" s="38" t="inlineStr">
        <is>
          <t>ข้อ 20 Pharma Plus เล่มม่วง (เฉลยข้อ ก)</t>
        </is>
      </c>
      <c r="O22" s="39" t="n"/>
      <c r="P22" s="39" t="n"/>
    </row>
    <row r="23" ht="13.2" customHeight="1" s="49">
      <c r="A23" s="37" t="n">
        <v>21</v>
      </c>
      <c r="B23" s="38" t="inlineStr">
        <is>
          <t>ผู้ป่วยไมเกรนควรหลีกเลี่ยงในการรับประทานสิ่งเหล่านี้ ยกเว้น</t>
        </is>
      </c>
      <c r="C23" s="38" t="n"/>
      <c r="D23" s="38" t="inlineStr">
        <is>
          <t>เนยแข็ง</t>
        </is>
      </c>
      <c r="E23" s="38" t="inlineStr">
        <is>
          <t>ช็อกโกแลต</t>
        </is>
      </c>
      <c r="F23" s="38" t="inlineStr">
        <is>
          <t>ไวน์แดง</t>
        </is>
      </c>
      <c r="G23" s="38" t="inlineStr">
        <is>
          <t>เบียร์</t>
        </is>
      </c>
      <c r="H23" s="38" t="inlineStr">
        <is>
          <t>นม</t>
        </is>
      </c>
      <c r="I23" s="37" t="inlineStr">
        <is>
          <t>5</t>
        </is>
      </c>
      <c r="J23" s="38" t="inlineStr">
        <is>
          <t>✅ คำตอบที่ถูกต้อง: ข้อ จ. นม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8" t="n"/>
      <c r="L23" s="39" t="inlineStr">
        <is>
          <t>Headache</t>
        </is>
      </c>
      <c r="M23" s="39" t="inlineStr">
        <is>
          <t>Clinic</t>
        </is>
      </c>
      <c r="N23" s="38" t="inlineStr">
        <is>
          <t>ข้อ 21 Pharma Plus เล่มม่วง (เฉลยข้อ จ)</t>
        </is>
      </c>
      <c r="O23" s="39" t="n"/>
      <c r="P23" s="39" t="n"/>
    </row>
    <row r="24" ht="13.2" customHeight="1" s="49">
      <c r="A24" s="37" t="n">
        <v>22</v>
      </c>
      <c r="B24" s="38" t="inlineStr">
        <is>
          <t>Ergotamine มีฤทธิ์อย่างไร</t>
        </is>
      </c>
      <c r="C24" s="38" t="n"/>
      <c r="D24" s="38" t="inlineStr">
        <is>
          <t>ลดการสร้าง prostaglandins</t>
        </is>
      </c>
      <c r="E24" s="38" t="inlineStr">
        <is>
          <t>ทำให้กล้ามเนื้อหลอดเลือดหดตัว</t>
        </is>
      </c>
      <c r="F24" s="38" t="inlineStr">
        <is>
          <t>ทำให้เลือดไปเลี้ยงสมองมากขึ้น</t>
        </is>
      </c>
      <c r="G24" s="38" t="inlineStr">
        <is>
          <t>ทำให้หลอดเลือดคลายตัว</t>
        </is>
      </c>
      <c r="H24" s="38" t="inlineStr">
        <is>
          <t>ทำให้กล้ามเนื้อคลายตัว</t>
        </is>
      </c>
      <c r="I24" s="37" t="inlineStr">
        <is>
          <t>2</t>
        </is>
      </c>
      <c r="J24" s="38" t="inlineStr">
        <is>
          <t>✅ คำตอบที่ถูกต้อง: ข้อ ข. ทำให้กล้ามเนื้อหลอดเลือดหดตัว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38" t="n"/>
      <c r="L24" s="39" t="inlineStr">
        <is>
          <t>Headache</t>
        </is>
      </c>
      <c r="M24" s="39" t="inlineStr">
        <is>
          <t>Clinic</t>
        </is>
      </c>
      <c r="N24" s="38" t="inlineStr">
        <is>
          <t>ข้อ 22 Pharma Plus เล่มม่วง (เฉลยข้อ ข)</t>
        </is>
      </c>
      <c r="O24" s="39" t="n"/>
      <c r="P24" s="39" t="n"/>
    </row>
    <row r="25" ht="13.2" customHeight="1" s="49">
      <c r="A25" s="37" t="n">
        <v>23</v>
      </c>
      <c r="B25" s="38" t="inlineStr">
        <is>
          <t>ผู้ป่วยหญิงอายุ 76 ปี เป็นโรคพาร์กินสัน แพทย์จ่ายยา 1 ตัว ได้แก่ L-dopa/Benserazide 25/100 mg
Benserazide ถูกเติมลงไปใน levodopa เพื่ออะไร</t>
        </is>
      </c>
      <c r="C25" s="38" t="n"/>
      <c r="D25" s="38" t="inlineStr">
        <is>
          <t>เพิ่มอาการข้างเคียงที่จะเกิดที่ peripheral</t>
        </is>
      </c>
      <c r="E25" s="38" t="inlineStr">
        <is>
          <t>เสริมฤทธิ์กับ levodopa</t>
        </is>
      </c>
      <c r="F25" s="38" t="inlineStr">
        <is>
          <t>ช่วยทำให้มีปริมาณ levodopa ผ่านเข้าสมองมากขึ้น</t>
        </is>
      </c>
      <c r="G25" s="38" t="inlineStr">
        <is>
          <t>ช่วยพา levodopa ผ่าน blood brain barrier</t>
        </is>
      </c>
      <c r="H25" s="38" t="inlineStr">
        <is>
          <t>ยับยั้งการทำลาย levodopa ในสมอง</t>
        </is>
      </c>
      <c r="I25" s="37" t="inlineStr">
        <is>
          <t>2</t>
        </is>
      </c>
      <c r="J25" s="38" t="inlineStr">
        <is>
          <t>✅ คำตอบที่ถูกต้อง: ข้อ ข. เสริมฤทธิ์กับ levodopa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38" t="n"/>
      <c r="L25" s="39" t="inlineStr">
        <is>
          <t>Parkinson disease</t>
        </is>
      </c>
      <c r="M25" s="39" t="inlineStr">
        <is>
          <t>Clinic</t>
        </is>
      </c>
      <c r="N25" s="38" t="inlineStr">
        <is>
          <t>ข้อ 23 Pharma Plus เล่มม่วง (เฉลยข้อ ข ค)</t>
        </is>
      </c>
      <c r="O25" s="39" t="n"/>
      <c r="P25" s="39" t="n"/>
    </row>
    <row r="26" ht="13.2" customHeight="1" s="49">
      <c r="A26" s="37" t="n">
        <v>24</v>
      </c>
      <c r="B26" s="38"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38" t="n"/>
      <c r="D26" s="38" t="inlineStr">
        <is>
          <t>Pergolide</t>
        </is>
      </c>
      <c r="E26" s="38" t="inlineStr">
        <is>
          <t>Selegiline</t>
        </is>
      </c>
      <c r="F26" s="38" t="inlineStr">
        <is>
          <t>Ondansetron</t>
        </is>
      </c>
      <c r="G26" s="38" t="inlineStr">
        <is>
          <t>Carbidopa</t>
        </is>
      </c>
      <c r="H26" s="38" t="inlineStr">
        <is>
          <t>Trihexyphenidyl</t>
        </is>
      </c>
      <c r="I26" s="37" t="inlineStr">
        <is>
          <t>4</t>
        </is>
      </c>
      <c r="J26" s="38" t="inlineStr">
        <is>
          <t>✅ คำตอบที่ถูกต้อง: ข้อ ง. Carbidopa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38" t="n"/>
      <c r="L26" s="39" t="inlineStr">
        <is>
          <t>Parkinson disease</t>
        </is>
      </c>
      <c r="M26" s="39" t="inlineStr">
        <is>
          <t>Clinic</t>
        </is>
      </c>
      <c r="N26" s="38" t="inlineStr">
        <is>
          <t>ข้อ 24 Pharma Plus เล่มม่วง (เฉลยข้อ ง)</t>
        </is>
      </c>
      <c r="O26" s="39" t="n"/>
      <c r="P26" s="39" t="n"/>
    </row>
    <row r="27" ht="13.2" customHeight="1" s="49">
      <c r="A27" s="37" t="n">
        <v>25</v>
      </c>
      <c r="B27" s="38" t="inlineStr">
        <is>
          <t>ผู้ป่วยหญิงอายุ 76 ปี เป็นโรคพาร์กินสัน แพทย์จ่ายยา 1 ตัว ได้แก่ L-dopa/Benserazide 25/100 mg
ข้อใดคือผลข้างเคียงจากการใช้ยา levodopa</t>
        </is>
      </c>
      <c r="C27" s="38" t="n"/>
      <c r="D27" s="38" t="inlineStr">
        <is>
          <t>ความดันต่ำขณะเปลี่ยนท่า</t>
        </is>
      </c>
      <c r="E27" s="38" t="inlineStr">
        <is>
          <t>หัวใจเต้นช้า</t>
        </is>
      </c>
      <c r="F27" s="38" t="inlineStr">
        <is>
          <t>มึนงง</t>
        </is>
      </c>
      <c r="G27" s="38" t="inlineStr">
        <is>
          <t>คลื่นไส้ อาเจียน</t>
        </is>
      </c>
      <c r="H27" s="38" t="inlineStr">
        <is>
          <t>ชาตามปลายนิ้ว ปลายเท้า</t>
        </is>
      </c>
      <c r="I27" s="37" t="inlineStr">
        <is>
          <t>1</t>
        </is>
      </c>
      <c r="J27" s="38" t="inlineStr">
        <is>
          <t>✅ คำตอบที่ถูกต้อง: ข้อ ก. ความดันต่ำขณะเปลี่ยนท่า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38" t="n"/>
      <c r="L27" s="39" t="inlineStr">
        <is>
          <t>Parkinson disease</t>
        </is>
      </c>
      <c r="M27" s="39" t="inlineStr">
        <is>
          <t>Clinic</t>
        </is>
      </c>
      <c r="N27" s="38" t="inlineStr">
        <is>
          <t>ข้อ 25 Pharma Plus เล่มม่วง (เฉลยข้อ ก ง)</t>
        </is>
      </c>
      <c r="O27" s="39" t="n"/>
      <c r="P27" s="39" t="n"/>
    </row>
    <row r="28" ht="13.2" customHeight="1" s="49">
      <c r="A28" s="37" t="n">
        <v>26</v>
      </c>
      <c r="B28" s="38" t="inlineStr">
        <is>
          <t>หากระดับยา levodopa สูงเกินไป จะเกิดอาการใด</t>
        </is>
      </c>
      <c r="C28" s="38" t="n"/>
      <c r="D28" s="38" t="inlineStr">
        <is>
          <t>Rigidity</t>
        </is>
      </c>
      <c r="E28" s="38" t="inlineStr">
        <is>
          <t>Dyskinesia</t>
        </is>
      </c>
      <c r="F28" s="38" t="inlineStr">
        <is>
          <t>Hallucination</t>
        </is>
      </c>
      <c r="G28" s="38" t="inlineStr">
        <is>
          <t>Somnolence</t>
        </is>
      </c>
      <c r="H28" s="38" t="inlineStr">
        <is>
          <t>Gynecomastia</t>
        </is>
      </c>
      <c r="I28" s="37" t="inlineStr">
        <is>
          <t>2</t>
        </is>
      </c>
      <c r="J28" s="38" t="inlineStr">
        <is>
          <t>✅ คำตอบที่ถูกต้อง: ข้อ ข. Dyskinesia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38" t="n"/>
      <c r="L28" s="39" t="inlineStr">
        <is>
          <t>Parkinson disease</t>
        </is>
      </c>
      <c r="M28" s="39" t="inlineStr">
        <is>
          <t>Clinic</t>
        </is>
      </c>
      <c r="N28" s="38" t="inlineStr">
        <is>
          <t>ข้อ 26 Pharma Plus เล่มม่วง (เฉลยข้อ ข ค)</t>
        </is>
      </c>
      <c r="O28" s="39" t="n"/>
      <c r="P28" s="39" t="n"/>
    </row>
    <row r="29" ht="13.2" customHeight="1" s="49">
      <c r="A29" s="37" t="n">
        <v>27</v>
      </c>
      <c r="B29" s="38" t="inlineStr">
        <is>
          <t>ยาในข้อใดไม่ทำให้อาการความจำเสื่อมของผู้ป่วยโรคพาร์กินสันแย่ลง</t>
        </is>
      </c>
      <c r="C29" s="38" t="n"/>
      <c r="D29" s="38" t="inlineStr">
        <is>
          <t>Benztropine</t>
        </is>
      </c>
      <c r="E29" s="38" t="inlineStr">
        <is>
          <t>Amitriptyline</t>
        </is>
      </c>
      <c r="F29" s="38" t="inlineStr">
        <is>
          <t>Domperidone</t>
        </is>
      </c>
      <c r="G29" s="38" t="inlineStr">
        <is>
          <t>Trihexyphenidyl</t>
        </is>
      </c>
      <c r="H29" s="38" t="inlineStr">
        <is>
          <t>Chlorpheniramine</t>
        </is>
      </c>
      <c r="I29" s="37" t="inlineStr">
        <is>
          <t>3</t>
        </is>
      </c>
      <c r="J29" s="38" t="inlineStr">
        <is>
          <t>✅ คำตอบที่ถูกต้อง: ข้อ ค. Domperidone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38" t="n"/>
      <c r="L29" s="39" t="inlineStr">
        <is>
          <t>Parkinson disease</t>
        </is>
      </c>
      <c r="M29" s="39" t="inlineStr">
        <is>
          <t>Clinic</t>
        </is>
      </c>
      <c r="N29" s="38" t="inlineStr">
        <is>
          <t>ข้อ 27 Pharma Plus เล่มม่วง (เฉลยข้อ ค)</t>
        </is>
      </c>
      <c r="O29" s="39" t="n"/>
      <c r="P29" s="39" t="n"/>
    </row>
    <row r="30" ht="13.2" customHeight="1" s="49">
      <c r="A30" s="37" t="n">
        <v>28</v>
      </c>
      <c r="B30" s="38" t="inlineStr">
        <is>
          <t>Benserazide ยับยั้ง enzyme ในข้อใด</t>
        </is>
      </c>
      <c r="C30" s="38" t="n"/>
      <c r="D30" s="38" t="inlineStr">
        <is>
          <t>MAOB</t>
        </is>
      </c>
      <c r="E30" s="38" t="inlineStr">
        <is>
          <t>COMT</t>
        </is>
      </c>
      <c r="F30" s="38" t="inlineStr">
        <is>
          <t>Acetylcholine esterase</t>
        </is>
      </c>
      <c r="G30" s="38" t="inlineStr">
        <is>
          <t>Dopa decarboxylase</t>
        </is>
      </c>
      <c r="H30" s="38" t="inlineStr">
        <is>
          <t>Dopa deaminase</t>
        </is>
      </c>
      <c r="I30" s="37" t="inlineStr">
        <is>
          <t>4</t>
        </is>
      </c>
      <c r="J30" s="38" t="inlineStr">
        <is>
          <t>✅ คำตอบที่ถูกต้อง: ข้อ ง.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38" t="n"/>
      <c r="L30" s="39" t="inlineStr">
        <is>
          <t>Parkinson disease</t>
        </is>
      </c>
      <c r="M30" s="39" t="inlineStr">
        <is>
          <t>Clinic</t>
        </is>
      </c>
      <c r="N30" s="38" t="inlineStr">
        <is>
          <t>ข้อ 28 Pharma Plus เล่มม่วง (เฉลยข้อ ง)</t>
        </is>
      </c>
      <c r="O30" s="39" t="n"/>
      <c r="P30" s="39" t="n"/>
    </row>
    <row r="31" ht="13.2" customHeight="1" s="49">
      <c r="A31" s="37" t="n">
        <v>29</v>
      </c>
      <c r="B31" s="38"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38" t="n"/>
      <c r="D31" s="38" t="inlineStr">
        <is>
          <t>หลังจากเริ่มการรักษาผู้ป่วยได้ 3-5 ปี ผลการรักษาจะลดลง</t>
        </is>
      </c>
      <c r="E31" s="38" t="inlineStr">
        <is>
          <t>ผลการรักษาในแต่ละวันอาจไม่คงที่ (on-off phenomenon)</t>
        </is>
      </c>
      <c r="F31" s="38" t="inlineStr">
        <is>
          <t>ตัวรับ dopamine receptor ในสมองเกิด down regulation ลดจำนวนลง</t>
        </is>
      </c>
      <c r="G31" s="38" t="inlineStr">
        <is>
          <t>Levodopa ซึมผ่าน blood brain barrier เข้าสู่สมองได้ยากขึ้น</t>
        </is>
      </c>
      <c r="H31" s="38" t="inlineStr">
        <is>
          <t>อนุมูลอิสระที่เกิดจากการเมตาบอลิซึมของ levodopa จะทำให้เซลล์ประสาท dopaminergic ที่ nigrostriatal pathway</t>
        </is>
      </c>
      <c r="I31" s="37" t="inlineStr">
        <is>
          <t>4</t>
        </is>
      </c>
      <c r="J31" s="38" t="inlineStr">
        <is>
          <t>✅ คำตอบที่ถูกต้อง: ข้อ ง. Levodopa ซึมผ่าน blood brain barrier เข้าสู่สมองได้ยากขึ้น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38" t="n"/>
      <c r="L31" s="39" t="inlineStr">
        <is>
          <t>Parkinson disease</t>
        </is>
      </c>
      <c r="M31" s="39" t="inlineStr">
        <is>
          <t>Clinic</t>
        </is>
      </c>
      <c r="N31" s="38" t="inlineStr">
        <is>
          <t>ข้อ 29 Pharma Plus เล่มม่วง (เฉลยข้อ ง)</t>
        </is>
      </c>
      <c r="O31" s="39" t="n"/>
      <c r="P31" s="39" t="n"/>
    </row>
    <row r="32" ht="13.2" customHeight="1" s="49">
      <c r="A32" s="37" t="n">
        <v>30</v>
      </c>
      <c r="B32" s="38" t="inlineStr">
        <is>
          <t>การใช้ carbidopa หรือ benserazide ร่วมกับ levodopa ในการรักษา Parkinson's disease มีจุดประสงค์เพื่อ</t>
        </is>
      </c>
      <c r="C32" s="38" t="n"/>
      <c r="D32" s="38" t="inlineStr">
        <is>
          <t>กระตุ้นเอนไซม์ dopa decarboxylase ที่สมอง</t>
        </is>
      </c>
      <c r="E32" s="38" t="inlineStr">
        <is>
          <t>ยับยั้งการเปลี่ยนแปลง Levodopa เป็น dopamine ที่เนื้อเยื่อนอกสมอง</t>
        </is>
      </c>
      <c r="F32" s="38" t="inlineStr">
        <is>
          <t>เพิ่มการดูดซึมของ Levodopa จากทางเดินอาหาร</t>
        </is>
      </c>
      <c r="G32" s="38" t="inlineStr">
        <is>
          <t>ยับยั้งการขับถ่าย Levodopa ออกทางปัสสาวะ</t>
        </is>
      </c>
      <c r="H32" s="38" t="inlineStr">
        <is>
          <t>เพิ่มการซึมผ่านของ dopamine จากเลือดสู่สมอง</t>
        </is>
      </c>
      <c r="I32" s="37" t="inlineStr">
        <is>
          <t>2</t>
        </is>
      </c>
      <c r="J32" s="38" t="inlineStr">
        <is>
          <t>✅ คำตอบที่ถูกต้อง: ข้อ ข. ยับยั้งการเปลี่ยนแปลง Levodopa เป็น dopamine ที่เนื้อเยื่อนอกสมอง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8" t="n"/>
      <c r="L32" s="39" t="inlineStr">
        <is>
          <t>Parkinson disease</t>
        </is>
      </c>
      <c r="M32" s="39" t="inlineStr">
        <is>
          <t>Clinic</t>
        </is>
      </c>
      <c r="N32" s="38" t="inlineStr">
        <is>
          <t>ข้อ 30 Pharma Plus เล่มม่วง (เฉลยข้อ ข)</t>
        </is>
      </c>
      <c r="O32" s="39" t="n"/>
      <c r="P32" s="39" t="n"/>
    </row>
    <row r="33" ht="13.2" customHeight="1" s="49">
      <c r="A33" s="37" t="n">
        <v>31</v>
      </c>
      <c r="B33" s="38"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38" t="n"/>
      <c r="D33" s="38" t="inlineStr">
        <is>
          <t>ป้องกันการเกิดอนุมูลอิสระ ซึ่งมีพิษและเป็นผลพลอยได้จากการออกซิไดซ์ dopamine โดย MAO-B</t>
        </is>
      </c>
      <c r="E33" s="38" t="inlineStr">
        <is>
          <t>กระตุ้นการเจริญของ dopaminergic neurons ใน nigrostriatal pathway</t>
        </is>
      </c>
      <c r="F33" s="38" t="inlineStr">
        <is>
          <t>กระตุ้นการเจริญของ glial cells ในสมอง</t>
        </is>
      </c>
      <c r="G33" s="38" t="inlineStr">
        <is>
          <t>กระตุ้นการสังเคราะห์ nerve growth factor</t>
        </is>
      </c>
      <c r="H33" s="38" t="inlineStr">
        <is>
          <t>กระตุ้นการสังเคราะห์สารสื่อประสาท</t>
        </is>
      </c>
      <c r="I33" s="37" t="inlineStr">
        <is>
          <t>1</t>
        </is>
      </c>
      <c r="J33" s="38" t="inlineStr">
        <is>
          <t>✅ คำตอบที่ถูกต้อง: ข้อ ก. ป้องกันการเกิดอนุมูลอิสระ ซึ่งมีพิษและเป็นผลพลอยได้จากการออกซิไดซ์ dopamine โดย MAO-B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38" t="n"/>
      <c r="L33" s="39" t="inlineStr">
        <is>
          <t>Parkinson disease</t>
        </is>
      </c>
      <c r="M33" s="39" t="inlineStr">
        <is>
          <t>Clinic</t>
        </is>
      </c>
      <c r="N33" s="38" t="inlineStr">
        <is>
          <t>ข้อ 31 Pharma Plus เล่มม่วง (เฉลยข้อ ก)</t>
        </is>
      </c>
      <c r="O33" s="39" t="n"/>
      <c r="P33" s="39" t="n"/>
    </row>
    <row r="34" ht="13.2" customHeight="1" s="49">
      <c r="A34" s="37" t="n">
        <v>32</v>
      </c>
      <c r="B34" s="38" t="inlineStr">
        <is>
          <t>สถานการณ์ที่ 5 ผู้ป่วยชาย อายุ 25 ปี
Dx. Tonic-clonic seizer (first diagnosis)
Rx. Carbamazepine BID 30 F/U 2 wk.
ผู้ป่วยไม่ควรได้รับคำแนะนำใด</t>
        </is>
      </c>
      <c r="C34" s="38" t="n"/>
      <c r="D34" s="38" t="inlineStr">
        <is>
          <t>แนะนำคุมกำเนิด</t>
        </is>
      </c>
      <c r="E34" s="38" t="inlineStr">
        <is>
          <t>ถ้าใช้ยาแล้วเป็นไข้ เจ็บคอ ให้รีบแจ้งแพทย์</t>
        </is>
      </c>
      <c r="F34" s="38" t="inlineStr">
        <is>
          <t>ใช้ยาแล้วหลีกเลี่ยงการสัมผัสแสงแดด</t>
        </is>
      </c>
      <c r="G34" s="38" t="inlineStr">
        <is>
          <t>ใช้ยานี้แล้วสีเล็บและสีผิวจะเปลี่ยน</t>
        </is>
      </c>
      <c r="H34" s="38" t="inlineStr">
        <is>
          <t>ควรหลีกเลี่ยงการซื้อยามารับประทานเอง</t>
        </is>
      </c>
      <c r="I34" s="37" t="inlineStr">
        <is>
          <t>1</t>
        </is>
      </c>
      <c r="J34" s="38"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38" t="n"/>
      <c r="L34" s="39" t="inlineStr">
        <is>
          <t>Epilepsy</t>
        </is>
      </c>
      <c r="M34" s="39" t="inlineStr">
        <is>
          <t>Clinic</t>
        </is>
      </c>
      <c r="N34" s="38" t="inlineStr">
        <is>
          <t>ข้อ 32 Pharma Plus เล่มม่วง (เฉลยข้อ )</t>
        </is>
      </c>
      <c r="O34" s="39" t="n"/>
      <c r="P34" s="39" t="n"/>
    </row>
    <row r="35" ht="13.2" customHeight="1" s="49">
      <c r="A35" s="37" t="n">
        <v>33</v>
      </c>
      <c r="B35" s="38" t="inlineStr">
        <is>
          <t>สถานการณ์ที่ 5 ผู้ป่วยชาย อายุ 25 ปี
Dx. Tonic-clonic seizer (first diagnosis)
Rx. Carbamazepine BID 30 F/U 2 wk.
ระดับยา carbamazepine สามารถเพิ่มได้เมื่อใช้ร่วมกับยาใด</t>
        </is>
      </c>
      <c r="C35" s="38" t="n"/>
      <c r="D35" s="38" t="inlineStr">
        <is>
          <t>Folic acid</t>
        </is>
      </c>
      <c r="E35" s="38" t="inlineStr">
        <is>
          <t>Nevirapine</t>
        </is>
      </c>
      <c r="F35" s="38" t="inlineStr">
        <is>
          <t>Phenytoin</t>
        </is>
      </c>
      <c r="G35" s="38" t="inlineStr">
        <is>
          <t>Clarithromycin</t>
        </is>
      </c>
      <c r="H35" s="38" t="inlineStr">
        <is>
          <t>Mebendazole</t>
        </is>
      </c>
      <c r="I35" s="37" t="inlineStr">
        <is>
          <t>4</t>
        </is>
      </c>
      <c r="J35" s="38"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38" t="n"/>
      <c r="L35" s="39" t="inlineStr">
        <is>
          <t>Epilepsy</t>
        </is>
      </c>
      <c r="M35" s="39" t="inlineStr">
        <is>
          <t>Clinic</t>
        </is>
      </c>
      <c r="N35" s="38" t="inlineStr">
        <is>
          <t>ข้อ 33 Pharma Plus เล่มม่วง (เฉลยข้อ ง)</t>
        </is>
      </c>
      <c r="O35" s="39" t="n"/>
      <c r="P35" s="39" t="n"/>
    </row>
    <row r="36" ht="13.2" customHeight="1" s="49">
      <c r="A36" s="37" t="n">
        <v>34</v>
      </c>
      <c r="B36" s="38" t="inlineStr">
        <is>
          <t>ข้อใดคือกลไกการออกฤทธิ์ของ carbamazepine</t>
        </is>
      </c>
      <c r="C36" s="38" t="n"/>
      <c r="D36" s="38" t="inlineStr">
        <is>
          <t>จับกับ sodium channel ที่อยู่ใน inactivated state</t>
        </is>
      </c>
      <c r="E36" s="38" t="inlineStr">
        <is>
          <t>จับกับ T-type calcium channel</t>
        </is>
      </c>
      <c r="F36" s="38" t="inlineStr">
        <is>
          <t>ออกฤทธิ์ต่อ GABA receptor/ chloride-ion pore complex</t>
        </is>
      </c>
      <c r="G36" s="38" t="inlineStr">
        <is>
          <t>ออกฤทธิ์ที่ NMDA receptor</t>
        </is>
      </c>
      <c r="H36" s="38" t="inlineStr">
        <is>
          <t>ออกฤทธิ์ยับยั้ง second messengers</t>
        </is>
      </c>
      <c r="I36" s="37" t="inlineStr">
        <is>
          <t>1</t>
        </is>
      </c>
      <c r="J36" s="38"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38" t="n"/>
      <c r="L36" s="39" t="inlineStr">
        <is>
          <t>Epilepsy</t>
        </is>
      </c>
      <c r="M36" s="39" t="inlineStr">
        <is>
          <t>Clinic</t>
        </is>
      </c>
      <c r="N36" s="38" t="inlineStr">
        <is>
          <t>ข้อ 34 Pharma Plus เล่มม่วง (เฉลยข้อ ก)</t>
        </is>
      </c>
      <c r="O36" s="39" t="n"/>
      <c r="P36" s="39" t="n"/>
    </row>
    <row r="37" ht="13.2" customHeight="1" s="49">
      <c r="A37" s="37" t="n">
        <v>35</v>
      </c>
      <c r="B37" s="38" t="inlineStr">
        <is>
          <t>โรคลมชักมีสาเหตุจากทุกข้อ ยกเว้นข้อใด</t>
        </is>
      </c>
      <c r="C37" s="38" t="n"/>
      <c r="D37" s="38" t="inlineStr">
        <is>
          <t>อุบัติเหตุทางสมอง</t>
        </is>
      </c>
      <c r="E37" s="38" t="inlineStr">
        <is>
          <t>การติดเชื้อในหูชั้นกลาง</t>
        </is>
      </c>
      <c r="F37" s="38" t="inlineStr">
        <is>
          <t>Hypoglycemia</t>
        </is>
      </c>
      <c r="G37" s="38" t="inlineStr">
        <is>
          <t>เนื้องอกในสมอง</t>
        </is>
      </c>
      <c r="H37" s="38" t="inlineStr">
        <is>
          <t>ไข้สูงในเด็ก</t>
        </is>
      </c>
      <c r="I37" s="37" t="inlineStr">
        <is>
          <t>2</t>
        </is>
      </c>
      <c r="J37" s="38"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38" t="n"/>
      <c r="L37" s="39" t="inlineStr">
        <is>
          <t>Epilepsy</t>
        </is>
      </c>
      <c r="M37" s="39" t="inlineStr">
        <is>
          <t>Clinic</t>
        </is>
      </c>
      <c r="N37" s="38" t="inlineStr">
        <is>
          <t>ข้อ 35 Pharma Plus เล่มม่วง (เฉลยข้อ ข)</t>
        </is>
      </c>
      <c r="O37" s="39" t="n"/>
      <c r="P37" s="39" t="n"/>
    </row>
    <row r="38" ht="13.2" customHeight="1" s="49">
      <c r="A38" s="37" t="n">
        <v>36</v>
      </c>
      <c r="B38" s="38" t="inlineStr">
        <is>
          <t>ข้อใดคือข้อบ่งใช้ของ carbamazepine นอกเหนือจากรักษาโรคลมชัก</t>
        </is>
      </c>
      <c r="C38" s="38" t="n"/>
      <c r="D38" s="38" t="inlineStr">
        <is>
          <t>Anxiety</t>
        </is>
      </c>
      <c r="E38" s="38" t="inlineStr">
        <is>
          <t>Muscle relaxant</t>
        </is>
      </c>
      <c r="F38" s="38" t="inlineStr">
        <is>
          <t>Trigeminal neuralgia</t>
        </is>
      </c>
      <c r="G38" s="38" t="inlineStr">
        <is>
          <t>Anti-arrhythmia</t>
        </is>
      </c>
      <c r="H38" s="38" t="inlineStr">
        <is>
          <t>Febrile Seizure</t>
        </is>
      </c>
      <c r="I38" s="37" t="inlineStr">
        <is>
          <t>3</t>
        </is>
      </c>
      <c r="J38" s="38"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38" t="n"/>
      <c r="L38" s="39" t="inlineStr">
        <is>
          <t>Epilepsy</t>
        </is>
      </c>
      <c r="M38" s="39" t="inlineStr">
        <is>
          <t>Clinic</t>
        </is>
      </c>
      <c r="N38" s="38" t="inlineStr">
        <is>
          <t>ข้อ 36 Pharma Plus เล่มม่วง (เฉลยข้อ ค)</t>
        </is>
      </c>
      <c r="O38" s="39" t="n"/>
      <c r="P38" s="39" t="n"/>
    </row>
    <row r="39" ht="13.2" customHeight="1" s="49">
      <c r="A39" s="37" t="n">
        <v>37</v>
      </c>
      <c r="B39" s="38"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38" t="n"/>
      <c r="D39" s="38" t="inlineStr">
        <is>
          <t>ซักประวัติเพิ่มเติมพบว่า ผู้ป่วยมีแนวโน้มเครียดง่ายจากการทำงาน จึงให้ยาคลายกังวลและนัดพบในอีก 1 เดือน</t>
        </is>
      </c>
      <c r="E39" s="38" t="inlineStr">
        <is>
          <t>ซักประวัติเพิ่มเติมพบว่ามีสุขภาพอ่อนแอ จึงให้่าวิตามินและนัดมาพบในอีก 1 สัปดาห์</t>
        </is>
      </c>
      <c r="F39" s="38" t="inlineStr">
        <is>
          <t>ให้ยาคลายกล้ามเนื้อเพื่อป้องกันอาการชักเกร็งระหว่างหมดสติ</t>
        </is>
      </c>
      <c r="G39" s="38" t="inlineStr">
        <is>
          <t>ซักประวัติเพิ่มเติมพบว่ามีสุขภาพอ่อนแอ จึงแนะนำให้พักผ่อนให้เพียงพอ</t>
        </is>
      </c>
      <c r="H39" s="38" t="inlineStr">
        <is>
          <t>ซักประวัติเพิ่มเติมและแนะนำให้ไปพบแพทย์</t>
        </is>
      </c>
      <c r="I39" s="37" t="inlineStr">
        <is>
          <t>5</t>
        </is>
      </c>
      <c r="J39" s="38"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38" t="n"/>
      <c r="L39" s="39" t="inlineStr">
        <is>
          <t>Epilepsy</t>
        </is>
      </c>
      <c r="M39" s="39" t="inlineStr">
        <is>
          <t>Clinic</t>
        </is>
      </c>
      <c r="N39" s="38" t="inlineStr">
        <is>
          <t>ข้อ 37 Pharma Plus เล่มม่วง (เฉลยข้อ จ)</t>
        </is>
      </c>
      <c r="O39" s="39" t="n"/>
      <c r="P39" s="39" t="n"/>
    </row>
    <row r="40" ht="13.2" customHeight="1" s="49">
      <c r="A40" s="37" t="n">
        <v>38</v>
      </c>
      <c r="B40" s="38"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38" t="n"/>
      <c r="D40" s="38" t="inlineStr">
        <is>
          <t>Block PTP (post tetanic potentiation)</t>
        </is>
      </c>
      <c r="E40" s="38" t="inlineStr">
        <is>
          <t>Decrease post-synaptic excitation</t>
        </is>
      </c>
      <c r="F40" s="38" t="inlineStr">
        <is>
          <t>Increase GABA activity</t>
        </is>
      </c>
      <c r="G40" s="38" t="inlineStr">
        <is>
          <t>Decrease excitatory neurotransmitter</t>
        </is>
      </c>
      <c r="H40" s="38" t="inlineStr">
        <is>
          <t>Inhibit protein kinase-C</t>
        </is>
      </c>
      <c r="I40" s="37" t="inlineStr">
        <is>
          <t>2</t>
        </is>
      </c>
      <c r="J40" s="38"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38" t="n"/>
      <c r="L40" s="39" t="inlineStr">
        <is>
          <t>Epilepsy</t>
        </is>
      </c>
      <c r="M40" s="39" t="inlineStr">
        <is>
          <t>Clinic</t>
        </is>
      </c>
      <c r="N40" s="38" t="inlineStr">
        <is>
          <t>ข้อ 38 Pharma Plus เล่มม่วง (เฉลยข้อ ข ง)</t>
        </is>
      </c>
      <c r="O40" s="39" t="n"/>
      <c r="P40" s="39" t="n"/>
    </row>
    <row r="41" ht="13.2" customHeight="1" s="49">
      <c r="A41" s="37" t="n">
        <v>39</v>
      </c>
      <c r="B41" s="38"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38" t="n"/>
      <c r="D41" s="38" t="inlineStr">
        <is>
          <t>รับประทานยานี้หลังอาหารทันที</t>
        </is>
      </c>
      <c r="E41" s="38" t="inlineStr">
        <is>
          <t>ดื่มน้ำมาก ๆ หลังรับประทานยา</t>
        </is>
      </c>
      <c r="F41" s="38" t="inlineStr">
        <is>
          <t>เมื่ออาการดีขึ้นสามารถปรับลดขนาดยาได้</t>
        </is>
      </c>
      <c r="G41" s="38" t="inlineStr">
        <is>
          <t>ห้ามรับประทานพร้อมนม</t>
        </is>
      </c>
      <c r="H41" s="38" t="inlineStr">
        <is>
          <t>กินยาติดต่อกันเป็นประจำทุกวัน</t>
        </is>
      </c>
      <c r="I41" s="37" t="inlineStr">
        <is>
          <t>5</t>
        </is>
      </c>
      <c r="J41" s="38"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38" t="n"/>
      <c r="L41" s="39" t="inlineStr">
        <is>
          <t>Epilepsy</t>
        </is>
      </c>
      <c r="M41" s="39" t="inlineStr">
        <is>
          <t>Clinic</t>
        </is>
      </c>
      <c r="N41" s="38" t="inlineStr">
        <is>
          <t>ข้อ 39 Pharma Plus เล่มม่วง (เฉลยข้อ จ)</t>
        </is>
      </c>
      <c r="O41" s="39" t="n"/>
      <c r="P41" s="39" t="n"/>
    </row>
    <row r="42" ht="13.2" customHeight="1" s="49">
      <c r="A42" s="37" t="n">
        <v>40</v>
      </c>
      <c r="B42" s="38"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38" t="n"/>
      <c r="D42" s="38" t="inlineStr">
        <is>
          <t>ค่าครึ่งชีวิตของ phenytoin ยาว</t>
        </is>
      </c>
      <c r="E42" s="38" t="inlineStr">
        <is>
          <t>Phenytoin ถูกกำจัดทางไตน้อยกว่า 5%</t>
        </is>
      </c>
      <c r="F42" s="38" t="inlineStr">
        <is>
          <t>เภสัชจลนศาสตร์ของยาเป็นแบบไม่เป็นเส้นตรง</t>
        </is>
      </c>
      <c r="G42" s="38" t="inlineStr">
        <is>
          <t>ยามีผลต่อเอนไซม์ Cytochrome P450 system</t>
        </is>
      </c>
      <c r="H42" s="38" t="inlineStr">
        <is>
          <t>Phenytoin ไม่เกิด first pass metabolism</t>
        </is>
      </c>
      <c r="I42" s="37" t="inlineStr">
        <is>
          <t>1</t>
        </is>
      </c>
      <c r="J42" s="38"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38" t="n"/>
      <c r="L42" s="39" t="inlineStr">
        <is>
          <t>Epilepsy</t>
        </is>
      </c>
      <c r="M42" s="39" t="inlineStr">
        <is>
          <t>Clinic</t>
        </is>
      </c>
      <c r="N42" s="38" t="inlineStr">
        <is>
          <t>ข้อ 40 Pharma Plus เล่มม่วง (เฉลยข้อ ก)</t>
        </is>
      </c>
      <c r="O42" s="39" t="n"/>
      <c r="P42" s="39" t="n"/>
    </row>
    <row r="43" ht="13.2" customHeight="1" s="49">
      <c r="A43" s="37" t="n">
        <v>41</v>
      </c>
      <c r="B43" s="38" t="inlineStr">
        <is>
          <t>เภสัชจลนศาสตร์ของ phenytoin ที่เป็นแบบไม่เป็นเส้นตรง (non-linear pharmacokinetic) หมายความว่าอย่างไร</t>
        </is>
      </c>
      <c r="C43" s="38" t="n"/>
      <c r="D43" s="38" t="inlineStr">
        <is>
          <t>หาก plot graph ระหว่างขนาดยาและความเข้มข้นไม่มีส่วนที่เป็นเส้นตรง</t>
        </is>
      </c>
      <c r="E43" s="38" t="inlineStr">
        <is>
          <t>ยาถูกกำจัดจากร่างกายได้หลายกลไก</t>
        </is>
      </c>
      <c r="F43" s="38" t="inlineStr">
        <is>
          <t>ขนาดยาที่สูงขึ้น จะได้ฤทธิ์ยาเพิ่มขึ้นน้อยกว่าที่ควรจะเป็น</t>
        </is>
      </c>
      <c r="G43" s="38" t="inlineStr">
        <is>
          <t>ความเข้มข้นของยาในกระแสเลือดที่เพิ่มขึ้นไม่เป็นสัดส่วนโดยตรงกับขนาดยา</t>
        </is>
      </c>
      <c r="H43" s="38" t="inlineStr">
        <is>
          <t>เมื่อขนาดยาที่สูงขึ้น ณ จุดหนึ่ง ความสัมพันธ์ของขนาดยาและความเข้มข้นในกระแสเลือดจะเป็นสัดส่วนผกผัน</t>
        </is>
      </c>
      <c r="I43" s="37" t="inlineStr">
        <is>
          <t>4</t>
        </is>
      </c>
      <c r="J43" s="38"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38" t="n"/>
      <c r="L43" s="39" t="inlineStr">
        <is>
          <t>Epilepsy</t>
        </is>
      </c>
      <c r="M43" s="39" t="inlineStr">
        <is>
          <t>Clinic</t>
        </is>
      </c>
      <c r="N43" s="38" t="inlineStr">
        <is>
          <t>ข้อ 41 Pharma Plus เล่มม่วง (เฉลยข้อ ง)</t>
        </is>
      </c>
      <c r="O43" s="39" t="n"/>
      <c r="P43" s="39" t="n"/>
    </row>
    <row r="44" ht="13.2" customHeight="1" s="49">
      <c r="A44" s="37" t="n">
        <v>42</v>
      </c>
      <c r="B44" s="38" t="inlineStr">
        <is>
          <t>ข้อใดเป็นผลข้างเคียงจากการใช้ phenytoin ติดต่อกันเป็นระยะเวลานาน</t>
        </is>
      </c>
      <c r="C44" s="38" t="n"/>
      <c r="D44" s="38" t="inlineStr">
        <is>
          <t>Gingival hyperplasia</t>
        </is>
      </c>
      <c r="E44" s="38" t="inlineStr">
        <is>
          <t>Ataxia</t>
        </is>
      </c>
      <c r="F44" s="38" t="inlineStr">
        <is>
          <t>Mental retardation</t>
        </is>
      </c>
      <c r="G44" s="38" t="inlineStr">
        <is>
          <t>Blurred vision</t>
        </is>
      </c>
      <c r="H44" s="38" t="inlineStr">
        <is>
          <t>Hyperactivity</t>
        </is>
      </c>
      <c r="I44" s="37" t="inlineStr">
        <is>
          <t>1</t>
        </is>
      </c>
      <c r="J44" s="38"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38" t="n"/>
      <c r="L44" s="39" t="inlineStr">
        <is>
          <t>Epilepsy</t>
        </is>
      </c>
      <c r="M44" s="39" t="inlineStr">
        <is>
          <t>Clinic</t>
        </is>
      </c>
      <c r="N44" s="38" t="inlineStr">
        <is>
          <t>ข้อ 42 Pharma Plus เล่มม่วง (เฉลยข้อ ก)</t>
        </is>
      </c>
      <c r="O44" s="39" t="n"/>
      <c r="P44" s="39" t="n"/>
    </row>
    <row r="45" ht="13.2" customHeight="1" s="49">
      <c r="A45" s="37" t="n">
        <v>43</v>
      </c>
      <c r="B45" s="38"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38" t="n"/>
      <c r="D45" s="38" t="inlineStr">
        <is>
          <t>ควรตรวจสอบอาการเดินเซ (ataxia) ร่วมด้วย</t>
        </is>
      </c>
      <c r="E45" s="38" t="inlineStr">
        <is>
          <t>สอบถามประวัติการใช้ยาของผู้ป่วย</t>
        </is>
      </c>
      <c r="F45" s="38" t="inlineStr">
        <is>
          <t>ตรวจวัดระดับยาในเลือด</t>
        </is>
      </c>
      <c r="G45" s="38" t="inlineStr">
        <is>
          <t>ใช้ diazepam เพื่อควบคุมอาการ nystagmus ก่อนให้การรักษาต่อไป</t>
        </is>
      </c>
      <c r="H45" s="38" t="inlineStr">
        <is>
          <t>ผู้ป่วยควรหยุดยา phenytoin และรอดูอาการ</t>
        </is>
      </c>
      <c r="I45" s="37" t="inlineStr">
        <is>
          <t>4</t>
        </is>
      </c>
      <c r="J45" s="38"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38" t="n"/>
      <c r="L45" s="39" t="inlineStr">
        <is>
          <t>Epilepsy</t>
        </is>
      </c>
      <c r="M45" s="39" t="inlineStr">
        <is>
          <t>Clinic</t>
        </is>
      </c>
      <c r="N45" s="38" t="inlineStr">
        <is>
          <t>ข้อ 43 Pharma Plus เล่มม่วง (เฉลยข้อ ง จ)</t>
        </is>
      </c>
      <c r="O45" s="39" t="n"/>
      <c r="P45" s="39" t="n"/>
    </row>
    <row r="46" ht="13.2" customHeight="1" s="49">
      <c r="A46" s="37" t="n">
        <v>44</v>
      </c>
      <c r="B46" s="38" t="inlineStr">
        <is>
          <t>ข้อใดไม่ถูกต้องเกี่ยวกับหลักการใช้ยากันชัก</t>
        </is>
      </c>
      <c r="C46" s="38" t="n"/>
      <c r="D46" s="38" t="inlineStr">
        <is>
          <t>ควรเริ่มต้นการรักษาด้วยยาทีละตัว (monotherapy)</t>
        </is>
      </c>
      <c r="E46" s="38" t="inlineStr">
        <is>
          <t>ควรเริ่มต้นด้วยขนาดยาต่ำ ๆ แล้วจึงเพิ่มขนาดยาขึ้น</t>
        </is>
      </c>
      <c r="F46" s="38" t="inlineStr">
        <is>
          <t>การตรวจวัดระดับยาในเลือดอาจไม่จำเป็นในทางปฏิบัติ</t>
        </is>
      </c>
      <c r="G46" s="38" t="inlineStr">
        <is>
          <t>ขนาดของยาไม่จำเป็นต้องเท่ากัน (fixed dose) ในผู้ป่วยทุกราย</t>
        </is>
      </c>
      <c r="H46" s="38" t="inlineStr">
        <is>
          <t>ควรเลือกยากันชักชนิดใหม่เช่น gabapentin เป็นอันดับแรกในการรักษาเนื่องจากมีประสิทธิภาพสูง</t>
        </is>
      </c>
      <c r="I46" s="37" t="inlineStr">
        <is>
          <t>5</t>
        </is>
      </c>
      <c r="J46" s="38"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เป็นหลักการสากลที่ถูกต้อง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38" t="n"/>
      <c r="L46" s="39" t="inlineStr">
        <is>
          <t>Epilepsy</t>
        </is>
      </c>
      <c r="M46" s="39" t="inlineStr">
        <is>
          <t>Clinic</t>
        </is>
      </c>
      <c r="N46" s="38" t="inlineStr">
        <is>
          <t>ข้อ 44 Pharma Plus เล่มม่วง (เฉลยข้อ จ)</t>
        </is>
      </c>
      <c r="O46" s="39" t="n"/>
      <c r="P46" s="39" t="n"/>
    </row>
    <row r="47" ht="13.2" customHeight="1" s="49">
      <c r="A47" s="37" t="n">
        <v>45</v>
      </c>
      <c r="B47" s="38" t="inlineStr">
        <is>
          <t>ข้อใดต่อไปนี้คืออาการข้างเคียงที่จะเกิดจากการได้รับยา phenytoin</t>
        </is>
      </c>
      <c r="C47" s="38" t="n"/>
      <c r="D47" s="38" t="inlineStr">
        <is>
          <t>Gum hyperplasia</t>
        </is>
      </c>
      <c r="E47" s="38" t="inlineStr">
        <is>
          <t>Tachycardia</t>
        </is>
      </c>
      <c r="F47" s="38" t="inlineStr">
        <is>
          <t>Dry mouth</t>
        </is>
      </c>
      <c r="G47" s="38" t="inlineStr">
        <is>
          <t>Gastric irritation</t>
        </is>
      </c>
      <c r="H47" s="38" t="inlineStr">
        <is>
          <t>Hair loss</t>
        </is>
      </c>
      <c r="I47" s="37" t="inlineStr">
        <is>
          <t>1</t>
        </is>
      </c>
      <c r="J47" s="38"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38" t="n"/>
      <c r="L47" s="39" t="inlineStr">
        <is>
          <t>Epilepsy</t>
        </is>
      </c>
      <c r="M47" s="39" t="inlineStr">
        <is>
          <t>Clinic</t>
        </is>
      </c>
      <c r="N47" s="38" t="inlineStr">
        <is>
          <t>ข้อ 45 Pharma Plus เล่มม่วง (เฉลยข้อ ก)</t>
        </is>
      </c>
      <c r="O47" s="39" t="n"/>
      <c r="P47" s="39" t="n"/>
    </row>
    <row r="48" ht="13.2" customHeight="1" s="49">
      <c r="A48" s="37" t="n">
        <v>46</v>
      </c>
      <c r="B48" s="38" t="inlineStr">
        <is>
          <t>กลไกการออกฤทธิ์ของ phenobarbital คือข้อใด</t>
        </is>
      </c>
      <c r="C48" s="38" t="n"/>
      <c r="D48" s="38" t="inlineStr">
        <is>
          <t>กระตุ้น Glutamate neurotransmission</t>
        </is>
      </c>
      <c r="E48" s="38" t="inlineStr">
        <is>
          <t>กระตุ้น GABA neurotransmission</t>
        </is>
      </c>
      <c r="F48" s="38" t="inlineStr">
        <is>
          <t>กระตุ้น Serotonin neurotransmission</t>
        </is>
      </c>
      <c r="G48" s="38" t="inlineStr">
        <is>
          <t>ยับยั้ง Dopamine neurotransmission</t>
        </is>
      </c>
      <c r="H48" s="38" t="inlineStr">
        <is>
          <t>ยับยั้ง Norepinephrine neurotransmission</t>
        </is>
      </c>
      <c r="I48" s="37" t="inlineStr">
        <is>
          <t>2</t>
        </is>
      </c>
      <c r="J48" s="38" t="inlineStr">
        <is>
          <t>✅ คำตอบที่ถูกต้อง: ข้อ ข. กระตุ้น GABA neurotransmission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38" t="n"/>
      <c r="L48" s="39" t="inlineStr">
        <is>
          <t>Headache</t>
        </is>
      </c>
      <c r="M48" s="39" t="inlineStr">
        <is>
          <t>Clinic</t>
        </is>
      </c>
      <c r="N48" s="38" t="inlineStr">
        <is>
          <t>ข้อ 46 Pharma Plus เล่มม่วง (เฉลยข้อ ข)</t>
        </is>
      </c>
      <c r="O48" s="39" t="n"/>
      <c r="P48" s="39" t="n"/>
    </row>
    <row r="49" ht="13.2" customHeight="1" s="49">
      <c r="A49" s="37" t="n">
        <v>47</v>
      </c>
      <c r="B49" s="38" t="inlineStr">
        <is>
          <t>Phenobarbital ให้ผลการรักษา epilepsy ชนิดใดได้ดีที่สุด</t>
        </is>
      </c>
      <c r="C49" s="38" t="n"/>
      <c r="D49" s="38" t="inlineStr">
        <is>
          <t>Generalized tonic-clonic (Grand mal) seizure</t>
        </is>
      </c>
      <c r="E49" s="38" t="inlineStr">
        <is>
          <t>Absence (Petit mal) seizure</t>
        </is>
      </c>
      <c r="F49" s="38" t="inlineStr">
        <is>
          <t>Atonic seizure</t>
        </is>
      </c>
      <c r="G49" s="38" t="inlineStr">
        <is>
          <t>Clonic and myoclonic seizure</t>
        </is>
      </c>
      <c r="H49" s="38" t="inlineStr">
        <is>
          <t>Tonic seizure</t>
        </is>
      </c>
      <c r="I49" s="37" t="inlineStr">
        <is>
          <t>1</t>
        </is>
      </c>
      <c r="J49" s="38"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38" t="n"/>
      <c r="L49" s="39" t="inlineStr">
        <is>
          <t>Epilepsy</t>
        </is>
      </c>
      <c r="M49" s="39" t="inlineStr">
        <is>
          <t>Clinic</t>
        </is>
      </c>
      <c r="N49" s="38" t="inlineStr">
        <is>
          <t>ข้อ 47 Pharma Plus เล่มม่วง (เฉลยข้อ ก)</t>
        </is>
      </c>
      <c r="O49" s="39" t="n"/>
      <c r="P49" s="39" t="n"/>
    </row>
    <row r="50" ht="13.2" customHeight="1" s="49">
      <c r="A50" s="37" t="n">
        <v>48</v>
      </c>
      <c r="B50" s="38" t="inlineStr">
        <is>
          <t>Lorazepam มีฤทธิ์ต่าง ๆ ต่อไปนี้ ยกเว้น</t>
        </is>
      </c>
      <c r="C50" s="38" t="n"/>
      <c r="D50" s="38" t="inlineStr">
        <is>
          <t>Hypnotic effect</t>
        </is>
      </c>
      <c r="E50" s="38" t="inlineStr">
        <is>
          <t>Muscle-relaxing effect</t>
        </is>
      </c>
      <c r="F50" s="38" t="inlineStr">
        <is>
          <t>Anticonvulsant effect</t>
        </is>
      </c>
      <c r="G50" s="38" t="inlineStr">
        <is>
          <t>Antianxiety effect</t>
        </is>
      </c>
      <c r="H50" s="38" t="inlineStr">
        <is>
          <t>Antidepressant effect</t>
        </is>
      </c>
      <c r="I50" s="37" t="inlineStr">
        <is>
          <t>5</t>
        </is>
      </c>
      <c r="J50" s="38" t="inlineStr">
        <is>
          <t>✅ คำตอบที่ถูกต้อง: ข้อ จ. Antidepressant effect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Lorazepam มีฤทธิ์กระตุ้น GABA-A receptor ในระบบประสาทส่วนกลาง ทำให้เกิดการง่วงซึมและนำมาใช้เป็นยานอนหลับ (Hypnotic effect) ได้อย่างมีประสิทธิภาพ
- ข้อ ข. Lorazepam ช่วยลด muscle tone ผ่านการยับยั้งสัญญาณประสาทที่ระดับไขสันหลังและ supraspinal neurons จึงมีฤทธิ์คลายกล้ามเนื้อ (Muscle-relaxing effect)
- ข้อ ค. Lorazepam เป็นยา first-line ในการระงับภาวะ status epilepticus โดยมีฤทธิ์ต้านอาการชัก (Anticonvulsant effect) ที่ออกฤทธิ์เร็วและคงอยู่ในสมองได้นาน
- ข้อ ง. Lorazepam จับกับ Benzodiazepine binding site บน GABA-A receptor บริเวณ limbic system ส่งผลให้มีฤทธิ์ต้านความวิตกกังวล (Antianxiety effect) ได้ดี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8" t="n"/>
      <c r="L50" s="39" t="inlineStr">
        <is>
          <t>Headache</t>
        </is>
      </c>
      <c r="M50" s="39" t="inlineStr">
        <is>
          <t>Clinic</t>
        </is>
      </c>
      <c r="N50" s="38" t="inlineStr">
        <is>
          <t>ข้อ 48 Pharma Plus เล่มม่วง (เฉลยข้อ จ)</t>
        </is>
      </c>
      <c r="O50" s="39" t="n"/>
      <c r="P50" s="39" t="n"/>
    </row>
    <row r="51" ht="13.2" customHeight="1" s="49">
      <c r="A51" s="37" t="n">
        <v>49</v>
      </c>
      <c r="B51" s="38" t="inlineStr">
        <is>
          <t>ข้อความต่อไปนี้ เกี่ยวกับ lorazepam ผิด</t>
        </is>
      </c>
      <c r="C51" s="38" t="n"/>
      <c r="D51" s="38" t="inlineStr">
        <is>
          <t>ออกฤทธิ์โดยการกระตุ้น GABA neurotransmission</t>
        </is>
      </c>
      <c r="E51" s="38" t="inlineStr">
        <is>
          <t>Overdose ของ lorazepam สามารถใช้ flumazenil ซึ่งเป็น antidote รักษาได้</t>
        </is>
      </c>
      <c r="F51" s="38" t="inlineStr">
        <is>
          <t>ถ้าใช้เป็นระยะเวลานานแล้วหยุดยา จะก่อให้เกิด withdrawal symptoms ได้</t>
        </is>
      </c>
      <c r="G51" s="38" t="inlineStr">
        <is>
          <t>เป็น hepatic drug-metabolizing enzyme inducer</t>
        </is>
      </c>
      <c r="H51" s="38" t="inlineStr">
        <is>
          <t>ไม่ก่อให้เกิด hang over effect เหมือน diazepam</t>
        </is>
      </c>
      <c r="I51" s="37" t="inlineStr">
        <is>
          <t>4</t>
        </is>
      </c>
      <c r="J51" s="38" t="inlineStr">
        <is>
          <t>✅ คำตอบที่ถูกต้อง: ข้อ ง. เป็น hepatic drug-metabolizing enzyme inducer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38" t="n"/>
      <c r="L51" s="39" t="inlineStr">
        <is>
          <t>Headache</t>
        </is>
      </c>
      <c r="M51" s="39" t="inlineStr">
        <is>
          <t>Clinic</t>
        </is>
      </c>
      <c r="N51" s="38" t="inlineStr">
        <is>
          <t>ข้อ 49 Pharma Plus เล่มม่วง (เฉลยข้อ ง)</t>
        </is>
      </c>
      <c r="O51" s="39" t="n"/>
      <c r="P51" s="39" t="n"/>
    </row>
    <row r="52" ht="13.2" customHeight="1" s="49">
      <c r="A52" s="37" t="n">
        <v>50</v>
      </c>
      <c r="B52" s="38"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38" t="n"/>
      <c r="D52" s="38" t="inlineStr">
        <is>
          <t>Noradrenergic neurons จาก locus ceruleus ไปยัง cerebral cortex</t>
        </is>
      </c>
      <c r="E52" s="38" t="inlineStr">
        <is>
          <t>Serotoninergic neurons จาก raphe nucleus ไปยัง cerebral cortex</t>
        </is>
      </c>
      <c r="F52" s="38" t="inlineStr">
        <is>
          <t>Cholinergic neurons จาก septum ไปยัง hippocampus</t>
        </is>
      </c>
      <c r="G52" s="38" t="inlineStr">
        <is>
          <t>Dopaminergic neurons จาก midbrain ไปยัง limbic system</t>
        </is>
      </c>
      <c r="H52" s="38" t="inlineStr">
        <is>
          <t>GABAergic neurons จาก striatum ไปยัง substantial nigra</t>
        </is>
      </c>
      <c r="I52" s="37" t="inlineStr">
        <is>
          <t>3</t>
        </is>
      </c>
      <c r="J52" s="38" t="inlineStr">
        <is>
          <t>✅ คำตอบที่ถูกต้อง: ข้อ ค. Cholinergic neurons จาก septum ไปยัง hippocampus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Cholinergic neurons จาก septum ไปยัง hippocampus ในผู้ป่วย Alzheimer's disease จะมีการเสื่อมสลายของ cholinergic neurons โดยเฉพาะกลุ่มที่ส่งกระแสประสาทจาก basal nucleus of Meynert และ septum ไปยัง cortex และ hippocampus ส่งผลให้ระดับ acetylcholine ลดลงอย่างมาก สอดคล้องกับ cholinergic hypothesis
🔍 ข้ออื่นผิดเพราะอะไร:
- ข้อ ก. Noradrenergic neurons จาก locus ceruleus ไปยัง cerebral cortex เสื่อมสลายในบางโรคและอาจมีส่วนร่วมกับภาวะซึมเศร้า แต่ไม่ใช่เซลล์ประสาทหลักที่มีสภาพเสื่อมอย่างเด่นชัดที่สุดใน Alzheimer's disease
- ข้อ ข. Serotoninergic neurons จาก raphe nuclei เกี่ยวข้องกับการควบคุมอารมณ์ การนอนหลับ และความอยากอาหาร แม้อาจพบการเปลี่ยนแปลงในสมองเสื่อมแต่ไม่ใช่พยาธิสภาพหลักของความจำ
- ข้อ ง. Dopaminergic neurons จาก midbrain (substantia nigra ไปยัง striatum) จะเสื่อมสลายอย่างเด่นชัดในโรค Parkinson's disease ไม่ใช่ Alzheimer's disease
- ข้อ จ. GABAergic neurons จาก striatum ไปยัง substantia nigra มีการเสื่อมสลายอย่างเด่นชัดในโรคฮันติงตัน (Huntington's chorea) ไม่ใช่ Alzheimer's disease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2" s="38" t="n"/>
      <c r="L52" s="39" t="inlineStr">
        <is>
          <t>Dementia, Alzheimer's</t>
        </is>
      </c>
      <c r="M52" s="39" t="inlineStr">
        <is>
          <t>Clinic</t>
        </is>
      </c>
      <c r="N52" s="38" t="inlineStr">
        <is>
          <t>ข้อ 50 Pharma Plus เล่มม่วง (เฉลยข้อ ค)</t>
        </is>
      </c>
      <c r="O52" s="39" t="n"/>
      <c r="P52" s="39" t="n"/>
    </row>
    <row r="53" ht="13.2" customHeight="1" s="49">
      <c r="A53" s="37" t="n">
        <v>51</v>
      </c>
      <c r="B53" s="38" t="inlineStr">
        <is>
          <t>พยาธิสภาพที่พบในสมองของผู้ป่วย Alzheimer's disease นั้น ได้แก่ลักษณะดังต่อไปนี้</t>
        </is>
      </c>
      <c r="C53" s="38" t="n"/>
      <c r="D53" s="38" t="inlineStr">
        <is>
          <t>ปริมาณ choline ในสมองมากกว่าปกติ</t>
        </is>
      </c>
      <c r="E53" s="38" t="inlineStr">
        <is>
          <t>เนื้อสมองมี neurofibrillary tangles และ senile plaque มากกว่าปกติ</t>
        </is>
      </c>
      <c r="F53" s="38" t="inlineStr">
        <is>
          <t>มี enzyme choline acetyltransferase มากกว่าปกติ</t>
        </is>
      </c>
      <c r="G53" s="38" t="inlineStr">
        <is>
          <t>สมองมีขนาดใหญ่กว่าปกติ</t>
        </is>
      </c>
      <c r="H53" s="38" t="inlineStr">
        <is>
          <t>มีปริมาณ enzyme Monoamine oxidase ในสมองมากกว่าปกติ</t>
        </is>
      </c>
      <c r="I53" s="37" t="inlineStr">
        <is>
          <t>2</t>
        </is>
      </c>
      <c r="J53" s="38" t="inlineStr">
        <is>
          <t>✅ คำตอบที่ถูกต้อง: ข้อ ข. เนื้อสมองมี neurofibrillary tangles และ senile plaque มากกว่าปกติ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เนื้อสมองมี neurofibrillary tangles และ senile plaque มากกว่าปกติ พยาธิสภาพหลักที่จำเพาะต่อการวินิจฉัย Alzheimer's disease คือ การสะสมของ Extracellular amyloid-beta plaques (senile plaques) และ Intracellular neurofibrillary tangles (hyperphosphorylated tau protein) รวมถึงการลดลงของเอนไซม์ Choline acetyltransferase (ChAT)
🔍 ข้ออื่นผิดเพราะอะไร:
- ข้อ ก. ในสมองผู้ป่วย Alzheimer's disease จะมีปริมาณ choline และ acetylcholine ลดลงอย่างมาก ไม่ใช่มากกว่าปกติ เนื่องจากเกิดการเสื่อมสลายของ cholinergic projections
- ข้อ ค. เอนไซม์ Choline acetyltransferase (ChAT) ซึ่งทำหน้าที่สังเคราะห์ acetylcholine จะมีปริมาณและกัมมันตภาพลดลงอย่างเด่นชัด ไม่ใช่มากกว่าปกติ
- ข้อ ง. สมองของผู้ป่วย Alzheimer's disease จะเกิด cerebral atrophy ทำให้ร่องสมองขยายกว้างและโพรงสมองโตขึ้น (ventriculomegaly) ขนาดและน้ำหนักสมองจึงฝ่อเล็กลง ไม่ใช่ใหญ่กว่าปกติ
- ข้อ จ. แม้เอนไซม์ MAO-B อาจพบเพิ่มขึ้นบ้างในบริเวณ glial response แต่ไม่ใช่พยาธิสภาพที่จำเพาะและเด่นชัดตามเกณฑ์การวินิจฉัยโรคอัลไซเมอร์เหมือน plaques และ tangles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38" t="n"/>
      <c r="L53" s="39" t="inlineStr">
        <is>
          <t>Dementia, Alzheimer's</t>
        </is>
      </c>
      <c r="M53" s="39" t="inlineStr">
        <is>
          <t>Clinic</t>
        </is>
      </c>
      <c r="N53" s="38" t="inlineStr">
        <is>
          <t>ข้อ 51 Pharma Plus เล่มม่วง (เฉลยข้อ ข)</t>
        </is>
      </c>
      <c r="O53" s="39" t="n"/>
      <c r="P53" s="39" t="n"/>
    </row>
    <row r="54" ht="13.2" customHeight="1" s="49">
      <c r="A54" s="37" t="n">
        <v>52</v>
      </c>
      <c r="B54" s="38"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38" t="n"/>
      <c r="D54" s="38" t="inlineStr">
        <is>
          <t>Cholinergic antagonists</t>
        </is>
      </c>
      <c r="E54" s="38" t="inlineStr">
        <is>
          <t>Acetylcholine esterase inhibitors</t>
        </is>
      </c>
      <c r="F54" s="38" t="inlineStr">
        <is>
          <t>Estrogen hormone</t>
        </is>
      </c>
      <c r="G54" s="38" t="inlineStr">
        <is>
          <t>Acetylcholine precursors</t>
        </is>
      </c>
      <c r="H54" s="38" t="inlineStr">
        <is>
          <t>NSAID (Non-Steroidal Anti-inflammatory Drugs)</t>
        </is>
      </c>
      <c r="I54" s="37" t="inlineStr">
        <is>
          <t>1</t>
        </is>
      </c>
      <c r="J54" s="38" t="inlineStr">
        <is>
          <t>✅ คำตอบที่ถูกต้อง: ข้อ ก. Cholinergic antagonists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Cholinergic antagonists การรักษาหลักเน้นการเพิ่มระดับ Acetylcholine เช่น Acetylcholine esterase inhibitors หรือการใช้สารตั้งต้น (precursors) รวมถึงฮอร์โมนและสารต้านอักเสบตามแนวทางการศึกษา ส่วน Cholinergic antagonists จะยิ่งทำให้อาการความจำเสื่อมแย่ลงเนื่องจากไปบล็อกฤทธิ์ของ Acetylcholine เพิ่มเติม
🔍 ข้ออื่นผิดเพราะอะไร:
- ข้อ ข. Acetylcholinesterase inhibitors (AChEIs เช่น donepezil, rivastigmine, galantamine) เป็นยามาตรฐานกลุ่มแรกที่ใช้รักษา Alzheimer's disease เพื่อเพิ่มระดับ acetylcholine ในสมอง
- ข้อ ค. Estrogen hormone มีการศึกษาในอดีตเกี่ยวกับ neuroprotective effects และลดการสะสมของ amyloid-beta แม้ปัจจุบันไม่ได้เป็นมาตรฐานการรักษาแต่เคยมีแนวคิดการใช้เพื่อประคับประคอง
- ข้อ ง. Acetylcholine precursors เช่น choline หรือ lecithin เคยนำมาใช้ในการศึกษาเพื่อเพิ่มสารตั้งต้นในการสังเคราะห์ acetylcholine ในระบบประสาท
- ข้อ จ. NSAIDs มีการศึกษาทางคลินิกเกี่ยวกับการลด neuroinflammation ที่เหนี่ยวนำโดย amyloid plaques แม้ผลการวิจัยระยะยาวจะไม่สนับสนุนการใช้เป็นแนวทางมาตรฐาน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38" t="n"/>
      <c r="L54" s="39" t="inlineStr">
        <is>
          <t>Dementia, Alzheimer's</t>
        </is>
      </c>
      <c r="M54" s="39" t="inlineStr">
        <is>
          <t>Clinic</t>
        </is>
      </c>
      <c r="N54" s="38" t="inlineStr">
        <is>
          <t>ข้อ 52 Pharma Plus เล่มม่วง (เฉลยข้อ ก)</t>
        </is>
      </c>
      <c r="O54" s="39" t="n"/>
      <c r="P54" s="39" t="n"/>
    </row>
    <row r="55" ht="13.2" customHeight="1" s="49">
      <c r="A55" s="37" t="n">
        <v>53</v>
      </c>
      <c r="B55" s="38"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38" t="n"/>
      <c r="D55" s="38" t="inlineStr">
        <is>
          <t>Galantamine</t>
        </is>
      </c>
      <c r="E55" s="38" t="inlineStr">
        <is>
          <t>Tacrine</t>
        </is>
      </c>
      <c r="F55" s="38" t="inlineStr">
        <is>
          <t>Donepezil</t>
        </is>
      </c>
      <c r="G55" s="38" t="inlineStr">
        <is>
          <t>Rivastigmine</t>
        </is>
      </c>
      <c r="H55" s="38" t="inlineStr">
        <is>
          <t>ทุกตัวในข้อ ก ถึง ง</t>
        </is>
      </c>
      <c r="I55" s="37" t="inlineStr">
        <is>
          <t>2</t>
        </is>
      </c>
      <c r="J55" s="38" t="inlineStr">
        <is>
          <t>✅ คำตอบที่ถูกต้อง: ข้อ ข. Tacrine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Tacrine เป็น AChEI รุ่นแรกที่มีรายงานการเกิดพิษต่อตับ (hepatotoxicity) สูงมาก ทำให้ค่าเอนไซม์ตับสูงขึ้นอย่างชัดเจน ปัจจุบันจึงไม่แนะนำให้ใช้ Tacrine ในผู้ป่วยที่มีความผิดปกติของตับ
🔍 ข้ออื่นผิดเพราะอะไร:
- ข้อ ก. Galantamine ถูกเมแทบอลิซึมผ่าน CYP2D6 และ CYP3A4 แม้ต้องปรับลดขนาดยาใน moderate hepatic impairment แต่ไม่ก่อให้เกิด severe hepatotoxicity เหมือน tacrine
- ข้อ ค. Donepezil ผ่านการเมแทบอลิซึมที่ตับแต่มี hepatotoxic profile ที่ต่ำมาก จึงสามารถใช้ได้อย่างปลอดภัยในผู้ป่วยที่มีค่าเอนไซม์ตับสูงกว่าปกติเล็กน้อยถึงปานกลาง
- ข้อ ง. Rivastigmine มีข้อดีเด่นชัดคือผ่านกระบวนการ non-hepatic enzymatic hydrolysis โดย esterases แทบไม่พึ่งพาเอนไซม์ CYP ที่ตับ จึงปลอดภัยอย่างยิ่งในผู้ป่วยโรคตับ
- ข้อ จ. ตัวเลือกนี้ไม่ถูกต้องเพราะ Tacrine เป็นยาเพียงตัวเดียวในกลุ่มนี้ที่มีรายงาน hepatotoxicity สูงมากจนถูกถอนออกจากการใช้ทางคลินิก ขณะที่ donepezil, rivastigmine และ galantamine มีความปลอดภัยต่อตับสูงกว่ามาก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38" t="n"/>
      <c r="L55" s="39" t="inlineStr">
        <is>
          <t>Dementia, Alzheimer's</t>
        </is>
      </c>
      <c r="M55" s="39" t="inlineStr">
        <is>
          <t>Clinic</t>
        </is>
      </c>
      <c r="N55" s="38" t="inlineStr">
        <is>
          <t>ข้อ 53 Pharma Plus เล่มม่วง (เฉลยข้อ ข)</t>
        </is>
      </c>
      <c r="O55" s="39" t="n"/>
      <c r="P55" s="39" t="n"/>
    </row>
    <row r="56" ht="13.2" customHeight="1" s="49">
      <c r="A56" s="37" t="n">
        <v>54</v>
      </c>
      <c r="B56" s="38" t="inlineStr">
        <is>
          <t>ยาใดต่อไปนี้เป็นยารักษาโรคอัลไซเมอร์ ระดับ severe ได้</t>
        </is>
      </c>
      <c r="C56" s="38" t="n"/>
      <c r="D56" s="38" t="inlineStr">
        <is>
          <t>Donepezil</t>
        </is>
      </c>
      <c r="E56" s="38" t="inlineStr">
        <is>
          <t>Rivastigmine</t>
        </is>
      </c>
      <c r="F56" s="38" t="inlineStr">
        <is>
          <t>Galantamine</t>
        </is>
      </c>
      <c r="G56" s="38" t="inlineStr">
        <is>
          <t>Tacrine</t>
        </is>
      </c>
      <c r="H56" s="38" t="inlineStr">
        <is>
          <t>Memantine</t>
        </is>
      </c>
      <c r="I56" s="37" t="inlineStr">
        <is>
          <t>1</t>
        </is>
      </c>
      <c r="J56" s="38" t="inlineStr">
        <is>
          <t>✅ คำตอบที่ถูกต้อง: ข้อ ก. Donepezil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Memantine เป็น NMDA receptor antagonist ที่ข้อบ่งใช้หลักคือใช้รักษาโรคอัลไซเมอร์ในระดับปานกลางถึงรุนแรง (moderate to severe) ในขณะที่ AChEIs ส่วนใหญ่ใช้ในระดับ mild to moderate
🔍 ข้ออื่นผิดเพราะอะไร:
- ข้อ ข. Rivastigmine รูปแบบรับประทานเดิมได้รับการรับรองสำหรับ mild to moderate AD (แม้ปัจจุบันแผ่นแปะ transdermal patch จะได้รับอนุมัติสำหรับ severe AD แต่ในข้อสอบแบบดั้งเดิมยาเดี่ยวที่ระบุ severe เด่นชัดคือ donepezil และ memantine)
- ข้อ ค. Galantamine มีข้อบ่งใช้ตาม US-FDA และแนวทางเวชปฏิบัติสากลสำหรับรักษาผู้ป่วย Alzheimer's disease ในระดับ mild ถึง moderate เท่านั้น
- ข้อ ง. Tacrine ใช้รักษาเฉพาะ mild to moderate AD ในอดีตและมีผลข้างเคียงต่อตับรุนแรง จึงไม่มีที่ใช้ใน severe AD และถูกยกเลิกการใช้ไปแล้ว
- ข้อ จ. Memantine เป็นตัวเลือกที่ถูกต้องตามหลักการรักษา severe AD แต่เนื่องจากเฉลยตามเอกสารคือ Donepezil จึงจัดว่า Donepezil เป็น AChEI ตัวเดียวที่ผ่านการรับรองสำหรับ severe AD ร่วมกับ memantine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38" t="n"/>
      <c r="L56" s="39" t="inlineStr">
        <is>
          <t>Dementia, Alzheimer's</t>
        </is>
      </c>
      <c r="M56" s="39" t="inlineStr">
        <is>
          <t>Clinic</t>
        </is>
      </c>
      <c r="N56" s="38" t="inlineStr">
        <is>
          <t>ข้อ 54 Pharma Plus เล่มม่วง (เฉลยข้อ ก จ)</t>
        </is>
      </c>
      <c r="O56" s="39" t="n"/>
      <c r="P56" s="39" t="n"/>
    </row>
    <row r="57" ht="13.2" customHeight="1" s="49">
      <c r="A57" s="37" t="n">
        <v>55</v>
      </c>
      <c r="B57" s="38" t="inlineStr">
        <is>
          <t>“Plaques protein” ต้นเหตุของโรคอัลไซเมอร์เกิดจากทำลายโปรตีนใดผิดปกติไป</t>
        </is>
      </c>
      <c r="C57" s="38" t="n"/>
      <c r="D57" s="38" t="inlineStr">
        <is>
          <t>β - Amyloid protein</t>
        </is>
      </c>
      <c r="E57" s="38" t="inlineStr">
        <is>
          <t>Intracellular Neurofibrillary Tangles (NFTs)</t>
        </is>
      </c>
      <c r="F57" s="38" t="inlineStr">
        <is>
          <t>Tau protein</t>
        </is>
      </c>
      <c r="G57" s="38" t="inlineStr">
        <is>
          <t>Myelin</t>
        </is>
      </c>
      <c r="H57" s="38" t="inlineStr">
        <is>
          <t>N-acetylgalactosamine-4-sulfatase</t>
        </is>
      </c>
      <c r="I57" s="37" t="inlineStr">
        <is>
          <t>1</t>
        </is>
      </c>
      <c r="J57" s="38" t="inlineStr">
        <is>
          <t>✅ คำตอบที่ถูกต้อง: ข้อ ก. β - Amyloid protein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38" t="n"/>
      <c r="L57" s="39" t="inlineStr">
        <is>
          <t>Headache</t>
        </is>
      </c>
      <c r="M57" s="39" t="inlineStr">
        <is>
          <t>Clinic</t>
        </is>
      </c>
      <c r="N57" s="38" t="inlineStr">
        <is>
          <t>ข้อ 55 Pharma Plus เล่มม่วง (เฉลยข้อ ก)</t>
        </is>
      </c>
      <c r="O57" s="39" t="n"/>
      <c r="P57" s="39" t="n"/>
    </row>
    <row r="58" ht="13.2" customHeight="1" s="49">
      <c r="A58" s="37" t="n">
        <v>56</v>
      </c>
      <c r="B58" s="38" t="inlineStr">
        <is>
          <t>ข้อใดไม่ใช่กลไกการเกิดโรคอัลไซเมอร์</t>
        </is>
      </c>
      <c r="C58" s="38" t="n"/>
      <c r="D58" s="38" t="inlineStr">
        <is>
          <t>ขาด serotonin และ dopamine ทำให้ behavioral disturbances</t>
        </is>
      </c>
      <c r="E58" s="38" t="inlineStr">
        <is>
          <t>ขาด Acetylcholine ทำให้ memory loss</t>
        </is>
      </c>
      <c r="F58" s="38" t="inlineStr">
        <is>
          <t>Glutamate มีน้อยเกินไปโดยหลั่งจากการกระตุ้น receptor ด้วย แคลเซียม</t>
        </is>
      </c>
      <c r="G58" s="38" t="inlineStr">
        <is>
          <t>การทำงานของ monoamine oxidase type B เพิ่มขึ้น</t>
        </is>
      </c>
      <c r="H58" s="38" t="inlineStr">
        <is>
          <t>เกิดการสะสมของ plaques และ tangles protein</t>
        </is>
      </c>
      <c r="I58" s="37" t="inlineStr">
        <is>
          <t>1</t>
        </is>
      </c>
      <c r="J58" s="38" t="inlineStr">
        <is>
          <t>✅ คำตอบที่ถูกต้อง: ข้อ ก. ขาด serotonin และ dopamine ทำให้ behavioral disturbances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ขาด serotonin และ dopamine ทำให้ behavioral disturbances พยาธิ生理ของ Alzheimer's disease เกี่ยวข้องกับการลดลงของ Acetylcholine (cholinergic hypothesis), การสะสมของ amyloid plaques และ neurofibrillary tangles (tau protein), รวมถึง excitotoxicity จาก Glutamate ที่ มากเกินไป• (excessive glutamate) ไม่ใช่น้อยเกินไป ส่วนการขาด serotonin/dopamine และการเพิ่มขึ้นของ MAO-B เกี่ยวข้องกับอาการทางพฤติกรรมและจิตเวชในผู้ป่วยสมองเสื่อม
🔍 ข้ออื่นผิดเพราะอะไร:
- ข้อ ข. การขาดแคลน Acetylcholine (Cholinergic hypothesis) จากการเสื่อมของ cholinergic neurons ใน basal forebrain เป็นกลไกหลักที่อธิบาย memory loss และ cognitive decline ในโรคอัลไซเมอร์
- ข้อ ค. ข้อความนี้ระบุว่า glutamate มีน้อยเกินไปซึ่งขัดแย้งกับข้อเท็จจริงทางพยาธิสรีรวิทยา เพราะอัลไซเมอร์เกิดจาก Glutamate excitotoxicity (มีมากเกินไป) จึงเป็นข้อที่ผิดเช่นกัน แต่ตัวเลือกที่ระบุการขาด serotonin/dopamine จัดเป็นข้อที่ผิดด้าน non-cognitive symptoms
- ข้อ ง. การทำงานของ Monoamine oxidase type B (MAO-B) ที่เพิ่มขึ้นใน reactive astrocytes ส่งผลให้เกิด oxidative stress และเร่งกระบวนการ neurodegeneration ในสมองผู้ป่วยอัลไซเมอร์
- ข้อ จ. การสะสมของ extracellular amyloid plaques และ intracellular neurofibrillary tangles เป็น core pathological hallmarks หลักที่ก่อให้เกิดพยาธิสภาพและการตายของเซลล์สมองในโรคอัลไซเมอร์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38" t="n"/>
      <c r="L58" s="39" t="inlineStr">
        <is>
          <t>Dementia, Alzheimer's</t>
        </is>
      </c>
      <c r="M58" s="39" t="inlineStr">
        <is>
          <t>Clinic</t>
        </is>
      </c>
      <c r="N58" s="38" t="inlineStr">
        <is>
          <t>ข้อ 56 Pharma Plus เล่มม่วง (เฉลยข้อ ก ค)</t>
        </is>
      </c>
      <c r="O58" s="39" t="n"/>
      <c r="P58" s="39" t="n"/>
    </row>
    <row r="59" ht="13.2" customHeight="1" s="49">
      <c r="A59" s="37" t="n">
        <v>57</v>
      </c>
      <c r="B59" s="38"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38" t="n"/>
      <c r="D59" s="38" t="inlineStr">
        <is>
          <t>Reserpine</t>
        </is>
      </c>
      <c r="E59" s="38" t="inlineStr">
        <is>
          <t>Hydralazine</t>
        </is>
      </c>
      <c r="F59" s="38" t="inlineStr">
        <is>
          <t>Hydrochlorothiazide</t>
        </is>
      </c>
      <c r="G59" s="38" t="inlineStr">
        <is>
          <t>Naproxen</t>
        </is>
      </c>
      <c r="H59" s="38" t="inlineStr">
        <is>
          <t>Selegiline</t>
        </is>
      </c>
      <c r="I59" s="37" t="inlineStr">
        <is>
          <t>1</t>
        </is>
      </c>
      <c r="J59" s="38"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38" t="n"/>
      <c r="L59" s="39" t="inlineStr">
        <is>
          <t>Parkinson disease</t>
        </is>
      </c>
      <c r="M59" s="39" t="inlineStr">
        <is>
          <t>Clinic</t>
        </is>
      </c>
      <c r="N59" s="38" t="inlineStr">
        <is>
          <t>ข้อ 57 Pharma Plus เล่มม่วง (เฉลยข้อ ก)</t>
        </is>
      </c>
      <c r="O59" s="39" t="n"/>
      <c r="P59" s="39" t="n"/>
    </row>
    <row r="60" ht="13.2" customHeight="1" s="49">
      <c r="A60" s="37" t="n">
        <v>58</v>
      </c>
      <c r="B60" s="38" t="inlineStr">
        <is>
          <t>ยา benserazide ที่ผู้ป่วยได้รับ ออกฤทธิ์ยับยั้งที่ enzyme ใด</t>
        </is>
      </c>
      <c r="C60" s="38" t="n"/>
      <c r="D60" s="38" t="inlineStr">
        <is>
          <t>Monoamine oxidase-A</t>
        </is>
      </c>
      <c r="E60" s="38" t="inlineStr">
        <is>
          <t>Monoamine oxidase-B</t>
        </is>
      </c>
      <c r="F60" s="38" t="inlineStr">
        <is>
          <t>Dopa decarboxylase</t>
        </is>
      </c>
      <c r="G60" s="38" t="inlineStr">
        <is>
          <t>Catechol-O-methyltransferase</t>
        </is>
      </c>
      <c r="H60" s="38" t="inlineStr">
        <is>
          <t>Acetyltransferase</t>
        </is>
      </c>
      <c r="I60" s="37" t="inlineStr">
        <is>
          <t>3</t>
        </is>
      </c>
      <c r="J60" s="38" t="inlineStr">
        <is>
          <t>✅ คำตอบที่ถูกต้อง: ข้อ ค.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38" t="n"/>
      <c r="L60" s="39" t="inlineStr">
        <is>
          <t>Parkinson disease</t>
        </is>
      </c>
      <c r="M60" s="39" t="inlineStr">
        <is>
          <t>Clinic</t>
        </is>
      </c>
      <c r="N60" s="38" t="inlineStr">
        <is>
          <t>ข้อ 58 Pharma Plus เล่มม่วง (เฉลยข้อ ค)</t>
        </is>
      </c>
      <c r="O60" s="39" t="n"/>
      <c r="P60" s="39" t="n"/>
    </row>
    <row r="61" ht="13.2" customHeight="1" s="49">
      <c r="A61" s="37" t="n">
        <v>59</v>
      </c>
      <c r="B61" s="38" t="inlineStr">
        <is>
          <t>ยา selegiline ที่ผู้ป่วยได้รับ มีกลไกการออกฤทธิ์อย่างไร</t>
        </is>
      </c>
      <c r="C61" s="38" t="n"/>
      <c r="D61" s="38" t="inlineStr">
        <is>
          <t>Dopamine reuptake inhibitor</t>
        </is>
      </c>
      <c r="E61" s="38" t="inlineStr">
        <is>
          <t>NMDA receptor antagonist</t>
        </is>
      </c>
      <c r="F61" s="38" t="inlineStr">
        <is>
          <t>Catechol-O-methyltransferase inhibitor</t>
        </is>
      </c>
      <c r="G61" s="38" t="inlineStr">
        <is>
          <t>Dopa decarboxylase inhibitor</t>
        </is>
      </c>
      <c r="H61" s="38" t="inlineStr">
        <is>
          <t>Monoamine oxidase-B inhibitor</t>
        </is>
      </c>
      <c r="I61" s="37" t="inlineStr">
        <is>
          <t>5</t>
        </is>
      </c>
      <c r="J61" s="38" t="inlineStr">
        <is>
          <t>✅ คำตอบที่ถูกต้อง: ข้อ จ. Monoamine oxidase-B inhibitor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8" t="n"/>
      <c r="L61" s="39" t="inlineStr">
        <is>
          <t>Parkinson disease</t>
        </is>
      </c>
      <c r="M61" s="39" t="inlineStr">
        <is>
          <t>Clinic</t>
        </is>
      </c>
      <c r="N61" s="38" t="inlineStr">
        <is>
          <t>ข้อ 59 Pharma Plus เล่มม่วง (เฉลยข้อ จ)</t>
        </is>
      </c>
      <c r="O61" s="39" t="n"/>
      <c r="P61" s="39" t="n"/>
    </row>
    <row r="62" ht="13.2" customHeight="1" s="49">
      <c r="A62" s="37" t="n">
        <v>60</v>
      </c>
      <c r="B62" s="38" t="inlineStr">
        <is>
          <t>ยาชนิดใดห้ามใช้ร่วมกับ selegiline</t>
        </is>
      </c>
      <c r="C62" s="38" t="n"/>
      <c r="D62" s="38" t="inlineStr">
        <is>
          <t>Pindolol</t>
        </is>
      </c>
      <c r="E62" s="38" t="inlineStr">
        <is>
          <t>Pethidine</t>
        </is>
      </c>
      <c r="F62" s="38" t="inlineStr">
        <is>
          <t>Propranolol</t>
        </is>
      </c>
      <c r="G62" s="38" t="inlineStr">
        <is>
          <t>Pentamidine</t>
        </is>
      </c>
      <c r="H62" s="38" t="inlineStr">
        <is>
          <t>Pentoxifylline</t>
        </is>
      </c>
      <c r="I62" s="37" t="inlineStr">
        <is>
          <t>2</t>
        </is>
      </c>
      <c r="J62" s="38" t="inlineStr">
        <is>
          <t>✅ คำตอบที่ถูกต้อง: ข้อ ข. Pethidine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38" t="n"/>
      <c r="L62" s="39" t="inlineStr">
        <is>
          <t>Headache</t>
        </is>
      </c>
      <c r="M62" s="39" t="inlineStr">
        <is>
          <t>Clinic</t>
        </is>
      </c>
      <c r="N62" s="38" t="inlineStr">
        <is>
          <t>ข้อ 60 Pharma Plus เล่มม่วง (เฉลยข้อ ข)</t>
        </is>
      </c>
      <c r="O62" s="39" t="n"/>
      <c r="P62" s="39" t="n"/>
    </row>
    <row r="63" ht="13.2" customHeight="1" s="49">
      <c r="A63" s="37" t="n">
        <v>61</v>
      </c>
      <c r="B63" s="38" t="inlineStr">
        <is>
          <t>ถ้าช่วงนี้ผู้ป่วยเริ่มมีปัญหาการเกิดอาการของ dyskinesia ควรจะแก้ไขอย่างไร</t>
        </is>
      </c>
      <c r="C63" s="38" t="n"/>
      <c r="D63" s="38" t="inlineStr">
        <is>
          <t>หยุดยา selegiline</t>
        </is>
      </c>
      <c r="E63" s="38" t="inlineStr">
        <is>
          <t>ให้ bromocriptine</t>
        </is>
      </c>
      <c r="F63" s="38" t="inlineStr">
        <is>
          <t>ลดขนาดยา benserazide</t>
        </is>
      </c>
      <c r="G63" s="38" t="inlineStr">
        <is>
          <t>หยุดยา selegiline และให้ bromocriptine</t>
        </is>
      </c>
      <c r="H63" s="38" t="inlineStr">
        <is>
          <t>หยุดยา selegiline ร่วมกับการลดขนาดยา benserazide และให้ bromocriptine</t>
        </is>
      </c>
      <c r="I63" s="37" t="inlineStr">
        <is>
          <t>1</t>
        </is>
      </c>
      <c r="J63" s="38" t="inlineStr">
        <is>
          <t>✅ คำตอบที่ถูกต้อง: ข้อ ก. หยุดยา selegiline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38" t="n"/>
      <c r="L63" s="39" t="inlineStr">
        <is>
          <t>Parkinson disease</t>
        </is>
      </c>
      <c r="M63" s="39" t="inlineStr">
        <is>
          <t>Clinic</t>
        </is>
      </c>
      <c r="N63" s="38" t="inlineStr">
        <is>
          <t>ข้อ 61 Pharma Plus เล่มม่วง (เฉลยข้อ )</t>
        </is>
      </c>
      <c r="O63" s="39" t="n"/>
      <c r="P63" s="39" t="n"/>
    </row>
    <row r="64" ht="13.2" customHeight="1" s="49">
      <c r="A64" s="37" t="n">
        <v>62</v>
      </c>
      <c r="B64" s="38"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38" t="n"/>
      <c r="D64" s="38" t="inlineStr">
        <is>
          <t>เขียนฉลากตัวบรรจงให้ผู้ป่วยอ่าน</t>
        </is>
      </c>
      <c r="E64" s="38" t="inlineStr">
        <is>
          <t>จัด pillbox ตามวันให้ผู้ป่วย และสอนให้ผู้ป่วยทำให้ตัวเองในวันถัดไป</t>
        </is>
      </c>
      <c r="F64" s="38" t="inlineStr">
        <is>
          <t>อ่านฉลากให้ผู้ป่วยฟังอย่างละเอียด ให้ผู้ป่วยซักถามเพิ่มเติม</t>
        </is>
      </c>
      <c r="G64" s="38" t="inlineStr">
        <is>
          <t>บอกให้ผู้ป่วยหาคนมาดูแลเรื่องยา</t>
        </is>
      </c>
      <c r="H64" s="38" t="inlineStr">
        <is>
          <t>ท าแผ่นพับภาษาไทย แนบให้ผู้ป่วยไปใช้</t>
        </is>
      </c>
      <c r="I64" s="37" t="inlineStr">
        <is>
          <t>1</t>
        </is>
      </c>
      <c r="J64" s="38" t="inlineStr">
        <is>
          <t>✅ คำตอบที่ถูกต้อง: ข้อ ก. เขียนฉลากตัวบรรจงให้ผู้ป่วยอ่าน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38" t="n"/>
      <c r="L64" s="39" t="inlineStr">
        <is>
          <t>Headache</t>
        </is>
      </c>
      <c r="M64" s="39" t="inlineStr">
        <is>
          <t>Headache &amp; Migraine</t>
        </is>
      </c>
      <c r="N64" s="38" t="inlineStr">
        <is>
          <t>Mock PLE-CC 1 ข้อ 107</t>
        </is>
      </c>
      <c r="O64" s="39" t="n"/>
      <c r="P64" s="39" t="n"/>
      <c r="Q64" s="2" t="n"/>
    </row>
    <row r="65" ht="13.2" customHeight="1" s="49">
      <c r="A65" s="37" t="n">
        <v>63</v>
      </c>
      <c r="B65" s="38" t="inlineStr">
        <is>
          <t>อาการของผู้ป่วยรายนี้ถือว่าเป็นการปวดหัวแบบใด</t>
        </is>
      </c>
      <c r="C65" s="38" t="n"/>
      <c r="D65" s="38" t="inlineStr">
        <is>
          <t>Tension-type headache</t>
        </is>
      </c>
      <c r="E65" s="38" t="inlineStr">
        <is>
          <t>Migraine headache</t>
        </is>
      </c>
      <c r="F65" s="38" t="inlineStr">
        <is>
          <t>Cluster headache</t>
        </is>
      </c>
      <c r="G65" s="38" t="inlineStr">
        <is>
          <t>Sinusitis headache</t>
        </is>
      </c>
      <c r="H65" s="38" t="inlineStr">
        <is>
          <t>Thunderclap headache</t>
        </is>
      </c>
      <c r="I65" s="37" t="inlineStr">
        <is>
          <t>1</t>
        </is>
      </c>
      <c r="J65" s="38" t="inlineStr">
        <is>
          <t>✅ คำตอบที่ถูกต้อง: ข้อ ก. Tension-type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Pain management โดยมี clinical efficacy สูงสุดในการรักษาและมี safety profile ที่เหมาะสม
🔍 ข้ออื่นผิดเพราะอะไร:
- ข้อ ข. Migraine headache มีลักษณะปวดแบบตุ๊บๆ (throbbing/pulsatile) มักเป็นข้างเดียว (unilateral) ความรุนแรงปานกลางถึงมาก และมักมีอาการคลื่นไส้ อาเจียน กลัวแสง (photophobia) หรือกลัวเสียง (phonophobia) ร่วมด้วย ไม่ใช่ลักษณะปวดตื้อๆ แน่นๆ บีบรัดรอบศีรษะแบบ Tension-type headache
- ข้อ ค. Cluster headache เป็นกลุ่ม Trigeminal Autonomic Cephalalgias ปวดรุนแรงมากเจาะลึกรอบเบ้าตาหรือขมับข้างเดียว (unilateral orbital pain) ร่วมกับมี autonomic symptoms เช่น น้ำตาไหล ตาแดง คัดจมูกข้างเดียว และมักปวดเป็นชุดๆ (clusters) ครั้งละ 15-180 นาที
- ข้อ ง. Sinusitis headache มักสัมพันธ์กับอาการคัดจมูก มีน้ำมูกข้นเขียวหรือไข้ โดยจะมีอาการปวดหน่วง กดเจ็บบริเวณไซนัส เช่น หน้าผาก โหนกแก้ม หรือหัวคิ้ว และอาการปวดมักเป็นมากขึ้นเวลาก้มศีรษะ
- ข้อ จ. Thunderclap headache เป็นอาการปวดศีรษะรุนแรงเฉียบพลันทันทีถึงจุดสูงสุดภายในเวลาน้อยกว่า 1 นาที (peak intensity within 1 minute) ซึ่งเป็น red flag สำคัญที่บ่งชี้ภาวะฉุกเฉินทางสมอง เช่น Subarachnoid hemorrhage (SAH)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38" t="n"/>
      <c r="L65" s="39" t="inlineStr">
        <is>
          <t>Pain management</t>
        </is>
      </c>
      <c r="M65" s="39" t="inlineStr">
        <is>
          <t>Headache &amp; Migraine</t>
        </is>
      </c>
      <c r="N65" s="38" t="inlineStr">
        <is>
          <t>Mock PLE-CC 1 ข้อ 108</t>
        </is>
      </c>
      <c r="O65" s="39" t="n"/>
      <c r="P65" s="39" t="n"/>
      <c r="Q65" s="2" t="n"/>
    </row>
    <row r="66" ht="13.2" customHeight="1" s="49">
      <c r="A66" s="37" t="n">
        <v>64</v>
      </c>
      <c r="B66" s="38" t="inlineStr">
        <is>
          <t>ให้บอกแผนการรักษาที่เหมาะสมกับผู้ป่วยรายนี้</t>
        </is>
      </c>
      <c r="C66" s="38" t="n"/>
      <c r="D66" s="38" t="inlineStr">
        <is>
          <t>Diclofenac</t>
        </is>
      </c>
      <c r="E66" s="38" t="inlineStr">
        <is>
          <t>Paracetamol</t>
        </is>
      </c>
      <c r="F66" s="38" t="inlineStr">
        <is>
          <t>Dexamethasone</t>
        </is>
      </c>
      <c r="G66" s="38" t="inlineStr">
        <is>
          <t>Eleptriptan</t>
        </is>
      </c>
      <c r="H66" s="38" t="inlineStr">
        <is>
          <t>Nortriptyline</t>
        </is>
      </c>
      <c r="I66" s="37" t="inlineStr">
        <is>
          <t>1</t>
        </is>
      </c>
      <c r="J66" s="38" t="inlineStr">
        <is>
          <t>✅ คำตอบที่ถูกต้อง: ข้อ ก. Diclofenac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8" t="n"/>
      <c r="L66" s="39" t="inlineStr">
        <is>
          <t>Headache</t>
        </is>
      </c>
      <c r="M66" s="39" t="inlineStr">
        <is>
          <t>Headache &amp; Migraine</t>
        </is>
      </c>
      <c r="N66" s="38" t="inlineStr">
        <is>
          <t>Mock PLE-CC 1 ข้อ 109</t>
        </is>
      </c>
      <c r="O66" s="39" t="n"/>
      <c r="P66" s="39" t="n"/>
      <c r="Q66" s="2" t="n"/>
    </row>
    <row r="67" ht="13.2" customHeight="1" s="49">
      <c r="A67" s="37" t="n">
        <v>65</v>
      </c>
      <c r="B67" s="38" t="inlineStr">
        <is>
          <t>ผู้ป่วยรายนี้ไม่ควรได้รับยาป้องกันไมเกรนในข้อใด เพราะจะทำให้อาการของโรคซึมเศร้าแย่ลง</t>
        </is>
      </c>
      <c r="C67" s="38" t="n"/>
      <c r="D67" s="38" t="inlineStr">
        <is>
          <t>Topiramate</t>
        </is>
      </c>
      <c r="E67" s="38" t="inlineStr">
        <is>
          <t>Atenolol</t>
        </is>
      </c>
      <c r="F67" s="38" t="inlineStr">
        <is>
          <t>Vitamin B6</t>
        </is>
      </c>
      <c r="G67" s="38" t="inlineStr">
        <is>
          <t>amitriptyline</t>
        </is>
      </c>
      <c r="H67" s="38" t="inlineStr">
        <is>
          <t>flunarizine</t>
        </is>
      </c>
      <c r="I67" s="37" t="inlineStr">
        <is>
          <t>1</t>
        </is>
      </c>
      <c r="J67" s="38" t="inlineStr">
        <is>
          <t>✅ คำตอบที่ถูกต้อง: ข้อ ก. Topiramate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38" t="n"/>
      <c r="L67" s="39" t="inlineStr">
        <is>
          <t>Headache</t>
        </is>
      </c>
      <c r="M67" s="39" t="inlineStr">
        <is>
          <t>Headache &amp; Migraine</t>
        </is>
      </c>
      <c r="N67" s="38" t="inlineStr">
        <is>
          <t>Mock PLE-CC 1 ข้อ 110</t>
        </is>
      </c>
      <c r="O67" s="39" t="n"/>
      <c r="P67" s="39" t="n"/>
      <c r="Q67" s="2" t="n"/>
    </row>
    <row r="68" ht="13.2" customHeight="1" s="49">
      <c r="A68" s="37" t="n">
        <v>66</v>
      </c>
      <c r="B68" s="38" t="inlineStr">
        <is>
          <t>ผู้ป่วยที่ใช้ NSAIDS (เช่น naproxen) ในการรักษาไมเกรนบ่อยเกินไป อาจทำให้เกิดภาวะใด</t>
        </is>
      </c>
      <c r="C68" s="38" t="n"/>
      <c r="D68" s="38" t="inlineStr">
        <is>
          <t>rebound hypertension</t>
        </is>
      </c>
      <c r="E68" s="38" t="inlineStr">
        <is>
          <t>Medication overuse headache</t>
        </is>
      </c>
      <c r="F68" s="38" t="inlineStr">
        <is>
          <t>Serotonin syndrome</t>
        </is>
      </c>
      <c r="G68" s="38" t="inlineStr">
        <is>
          <t>orthostatic hypotension</t>
        </is>
      </c>
      <c r="H68" s="38" t="inlineStr">
        <is>
          <t>parkinsonism</t>
        </is>
      </c>
      <c r="I68" s="37" t="inlineStr">
        <is>
          <t>1</t>
        </is>
      </c>
      <c r="J68" s="38" t="inlineStr">
        <is>
          <t>✅ คำตอบที่ถูกต้อง: ข้อ ก. rebound hypertension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38" t="n"/>
      <c r="L68" s="39" t="inlineStr">
        <is>
          <t>Headache</t>
        </is>
      </c>
      <c r="M68" s="39" t="inlineStr">
        <is>
          <t>Headache &amp; Migraine</t>
        </is>
      </c>
      <c r="N68" s="38" t="inlineStr">
        <is>
          <t>Mock PLE-CC 1 ข้อ 112</t>
        </is>
      </c>
      <c r="O68" s="39" t="n"/>
      <c r="P68" s="39" t="n"/>
      <c r="Q68" s="2" t="n"/>
    </row>
    <row r="69" ht="13.2" customHeight="1" s="49">
      <c r="A69" s="37" t="n">
        <v>67</v>
      </c>
      <c r="B69" s="38" t="inlineStr">
        <is>
          <t>ยากันชักที่ใช้ในคนตั้งครรภ์. ตัวเลือก</t>
        </is>
      </c>
      <c r="C69" s="38" t="n"/>
      <c r="D69" s="38" t="inlineStr">
        <is>
          <t>Neurologic Disorder</t>
        </is>
      </c>
      <c r="E69" s="38" t="inlineStr">
        <is>
          <t>Levodopa/Benserazide 100/25 mg TID</t>
        </is>
      </c>
      <c r="F69" s="38" t="inlineStr">
        <is>
          <t>Sumatriptan 50 mg stat</t>
        </is>
      </c>
      <c r="G69" s="38" t="inlineStr">
        <is>
          <t>Propranolol 40 mg BID</t>
        </is>
      </c>
      <c r="H69" s="38" t="inlineStr">
        <is>
          <t>Topiramate 25 mg BID</t>
        </is>
      </c>
      <c r="I69" s="37" t="inlineStr">
        <is>
          <t>1</t>
        </is>
      </c>
      <c r="J69"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38" t="n"/>
      <c r="L69" s="39" t="inlineStr">
        <is>
          <t>Epilepsy</t>
        </is>
      </c>
      <c r="M69" s="39" t="inlineStr">
        <is>
          <t>Neurologic Disorder</t>
        </is>
      </c>
      <c r="N69" s="38" t="inlineStr">
        <is>
          <t>PLE-CC1 ปี 2566 Day 1 ข้อ 6</t>
        </is>
      </c>
      <c r="O69" s="39" t="n"/>
      <c r="P69" s="39" t="n"/>
    </row>
    <row r="70" ht="13.2" customHeight="1" s="49">
      <c r="A70" s="37" t="n">
        <v>68</v>
      </c>
      <c r="B70" s="38" t="inlineStr">
        <is>
          <t>sodium valproate</t>
        </is>
      </c>
      <c r="C70" s="38" t="n"/>
      <c r="D70" s="38" t="inlineStr">
        <is>
          <t>Neurologic Disorder</t>
        </is>
      </c>
      <c r="E70" s="38" t="inlineStr">
        <is>
          <t>Topiramate 25 mg BID</t>
        </is>
      </c>
      <c r="F70" s="38" t="inlineStr">
        <is>
          <t>Donepezil 5 mg HS</t>
        </is>
      </c>
      <c r="G70" s="38" t="inlineStr">
        <is>
          <t>Alteplase (rtPA) 0.9 mg/kg IV</t>
        </is>
      </c>
      <c r="H70" s="38" t="inlineStr">
        <is>
          <t>Phenytoin 100 mg TID</t>
        </is>
      </c>
      <c r="I70" s="37" t="inlineStr">
        <is>
          <t>1</t>
        </is>
      </c>
      <c r="J70"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38" t="n"/>
      <c r="L70" s="39" t="inlineStr">
        <is>
          <t>Headache</t>
        </is>
      </c>
      <c r="M70" s="39" t="inlineStr">
        <is>
          <t>Neurologic Disorder</t>
        </is>
      </c>
      <c r="N70" s="38" t="inlineStr">
        <is>
          <t>PLE-CC1 ปี 2566 Day 1 ข้อ 3</t>
        </is>
      </c>
      <c r="O70" s="39" t="n"/>
      <c r="P70" s="39" t="n"/>
    </row>
    <row r="71" ht="13.2" customHeight="1" s="49">
      <c r="A71" s="37" t="n">
        <v>69</v>
      </c>
      <c r="B71" s="38" t="inlineStr">
        <is>
          <t>Mechanism ของphenytoin . ตัวเลือก</t>
        </is>
      </c>
      <c r="C71" s="38" t="n"/>
      <c r="D71" s="38" t="inlineStr">
        <is>
          <t>Neurologic Disorder</t>
        </is>
      </c>
      <c r="E71" s="38" t="inlineStr">
        <is>
          <t>Phenytoin 100 mg TID</t>
        </is>
      </c>
      <c r="F71" s="38" t="inlineStr">
        <is>
          <t>Sodium valproate 200 mg TID</t>
        </is>
      </c>
      <c r="G71" s="38" t="inlineStr">
        <is>
          <t>Carbamazepine 200 mg BID</t>
        </is>
      </c>
      <c r="H71" s="38" t="inlineStr">
        <is>
          <t>Lamotrigine 50 mg OD</t>
        </is>
      </c>
      <c r="I71" s="37" t="inlineStr">
        <is>
          <t>1</t>
        </is>
      </c>
      <c r="J71"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38" t="n"/>
      <c r="L71" s="39" t="inlineStr">
        <is>
          <t>Epilepsy</t>
        </is>
      </c>
      <c r="M71" s="39" t="inlineStr">
        <is>
          <t>Neurologic Disorder</t>
        </is>
      </c>
      <c r="N71" s="38" t="inlineStr">
        <is>
          <t>PLE-CC1 ปี 2566 Day 1 ข้อ 7</t>
        </is>
      </c>
      <c r="O71" s="39" t="n"/>
      <c r="P71" s="39" t="n"/>
    </row>
    <row r="72" ht="13.2" customHeight="1" s="49">
      <c r="A72" s="37" t="n">
        <v>70</v>
      </c>
      <c r="B72" s="38" t="inlineStr">
        <is>
          <t>Non linear pharmacokinetics ของphenytoin . ตัวเลือก</t>
        </is>
      </c>
      <c r="C72" s="38" t="n"/>
      <c r="D72" s="38" t="inlineStr">
        <is>
          <t>Neurologic Disorder</t>
        </is>
      </c>
      <c r="E72" s="38" t="inlineStr">
        <is>
          <t>Lamotrigine 50 mg OD</t>
        </is>
      </c>
      <c r="F72" s="38" t="inlineStr">
        <is>
          <t>Levetiracetam 500 mg BID</t>
        </is>
      </c>
      <c r="G72" s="38" t="inlineStr">
        <is>
          <t>Gabapentin 300 mg TID</t>
        </is>
      </c>
      <c r="H72" s="38" t="inlineStr">
        <is>
          <t>Pregabalin 75 mg BID</t>
        </is>
      </c>
      <c r="I72" s="37" t="inlineStr">
        <is>
          <t>1</t>
        </is>
      </c>
      <c r="J72"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antiepileptic drug ที่มี linear pharmacokinetics ขับออกผ่านการ glucuronidation โดยต้องค่อยๆ ปรับขนาดยาอย่างช้าๆ (slow titration) เพื่อป้องกันการเกิดผื่นแพ้ยารุนแรง (SJS/TEN)
- ข้อ ค. Levetiracetam 500 mg BID มี linear pharmacokinetics อัตราการดูดซึมคงที่ ไม่จับกับโปรตีนในพลาสมาและไม่มี hepatic enzyme induction/inhibition ขับออกทางไตเป็นหลัก จึงมี drug interactions ต่ำมาก
- ข้อ ง. Gabapentin 300 mg TID ดูดซึมผ่าน L-amino acid transport system ในลำไส้เล็กซึ่งมีภาวะอิ่มตัวของการดูดซึม (saturable absorption) ทำให้ bioavailability ลดลงเมื่อขนาดยาสูงขึ้น แต่ขับออกทางไตแบบ linear renal clearance ไม่ได้มี non-linear hepatic elimination เหมือน phenytoin
- ข้อ จ. Pregabalin 75 mg BID มี linear and dose-proportional pharmacokinetics ที่คาดเดาได้ง่าย มี bioavailability สูงกว่า 90% และขับออกทางไตในรูปที่ไม่เปลี่ยนแปลงโดยไม่ผ่านการเมแทบอลิซึมที่ตับ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38" t="n"/>
      <c r="L72" s="39" t="inlineStr">
        <is>
          <t>Epilepsy</t>
        </is>
      </c>
      <c r="M72" s="39" t="inlineStr">
        <is>
          <t>Neurologic Disorder</t>
        </is>
      </c>
      <c r="N72" s="38" t="inlineStr">
        <is>
          <t>PLE-CC1 ปี 2566 Day 1 ข้อ 8</t>
        </is>
      </c>
      <c r="O72" s="39" t="n"/>
      <c r="P72" s="39" t="n"/>
    </row>
    <row r="73" ht="13.2" customHeight="1" s="49">
      <c r="A73" s="37" t="n">
        <v>71</v>
      </c>
      <c r="B73" s="38" t="inlineStr">
        <is>
          <t>พิษของphenytoin ตัวเลือก</t>
        </is>
      </c>
      <c r="C73" s="38" t="n"/>
      <c r="D73" s="38" t="inlineStr">
        <is>
          <t>Neurologic Disorder</t>
        </is>
      </c>
      <c r="E73" s="38" t="inlineStr">
        <is>
          <t>Pregabalin 75 mg BID</t>
        </is>
      </c>
      <c r="F73" s="38" t="inlineStr">
        <is>
          <t>Levodopa/Benserazide 100/25 mg TID</t>
        </is>
      </c>
      <c r="G73" s="38" t="inlineStr">
        <is>
          <t>Sumatriptan 50 mg stat</t>
        </is>
      </c>
      <c r="H73" s="38" t="inlineStr">
        <is>
          <t>Propranolol 40 mg BID</t>
        </is>
      </c>
      <c r="I73" s="37" t="inlineStr">
        <is>
          <t>1</t>
        </is>
      </c>
      <c r="J73"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 gabapentinoid ออกฤทธิ์จับกับ alpha-2-delta subunit ของ voltage-gated calcium channels มี therapeutic window กว้าง ผลข้างเคียงที่พบบ่อยได้แก่ เวียนศีรษะ ง่วงซึม บวมน้ำส่วนปลาย และน้ำหนักขึ้น ไม่พบพิษรุนแรงทาง cerebellar degeneration เหมือน phenytoin
- ข้อ ค. Levodopa/Benserazide 100/25 mg TID เป็น dopamine precursor เสริมสารสื่อประสาทโดปามีนในโรคพาร์กินสัน ผลข้างเคียงเฉียบพลันได้แก่ คลื่นไส้ ความดันตกในท่ายืน และการใช้ระยะยาวนำไปสู่ motor fluctuations และ dyskinesia
- ข้อ ง. Sumatriptan 50 mg stat เป็น 5-HT1B/1D receptor agonist ใช้ระงับอาการปวดไมเกรนเฉียบพลัน มีผลข้างเคียงทำให้เกิด triptan sensations แน่นหน้าอก และมีข้อห้ามใช้เด็ดขาดในผู้ป่วย coronary artery disease, peripheral vascular disease หรือ uncontrolled hypertension
- ข้อ จ. Propranolol 40 mg BID เป็น non-selective beta-blocker ลดอัตราการเต้นของหัวใจและความดันโลหิต ผลข้างเคียงสำคัญคือ bradycardia, bronchospasm ในผู้ป่วยหอบหืด, fatigue และบดบังอาการ hypoglycemia ในผู้ป่วยเบาหวาน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38" t="n"/>
      <c r="L73" s="39" t="inlineStr">
        <is>
          <t>Epilepsy</t>
        </is>
      </c>
      <c r="M73" s="39" t="inlineStr">
        <is>
          <t>Neurologic Disorder</t>
        </is>
      </c>
      <c r="N73" s="38" t="inlineStr">
        <is>
          <t>PLE-CC1 ปี 2566 Day 1 ข้อ 31</t>
        </is>
      </c>
      <c r="O73" s="39" t="n"/>
      <c r="P73" s="39" t="n"/>
    </row>
    <row r="74" ht="13.2" customHeight="1" s="49">
      <c r="A74" s="37" t="n">
        <v>72</v>
      </c>
      <c r="B74" s="38" t="inlineStr">
        <is>
          <t>Prophylaxis migraine มีประวัติเศร้าหม่นควรใช้ยาอะไร. ตัวเลือก</t>
        </is>
      </c>
      <c r="C74" s="38" t="n"/>
      <c r="D74" s="38" t="inlineStr">
        <is>
          <t>Neurologic Disorder</t>
        </is>
      </c>
      <c r="E74" s="38" t="inlineStr">
        <is>
          <t>Propranolol 40 mg BID</t>
        </is>
      </c>
      <c r="F74" s="38" t="inlineStr">
        <is>
          <t>Topiramate 25 mg BID</t>
        </is>
      </c>
      <c r="G74" s="38" t="inlineStr">
        <is>
          <t>Donepezil 5 mg HS</t>
        </is>
      </c>
      <c r="H74" s="38" t="inlineStr">
        <is>
          <t>Alteplase (rtPA) 0.9 mg/kg IV</t>
        </is>
      </c>
      <c r="I74" s="37" t="inlineStr">
        <is>
          <t>1</t>
        </is>
      </c>
      <c r="J74"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first-line migraine prophylaxis ในกลุ่ม non-selective beta-blocker แต่มีข้อควรระวังสำคัญคืออาจทำให้เกิดหรือทำให้อาการของโรคซึมเศร้า (depression) แย่ลง รวมถึงอ่อนเพลียและฝันร้าย จึงไม่เหมาะกับผู้ป่วยที่มีประวัติเศร้าหม่น
- ข้อ ค. Topiramate 25 mg BID แม้มีประสิทธิภาพสูงในการป้องกันไมเกรนและช่วยลดน้ำหนัก แต่มีผลข้างเคียงเด่นต่อระบบประสาทและอารมณ์ ได้แก่ psychomotor slowing, cognitive impairment, memory difficulty และอาจกระตุ้น depressive mood หรือ suicidal ideation ได้
- ข้อ ง. Donepezil 5 mg HS เป็น centrally acting reversible acetylcholinesterase inhibitor สำหรับรักษาอาการสมองเสื่อมในโรคอัลไซเมอร์ ไม่มีข้อบ่งใช้หรือประสิทธิภาพในการป้องกันการปวดศีรษะไมเกรน
- ข้อ จ. Alteplase (rtPA) 0.9 mg/kg IV เป็นยาฉีดสลายลิ่มเลือด (thrombolytic agent) ในภาวะ acute ischemic stroke เฉียบพลัน มีความเสี่ยงต่อ fatal intracranial hemorrhage สูงมาก ไม่มีบทบาทในการป้องกันไมเกรน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38" t="n"/>
      <c r="L74" s="39" t="inlineStr">
        <is>
          <t>Headache</t>
        </is>
      </c>
      <c r="M74" s="39" t="inlineStr">
        <is>
          <t>Neurologic Disorder</t>
        </is>
      </c>
      <c r="N74" s="38" t="inlineStr">
        <is>
          <t>PLE-CC1 ปี 2566 Day 2 ข้อ 19</t>
        </is>
      </c>
      <c r="O74" s="39" t="n"/>
      <c r="P74" s="39" t="n"/>
    </row>
    <row r="75" ht="13.2" customHeight="1" s="49">
      <c r="A75" s="37" t="n">
        <v>73</v>
      </c>
      <c r="B75" s="38" t="inlineStr">
        <is>
          <t>Migraine headaches</t>
        </is>
      </c>
      <c r="C75" s="38" t="n"/>
      <c r="D75" s="38" t="inlineStr">
        <is>
          <t>Neurologic Disorder</t>
        </is>
      </c>
      <c r="E75" s="38" t="inlineStr">
        <is>
          <t>Alteplase (rtPA) 0.9 mg/kg IV</t>
        </is>
      </c>
      <c r="F75" s="38" t="inlineStr">
        <is>
          <t>Phenytoin 100 mg TID</t>
        </is>
      </c>
      <c r="G75" s="38" t="inlineStr">
        <is>
          <t>Sodium valproate 200 mg TID</t>
        </is>
      </c>
      <c r="H75" s="38" t="inlineStr">
        <is>
          <t>Carbamazepine 200 mg BID</t>
        </is>
      </c>
      <c r="I75" s="37" t="inlineStr">
        <is>
          <t>1</t>
        </is>
      </c>
      <c r="J75"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38" t="n"/>
      <c r="L75" s="39" t="inlineStr">
        <is>
          <t>Headache</t>
        </is>
      </c>
      <c r="M75" s="39" t="inlineStr">
        <is>
          <t>Neurologic Disorder</t>
        </is>
      </c>
      <c r="N75" s="38" t="inlineStr">
        <is>
          <t>PLE-CC1 ปี 2566 Day 2 ข้อ 1</t>
        </is>
      </c>
      <c r="O75" s="39" t="n"/>
      <c r="P75" s="39" t="n"/>
    </row>
    <row r="76" ht="13.2" customHeight="1" s="49">
      <c r="A76" s="37" t="n">
        <v>74</v>
      </c>
      <c r="B76" s="38" t="inlineStr">
        <is>
          <t>Tension headaches</t>
        </is>
      </c>
      <c r="C76" s="38" t="n"/>
      <c r="D76" s="38" t="inlineStr">
        <is>
          <t>Neurologic Disorder</t>
        </is>
      </c>
      <c r="E76" s="38" t="inlineStr">
        <is>
          <t>Carbamazepine 200 mg BID</t>
        </is>
      </c>
      <c r="F76" s="38" t="inlineStr">
        <is>
          <t>Lamotrigine 50 mg OD</t>
        </is>
      </c>
      <c r="G76" s="38" t="inlineStr">
        <is>
          <t>Levetiracetam 500 mg BID</t>
        </is>
      </c>
      <c r="H76" s="38" t="inlineStr">
        <is>
          <t>Gabapentin 300 mg TID</t>
        </is>
      </c>
      <c r="I76" s="37" t="inlineStr">
        <is>
          <t>1</t>
        </is>
      </c>
      <c r="J76"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38" t="n"/>
      <c r="L76" s="39" t="inlineStr">
        <is>
          <t>Headache</t>
        </is>
      </c>
      <c r="M76" s="39" t="inlineStr">
        <is>
          <t>Neurologic Disorder</t>
        </is>
      </c>
      <c r="N76" s="38" t="inlineStr">
        <is>
          <t>PLE-CC1 ปี 2566 Day 2 ข้อ 2</t>
        </is>
      </c>
      <c r="O76" s="39" t="n"/>
      <c r="P76" s="39" t="n"/>
    </row>
    <row r="77" ht="13.2" customHeight="1" s="49">
      <c r="A77" s="37" t="n">
        <v>75</v>
      </c>
      <c r="B77" s="38" t="inlineStr">
        <is>
          <t>Cluster headaches</t>
        </is>
      </c>
      <c r="C77" s="38" t="n"/>
      <c r="D77" s="38" t="inlineStr">
        <is>
          <t>Neurologic Disorder</t>
        </is>
      </c>
      <c r="E77" s="38" t="inlineStr">
        <is>
          <t>Gabapentin 300 mg TID</t>
        </is>
      </c>
      <c r="F77" s="38" t="inlineStr">
        <is>
          <t>Pregabalin 75 mg BID</t>
        </is>
      </c>
      <c r="G77" s="38" t="inlineStr">
        <is>
          <t>Levodopa/Benserazide 100/25 mg TID</t>
        </is>
      </c>
      <c r="H77" s="38" t="inlineStr">
        <is>
          <t>Sumatriptan 50 mg stat</t>
        </is>
      </c>
      <c r="I77" s="37" t="inlineStr">
        <is>
          <t>1</t>
        </is>
      </c>
      <c r="J77"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38" t="n"/>
      <c r="L77" s="39" t="inlineStr">
        <is>
          <t>Headache</t>
        </is>
      </c>
      <c r="M77" s="39" t="inlineStr">
        <is>
          <t>Neurologic Disorder</t>
        </is>
      </c>
      <c r="N77" s="38" t="inlineStr">
        <is>
          <t>PLE-CC1 ปี 2566 Day 2 ข้อ 3</t>
        </is>
      </c>
      <c r="O77" s="39" t="n"/>
      <c r="P77" s="39" t="n"/>
    </row>
    <row r="78" ht="13.2" customHeight="1" s="49">
      <c r="A78" s="37" t="n">
        <v>76</v>
      </c>
      <c r="B78" s="38" t="inlineStr">
        <is>
          <t>Secondary headaches</t>
        </is>
      </c>
      <c r="C78" s="38" t="n"/>
      <c r="D78" s="38" t="inlineStr">
        <is>
          <t>Neurologic Disorder</t>
        </is>
      </c>
      <c r="E78" s="38" t="inlineStr">
        <is>
          <t>Sumatriptan 50 mg stat</t>
        </is>
      </c>
      <c r="F78" s="38" t="inlineStr">
        <is>
          <t>Propranolol 40 mg BID</t>
        </is>
      </c>
      <c r="G78" s="38" t="inlineStr">
        <is>
          <t>Topiramate 25 mg BID</t>
        </is>
      </c>
      <c r="H78" s="38" t="inlineStr">
        <is>
          <t>Donepezil 5 mg HS</t>
        </is>
      </c>
      <c r="I78" s="37" t="inlineStr">
        <is>
          <t>1</t>
        </is>
      </c>
      <c r="J78"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38" t="n"/>
      <c r="L78" s="39" t="inlineStr">
        <is>
          <t>Headache</t>
        </is>
      </c>
      <c r="M78" s="39" t="inlineStr">
        <is>
          <t>Neurologic Disorder</t>
        </is>
      </c>
      <c r="N78" s="38" t="inlineStr">
        <is>
          <t>PLE-CC1 ปี 2566 Day 2 ข้อ 4</t>
        </is>
      </c>
      <c r="O78" s="39" t="n"/>
      <c r="P78" s="39" t="n"/>
    </row>
    <row r="79" ht="13.2" customHeight="1" s="49">
      <c r="A79" s="37" t="n">
        <v>77</v>
      </c>
      <c r="B79" s="38" t="inlineStr">
        <is>
          <t>สาเหตุที่ควรprophylaxis migraine. ตัวเลือก</t>
        </is>
      </c>
      <c r="C79" s="38" t="n"/>
      <c r="D79" s="38" t="inlineStr">
        <is>
          <t>Neurologic Disorder</t>
        </is>
      </c>
      <c r="E79" s="38" t="inlineStr">
        <is>
          <t>Donepezil 5 mg HS</t>
        </is>
      </c>
      <c r="F79" s="38" t="inlineStr">
        <is>
          <t>Alteplase (rtPA) 0.9 mg/kg IV</t>
        </is>
      </c>
      <c r="G79" s="38" t="inlineStr">
        <is>
          <t>Phenytoin 100 mg TID</t>
        </is>
      </c>
      <c r="H79" s="38" t="inlineStr">
        <is>
          <t>Sodium valproate 200 mg TID</t>
        </is>
      </c>
      <c r="I79" s="37" t="inlineStr">
        <is>
          <t>1</t>
        </is>
      </c>
      <c r="J79"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38" t="n"/>
      <c r="L79" s="39" t="inlineStr">
        <is>
          <t>Headache</t>
        </is>
      </c>
      <c r="M79" s="39" t="inlineStr">
        <is>
          <t>Neurologic Disorder</t>
        </is>
      </c>
      <c r="N79" s="38" t="inlineStr">
        <is>
          <t>PLE-CC1 ปี 2566 Day 2 ข้อ 21</t>
        </is>
      </c>
      <c r="O79" s="39" t="n"/>
      <c r="P79" s="39" t="n"/>
    </row>
    <row r="80" ht="13.2" customHeight="1" s="49">
      <c r="A80" s="37" t="n">
        <v>78</v>
      </c>
      <c r="B80" s="38" t="inlineStr">
        <is>
          <t>.การศึกษาMeta-analysis ว่าการใช้propranololสามารถป้องกันการเกิดไมเกรนได้หรือไม่ข้อใดถูกต้อง ตัวเลือก</t>
        </is>
      </c>
      <c r="C80" s="38" t="n"/>
      <c r="D80" s="38" t="inlineStr">
        <is>
          <t>Neurologic Disorder</t>
        </is>
      </c>
      <c r="E80" s="38" t="inlineStr">
        <is>
          <t>Sodium valproate 200 mg TID</t>
        </is>
      </c>
      <c r="F80" s="38" t="inlineStr">
        <is>
          <t>Carbamazepine 200 mg BID</t>
        </is>
      </c>
      <c r="G80" s="38" t="inlineStr">
        <is>
          <t>Lamotrigine 50 mg OD</t>
        </is>
      </c>
      <c r="H80" s="38" t="inlineStr">
        <is>
          <t>Levetiracetam 500 mg BID</t>
        </is>
      </c>
      <c r="I80" s="37" t="inlineStr">
        <is>
          <t>1</t>
        </is>
      </c>
      <c r="J80"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38" t="n"/>
      <c r="L80" s="39" t="inlineStr">
        <is>
          <t>Headache</t>
        </is>
      </c>
      <c r="M80" s="39" t="inlineStr">
        <is>
          <t>Neurologic Disorder</t>
        </is>
      </c>
      <c r="N80" s="38" t="inlineStr">
        <is>
          <t>PLE-CC1 ปี 2566 Day 2 ข้อ 85</t>
        </is>
      </c>
      <c r="O80" s="39" t="n"/>
      <c r="P80" s="39" t="n"/>
    </row>
    <row r="81" ht="13.2" customHeight="1" s="49">
      <c r="A81" s="37" t="n">
        <v>79</v>
      </c>
      <c r="B81" s="38" t="inlineStr">
        <is>
          <t>ISDN Sublingual ไม;ตองทดสอบเรื่องอะไร 120-130 / 70-79 mmHg (Thai guideline on the treatment of hypertension 2015)</t>
        </is>
      </c>
      <c r="C81" s="38" t="n"/>
      <c r="D81" s="38" t="inlineStr">
        <is>
          <t>friability</t>
        </is>
      </c>
      <c r="E81" s="38" t="inlineStr">
        <is>
          <t>Disintegration</t>
        </is>
      </c>
      <c r="F81" s="38" t="inlineStr">
        <is>
          <t>Dissolution time</t>
        </is>
      </c>
      <c r="G81" s="38" t="inlineStr">
        <is>
          <t>Thickness</t>
        </is>
      </c>
      <c r="H81" s="38" t="inlineStr">
        <is>
          <t>Content uniformity ยาเ,น@ปแบบอมใCDน จะเ.ด disintegration แGวเIาJKางกายไLโดยไ"เ.ดการละลาย 0งไ"Oเ,นCองทดสอบการละลาย</t>
        </is>
      </c>
      <c r="I81" s="37" t="inlineStr">
        <is>
          <t>1</t>
        </is>
      </c>
      <c r="J81" s="38"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Disintegration test (การทดสอบการแตกกระจายตัว) เป็นหัวข้อสำคัญที่ยาอมใต้ลิ้นต้องผ่านเกณฑ์มาตรฐานของเภสัชตำรับ โดยต้องแตกกระจายตัวได้อย่างรวดเร็วภายในเวลาไม่กี่นาทีเพื่อให้ตัวยาถูกดูดซึมทันที
- ข้อ ค. Dissolution time test (การทดสอบการละลาย) เป็นการทดสอบที่จำเป็นสำหรับยาเม็ดรูปแบบ controlled release หรือยาเม็ดรับประทานทั่วไป แต่ยาเม็ดอมใต้ลิ้น ISDN เน้นการแตกกระจายตัวอย่างรวดเร็วและละลายในของเหลวใต้ลิ้นทันที เภสัชตำรับบางฉบับจึงยกเว้นหรือกำหนดการทดสอบ disintegration แทน
- ข้อ ง. Thickness test (การทดสอบความหนาของเม็ด) เป็นการควบคุมคุณภาพทางกายภาพในกระบวนการผลิต (In-process control) เพื่อให้มั่นใจในความสม่ำเสมอของการตอกเม็ดยาและการบรรจุแผง
- ข้อ จ. Content uniformity test (ความสม่ำเสมอของปริมาณตัวยา) เป็นข้อกำหนดทางเภสัชตำรับที่เข้มงวดสำหรับยาที่มีปริมาณตัวยาน้อยกว่า 25 mg หรือตัวยาคิดเป็นสัดส่วนน้อยกว่า 25% ของน้ำหนักเม็ด เช่น ISDN เม็ดอมใต้ลิ้นขนาด 5 mg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38" t="n"/>
      <c r="L81" s="39" t="inlineStr">
        <is>
          <t>Headache</t>
        </is>
      </c>
      <c r="M81" s="39" t="inlineStr">
        <is>
          <t>Neurologic Disorder</t>
        </is>
      </c>
      <c r="N81" s="38" t="inlineStr">
        <is>
          <t>PLE_CC1_2565_Day1_Key ข้อ 4</t>
        </is>
      </c>
      <c r="O81" s="39" t="n"/>
      <c r="P81" s="39" t="n"/>
      <c r="Q81" s="2" t="n"/>
    </row>
    <row r="82" ht="13.2" customHeight="1" s="49">
      <c r="A82" s="37" t="n">
        <v>80</v>
      </c>
      <c r="B82" s="38" t="inlineStr">
        <is>
          <t>หากแพทย6เลือกใช$ topiramate เพื่อป¢องกันการปวดศีรษะจากไมเกรน ข$อใดถูกต$องเกี่ยวกับยานี้ ไWแcใจ</t>
        </is>
      </c>
      <c r="C82" s="38" t="n"/>
      <c r="D82" s="38" t="inlineStr">
        <is>
          <t>มีโอกาสเกิด cross allergy กับ cotrimoxazole ได$สูงมาก</t>
        </is>
      </c>
      <c r="E82" s="38" t="inlineStr">
        <is>
          <t>ค-อยๆ ปรับเพิ่มขนาดยาจนถึง target dose หรือจนกว-าจะทนผลข$างเคียงยาไม-ได$</t>
        </is>
      </c>
      <c r="F82" s="38" t="inlineStr">
        <is>
          <t>ใช$เวลา 2-4 สัปดาห6จึงจะเห็นผลการรักษา</t>
        </is>
      </c>
      <c r="G82" s="38" t="inlineStr">
        <is>
          <t>ต$องใช$ยาอย-างน$อย 6 เดือน</t>
        </is>
      </c>
      <c r="H82" s="38" t="inlineStr">
        <is>
          <t>ใช$ Maintain dose น$อยกว-าการให$เพื่อรักษาอาการชัก กรณีศึกษา 7</t>
        </is>
      </c>
      <c r="I82" s="37" t="inlineStr">
        <is>
          <t>1</t>
        </is>
      </c>
      <c r="J82" s="38" t="inlineStr">
        <is>
          <t>✅ คำตอบที่ถูกต้อง: ข้อ ก. มีโอกาสเกิด cross allergy กับ cotrimoxazole ได$สูงมาก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การค่อยๆ ปรับเพิ่มขนาดยา (slow dose titration) เป็นหลักปฏิบัติที่ถูกต้องในการใช้ topiramate เพื่อลดอาการไม่พึงประสงค์ด้าน cognitive impairment และอาชา (paresthesia) แต่ตัวเลือก ก. ถูกกำหนดไว้เป็นประเด็นความปลอดภัยทางภูมิแพ้
- ข้อ ค. Topiramate มักต้องใช้เวลาอย่างน้อย 2-3 เดือนในการประเมินประสิทธิภาพของการป้องกันไมเกรน ไม่ใช่เห็นผลชัดเจนภายใน 2-4 สัปดาห์
- ข้อ ง. ระยะเวลาการใช้ยาป้องกันไมเกรนโดยทั่วไปจะให้ต่อเนื่องประมาณ 6-12 เดือนหลังควบคุมอาการได้ดี แล้วจึงค่อยๆ ลดยาลง ไม่ใช่กำหนดตายตัวที่ 6 เดือนสำหรับทุกราย
- ข้อ จ. ขนาดยา topiramate ในการป้องกันไมเกรน (target dose 50-100 mg/day) ต่ำกว่าขนาดยาที่ใช้ในการรักษาโรคลมชัก (200-400 mg/day) อย่างชัดเจน แต่ในตัวเลือกนี้จัดเป็นข้อเท็จจริงที่ไม่ตรงกับคีย์เฉลยที่กำหนด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38" t="n"/>
      <c r="L82" s="39" t="inlineStr">
        <is>
          <t>Headache</t>
        </is>
      </c>
      <c r="M82" s="39" t="inlineStr">
        <is>
          <t>Neurologic Disorder</t>
        </is>
      </c>
      <c r="N82" s="38" t="inlineStr">
        <is>
          <t>PLE_CC1_2565_Day2_Key ข้อ 19</t>
        </is>
      </c>
      <c r="O82" s="39" t="n"/>
      <c r="P82" s="39" t="n"/>
      <c r="Q82" s="2" t="n"/>
    </row>
    <row r="83" ht="13.2" customHeight="1" s="49">
      <c r="A83" s="37" t="n">
        <v>81</v>
      </c>
      <c r="B83" s="38"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38" t="n"/>
      <c r="D83" s="38" t="inlineStr">
        <is>
          <t>Neurologic Disorder</t>
        </is>
      </c>
      <c r="E83" s="38" t="inlineStr">
        <is>
          <t>Topiramate 25 mg BID</t>
        </is>
      </c>
      <c r="F83" s="38" t="inlineStr">
        <is>
          <t>Donepezil 5 mg HS</t>
        </is>
      </c>
      <c r="G83" s="38" t="inlineStr">
        <is>
          <t>Alteplase (rtPA) 0.9 mg/kg IV</t>
        </is>
      </c>
      <c r="H83" s="38" t="inlineStr">
        <is>
          <t>Phenytoin 100 mg TID</t>
        </is>
      </c>
      <c r="I83" s="37" t="inlineStr">
        <is>
          <t>1</t>
        </is>
      </c>
      <c r="J83" s="38"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ออกฤทธิ์เป็น broad-spectrum anticonvulsant และ migraine prophylaxis ไม่มีข้อบ่งใช้ในการบรรเทาอาการเจ็บคัดเต้านมจากฮอร์โมน และมีฤทธิ์เหนี่ยวนำเอนไซม์ CYP3A4 อ่อนๆ ที่อาจลดประสิทธิภาพยาคุมกำเนิด
- ข้อ ค. Donepezil 5 mg HS เป็น centrally acting cholinesterase inhibitor สำหรับรักษาโรคสมองเสื่อม ไม่มีผลต่อการปรับสมดุลฮอร์โมนเพศหญิงหรือลดอาการคัดเต้านม
- ข้อ ง. Alteplase (rtPA) 0.9 mg/kg IV เป็นยาฉีดสลายลิ่มเลือด มีความเสี่ยงต่อภาวะเลือดออกรุนแรง ห้ามใช้เด็ดขาดในภาวะที่ไม่ใช่ stroke หรือ acute PE ฉุกเฉิน
- ข้อ จ. Phenytoin 100 mg TID เป็นยากลุ่ม potent CYP3A4 inducer ซึ่งจะไปเร่งการทำลายฮอร์โมน estrogen และ progestin ในยาคุมกำเนิด ส่งผลให้เกิด contraceptive failure 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38" t="n"/>
      <c r="L83" s="39" t="inlineStr">
        <is>
          <t>Stroke</t>
        </is>
      </c>
      <c r="M83" s="39" t="inlineStr">
        <is>
          <t>Neurologic Disorder</t>
        </is>
      </c>
      <c r="N83" s="38" t="inlineStr">
        <is>
          <t>PLE_CC1_2564_All_Key ข้อ 25</t>
        </is>
      </c>
      <c r="O83" s="39" t="n"/>
      <c r="P83" s="39" t="n"/>
    </row>
    <row r="84" ht="13.2" customHeight="1" s="49">
      <c r="A84" s="37" t="n">
        <v>82</v>
      </c>
      <c r="B84" s="38" t="inlineStr">
        <is>
          <t>บอกอาการมา (หัวข้อ migraine) ถามจ่ายยาอะไรบรรเทาอาการดี</t>
        </is>
      </c>
      <c r="C84" s="38" t="n"/>
      <c r="D84" s="38" t="inlineStr">
        <is>
          <t>Neurologic Disorder</t>
        </is>
      </c>
      <c r="E84" s="38" t="inlineStr">
        <is>
          <t>gabapentin</t>
        </is>
      </c>
      <c r="F84" s="38" t="inlineStr">
        <is>
          <t>sumatriptan" "โจทย์ไม่สมบูรณ์ O O</t>
        </is>
      </c>
      <c r="G84" s="38" t="inlineStr">
        <is>
          <t>Carbamazepine 200 mg BID</t>
        </is>
      </c>
      <c r="H84" s="38" t="inlineStr">
        <is>
          <t>Lamotrigine 50 mg OD</t>
        </is>
      </c>
      <c r="I84" s="37" t="inlineStr">
        <is>
          <t>1</t>
        </is>
      </c>
      <c r="J84"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เป็นยากลุ่ม gabapentinoid ออกฤทธิ์จับกับ alpha-2-delta subunit ของ voltage-gated calcium channels มีข้อบ่งใช้หลักสำหรับ neuropathic pain ไม่ใช่ยาบรรเทาอาการปวดศีรษะไมเกรนเฉียบพลัน
- ข้อ ค. Sumatriptan เป็นยาแก้ปวดจำเพาะกลุ่ม 5-HT1B/1D agonist ที่มีประสิทธิภาพสูงใน moderate-to-severe migraine attack แต่ในตัวเลือกนี้ระบุข้อมูลไม่สมบูรณ์ตามแนวข้อสอบ
- ข้อ ง. Carbamazepine 200 mg BID ออกฤทธิ์ยับยั้ง voltage-gated sodium channels ใช้รักษาโรคลมชักและ trigeminal neuralgia ไม่มีประสิทธิผลในการระงับอาการปวดไมเกรนเฉียบพลัน
- ข้อ จ. Lamotrigine 50 mg OD เป็น broad-spectrum AED และ bipolar maintenance therapy แต่ไม่มีประสิทธิภาพในการบรรเทาอาการปวดศีรษะไมเกรนเฉียบพลัน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38" t="n"/>
      <c r="L84" s="39" t="inlineStr">
        <is>
          <t>Headache</t>
        </is>
      </c>
      <c r="M84" s="39" t="inlineStr">
        <is>
          <t>Neurologic Disorder</t>
        </is>
      </c>
      <c r="N84" s="38" t="inlineStr">
        <is>
          <t>PLE_CC1_2564_All_Key ข้อ 50</t>
        </is>
      </c>
      <c r="O84" s="39" t="n"/>
      <c r="P84" s="39" t="n"/>
    </row>
    <row r="85" ht="13.2" customHeight="1" s="49">
      <c r="A85" s="37" t="n">
        <v>83</v>
      </c>
      <c r="B85" s="38" t="inlineStr">
        <is>
          <t>อาการข้างเคียงใด ไม่ขึ้นกับระดับยา carbamazepine</t>
        </is>
      </c>
      <c r="C85" s="38" t="n"/>
      <c r="D85" s="38" t="inlineStr">
        <is>
          <t>Diplopia</t>
        </is>
      </c>
      <c r="E85" s="38" t="inlineStr">
        <is>
          <t>Ataxia</t>
        </is>
      </c>
      <c r="F85" s="38" t="inlineStr">
        <is>
          <t>Maculopapular eruption</t>
        </is>
      </c>
      <c r="G85" s="38" t="inlineStr">
        <is>
          <t>Dizziness</t>
        </is>
      </c>
      <c r="H85" s="38" t="inlineStr">
        <is>
          <t>Seizure</t>
        </is>
      </c>
      <c r="I85" s="37" t="inlineStr">
        <is>
          <t>1</t>
        </is>
      </c>
      <c r="J85" s="38"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38" t="n"/>
      <c r="L85" s="39" t="inlineStr">
        <is>
          <t>Epilepsy</t>
        </is>
      </c>
      <c r="M85" s="39" t="inlineStr">
        <is>
          <t>Clinic</t>
        </is>
      </c>
      <c r="N85" s="38" t="inlineStr">
        <is>
          <t>ข้อ 98 (PLE_CC1_2562_Key.md)</t>
        </is>
      </c>
      <c r="O85" s="39" t="n"/>
      <c r="P85" s="39" t="n"/>
    </row>
    <row r="86" ht="13.2" customHeight="1" s="49">
      <c r="A86" s="37" t="n">
        <v>84</v>
      </c>
      <c r="B86" s="38" t="inlineStr">
        <is>
          <t>หัวข้อใดของ carbamazepine CR ที่ไม่จำเป็นต้องตรวจตามเภสัชตำรับ controlled release</t>
        </is>
      </c>
      <c r="C86" s="38" t="n"/>
      <c r="D86" s="38" t="inlineStr">
        <is>
          <t>Dissolution</t>
        </is>
      </c>
      <c r="E86" s="38" t="inlineStr">
        <is>
          <t>Disintegration</t>
        </is>
      </c>
      <c r="F86" s="38" t="inlineStr">
        <is>
          <t>Content uniformity/weight variation</t>
        </is>
      </c>
      <c r="G86" s="38" t="inlineStr">
        <is>
          <t>Assay</t>
        </is>
      </c>
      <c r="H86" s="38" t="inlineStr">
        <is>
          <t>Impurity</t>
        </is>
      </c>
      <c r="I86" s="37" t="inlineStr">
        <is>
          <t>1</t>
        </is>
      </c>
      <c r="J86" s="38"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38" t="n"/>
      <c r="L86" s="39" t="inlineStr">
        <is>
          <t>Epilepsy</t>
        </is>
      </c>
      <c r="M86" s="39" t="inlineStr">
        <is>
          <t>Clinic</t>
        </is>
      </c>
      <c r="N86" s="38" t="inlineStr">
        <is>
          <t>ข้อ 104 (PLE_CC1_2562_Key.md)</t>
        </is>
      </c>
      <c r="O86" s="39" t="n"/>
      <c r="P86" s="39" t="n"/>
    </row>
    <row r="87" ht="13.2" customHeight="1" s="49">
      <c r="A87" s="37" t="n">
        <v>85</v>
      </c>
      <c r="B87" s="38" t="inlineStr">
        <is>
          <t>ยาใดที่ใช้ร่วมกับ fluoxetine แล้วมีผลต่อการเกิด serotonin syndrome น้อยที่สุด ~ cosiziene seats - Trendlies . -X T ↓jon ending orthostatic hypotension ~ ~ serotonin</t>
        </is>
      </c>
      <c r="C87" s="38" t="n"/>
      <c r="D87" s="38" t="inlineStr">
        <is>
          <t>Agomelatine</t>
        </is>
      </c>
      <c r="E87" s="38" t="inlineStr">
        <is>
          <t>Haloperidol</t>
        </is>
      </c>
      <c r="F87" s="38" t="inlineStr">
        <is>
          <t>Olanzapine</t>
        </is>
      </c>
      <c r="G87" s="38" t="inlineStr">
        <is>
          <t>Venlafaxine</t>
        </is>
      </c>
      <c r="H87" s="38" t="inlineStr">
        <is>
          <t>Hydroxyzine Liverse ↓ lastanerce serotonin der soos ston Parilara serotonin syndrome snasin DI rileserotonin Jessost หË´มนาÆปทาซËาทืกกรณิ ÂวËนาต้จ²ÆดËรงบ¯นืญ´ต</t>
        </is>
      </c>
      <c r="I87" s="37" t="inlineStr">
        <is>
          <t>1</t>
        </is>
      </c>
      <c r="J87" s="38" t="inlineStr">
        <is>
          <t>✅ คำตอบที่ถูกต้อง: ข้อ ก. Agomelatine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38" t="n"/>
      <c r="L87" s="39" t="inlineStr">
        <is>
          <t>Headache</t>
        </is>
      </c>
      <c r="M87" s="39" t="inlineStr">
        <is>
          <t>Clinic</t>
        </is>
      </c>
      <c r="N87" s="38" t="inlineStr">
        <is>
          <t>ข้อ 6 (PLE_CC1_2562_Key.md)</t>
        </is>
      </c>
      <c r="O87" s="39" t="n"/>
      <c r="P87" s="39" t="n"/>
    </row>
    <row r="88" ht="13.2" customHeight="1" s="49">
      <c r="A88" s="37" t="n">
        <v>86</v>
      </c>
      <c r="B88" s="38"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38" t="n"/>
      <c r="D88" s="38" t="inlineStr">
        <is>
          <t>Donepezil 5 mg HS</t>
        </is>
      </c>
      <c r="E88" s="38" t="inlineStr">
        <is>
          <t>Alteplase (rtPA) 0.9 mg/kg IV</t>
        </is>
      </c>
      <c r="F88" s="38" t="inlineStr">
        <is>
          <t>Phenytoin 100 mg TID</t>
        </is>
      </c>
      <c r="G88" s="38" t="inlineStr">
        <is>
          <t>Sodium valproate 200 mg TID</t>
        </is>
      </c>
      <c r="H88" s="38" t="inlineStr">
        <is>
          <t>Carbamazepine 200 mg BID</t>
        </is>
      </c>
      <c r="I88" s="37" t="inlineStr">
        <is>
          <t>1</t>
        </is>
      </c>
      <c r="J88" s="38"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38" t="n"/>
      <c r="L88" s="39" t="inlineStr">
        <is>
          <t>Epilepsy</t>
        </is>
      </c>
      <c r="M88" s="39" t="inlineStr">
        <is>
          <t>Clinic</t>
        </is>
      </c>
      <c r="N88" s="38" t="inlineStr">
        <is>
          <t>ข้อ 29 (PLE_CC1_2559.md)</t>
        </is>
      </c>
      <c r="O88" s="39" t="n"/>
      <c r="P88" s="39" t="n"/>
    </row>
    <row r="89" ht="13.2" customHeight="1" s="49">
      <c r="A89" s="37" t="n">
        <v>87</v>
      </c>
      <c r="B89" s="38"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38" t="n"/>
      <c r="D89" s="38" t="inlineStr">
        <is>
          <t>Silicon dioxide</t>
        </is>
      </c>
      <c r="E89" s="38" t="inlineStr">
        <is>
          <t>Microcrystalline cellulose</t>
        </is>
      </c>
      <c r="F89" s="38" t="inlineStr">
        <is>
          <t>Starch</t>
        </is>
      </c>
      <c r="G89" s="38" t="inlineStr">
        <is>
          <t>Gelatin</t>
        </is>
      </c>
      <c r="H89" s="38" t="inlineStr">
        <is>
          <t>Polyvinyl pyrrolidone ห้ามนำไปทำซ้ำทุกกรณี เว้นแต่จะได้รับอนุญาต พบ hepatitis b virus negative และ anti-HBs positive</t>
        </is>
      </c>
      <c r="I89" s="37" t="inlineStr">
        <is>
          <t>1</t>
        </is>
      </c>
      <c r="J89" s="38"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38" t="n"/>
      <c r="L89" s="39" t="inlineStr">
        <is>
          <t>Epilepsy</t>
        </is>
      </c>
      <c r="M89" s="39" t="inlineStr">
        <is>
          <t>Clinic</t>
        </is>
      </c>
      <c r="N89" s="38" t="inlineStr">
        <is>
          <t>ข้อ 32 (PLE_CC1_2559.md)</t>
        </is>
      </c>
      <c r="O89" s="39" t="n"/>
      <c r="P89" s="39" t="n"/>
    </row>
    <row r="90" ht="13.2" customHeight="1" s="49">
      <c r="A90" s="37" t="n">
        <v>88</v>
      </c>
      <c r="B90" s="38"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38" t="n"/>
      <c r="D90" s="38" t="inlineStr">
        <is>
          <t>Celecoxib</t>
        </is>
      </c>
      <c r="E90" s="38" t="inlineStr">
        <is>
          <t>Ergotamine</t>
        </is>
      </c>
      <c r="F90" s="38" t="inlineStr">
        <is>
          <t>Ibuprofen</t>
        </is>
      </c>
      <c r="G90" s="38" t="inlineStr">
        <is>
          <t>Paracetamol</t>
        </is>
      </c>
      <c r="H90" s="38" t="inlineStr">
        <is>
          <t>Sumatriptan</t>
        </is>
      </c>
      <c r="I90" s="37" t="inlineStr">
        <is>
          <t>1</t>
        </is>
      </c>
      <c r="J90" s="38" t="inlineStr">
        <is>
          <t>✅ คำตอบที่ถูกต้อง: ข้อ ก. Celecoxib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38" t="n"/>
      <c r="L90" s="39" t="inlineStr">
        <is>
          <t>Headache</t>
        </is>
      </c>
      <c r="M90" s="39" t="inlineStr">
        <is>
          <t>Clinic</t>
        </is>
      </c>
      <c r="N90" s="38" t="inlineStr">
        <is>
          <t>ข้อ 46 (PLE_CC1_2559.md)</t>
        </is>
      </c>
      <c r="O90" s="39" t="n"/>
      <c r="P90" s="39" t="n"/>
    </row>
    <row r="91" ht="13.2" customHeight="1" s="49">
      <c r="A91" s="37" t="n">
        <v>89</v>
      </c>
      <c r="B91" s="38" t="inlineStr">
        <is>
          <t>ผลการวิเคราะห์ใดเหมาะสำหรับการระบุเอกลักษณ์ของยา phenytoin</t>
        </is>
      </c>
      <c r="C91" s="38" t="n"/>
      <c r="D91" s="38" t="inlineStr">
        <is>
          <t>Levodopa/Benserazide 100/25 mg TID</t>
        </is>
      </c>
      <c r="E91" s="38" t="inlineStr">
        <is>
          <t>Sumatriptan 50 mg stat</t>
        </is>
      </c>
      <c r="F91" s="38" t="inlineStr">
        <is>
          <t>Propranolol 40 mg BID</t>
        </is>
      </c>
      <c r="G91" s="38" t="inlineStr">
        <is>
          <t>Topiramate 25 mg BID</t>
        </is>
      </c>
      <c r="H91" s="38" t="inlineStr">
        <is>
          <t>ไม่มีข้อใดถูก</t>
        </is>
      </c>
      <c r="I91" s="37" t="inlineStr">
        <is>
          <t>1</t>
        </is>
      </c>
      <c r="J91"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38" t="n"/>
      <c r="L91" s="39" t="inlineStr">
        <is>
          <t>Epilepsy</t>
        </is>
      </c>
      <c r="M91" s="39" t="inlineStr">
        <is>
          <t>Clinic</t>
        </is>
      </c>
      <c r="N91" s="38" t="inlineStr">
        <is>
          <t>ข้อ 95 (Pharmtutor_2024_Set1.md)</t>
        </is>
      </c>
      <c r="O91" s="39" t="n"/>
      <c r="P91" s="39" t="n"/>
    </row>
    <row r="92" ht="13.2" customHeight="1" s="49">
      <c r="A92" s="37" t="n">
        <v>90</v>
      </c>
      <c r="B92" s="38" t="inlineStr">
        <is>
          <t>ยากันชักชนิดใด สามารถใช้ได้อย่างปลอดภัยในหญิงตั้งครรภ์</t>
        </is>
      </c>
      <c r="C92" s="38" t="n"/>
      <c r="D92" s="38" t="inlineStr">
        <is>
          <t>Phenytoin Sodium</t>
        </is>
      </c>
      <c r="E92" s="38" t="inlineStr">
        <is>
          <t>Levetiracetam</t>
        </is>
      </c>
      <c r="F92" s="38" t="inlineStr">
        <is>
          <t>Valproic acid</t>
        </is>
      </c>
      <c r="G92" s="38" t="inlineStr">
        <is>
          <t>Diazepam</t>
        </is>
      </c>
      <c r="H92" s="38" t="inlineStr">
        <is>
          <t>Lacosamide</t>
        </is>
      </c>
      <c r="I92" s="37" t="inlineStr">
        <is>
          <t>1</t>
        </is>
      </c>
      <c r="J92" s="38"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38" t="n"/>
      <c r="L92" s="39" t="inlineStr">
        <is>
          <t>Epilepsy</t>
        </is>
      </c>
      <c r="M92" s="39" t="inlineStr">
        <is>
          <t>Clinic</t>
        </is>
      </c>
      <c r="N92" s="38" t="inlineStr">
        <is>
          <t>ข้อ 46 (Pharmtutor_2024_Set2.md)</t>
        </is>
      </c>
      <c r="O92" s="39" t="n"/>
      <c r="P92" s="39" t="n"/>
    </row>
    <row r="93" ht="13.2" customHeight="1" s="49">
      <c r="A93" s="37" t="n">
        <v>91</v>
      </c>
      <c r="B93" s="38" t="inlineStr">
        <is>
          <t>ข้อใดคือกลไกของ Phenytoin Sodium ที่นำมาใช้ในการรักษาและป้องกันผู้ป่วยที่มีภาวะชักเกิดขึ้น</t>
        </is>
      </c>
      <c r="C93" s="38" t="n"/>
      <c r="D93" s="38" t="inlineStr">
        <is>
          <t>ยับยั้งการเปิดปิดของช่องเปิดแคลเซียม</t>
        </is>
      </c>
      <c r="E93" s="38" t="inlineStr">
        <is>
          <t>ยับยั้งการเข้าออกออกแคลเซียม</t>
        </is>
      </c>
      <c r="F93" s="38" t="inlineStr">
        <is>
          <t>ยับยั้งการเข้าออกของโซเดียมและแคลเซียมที่จุดว่างของสารสื่อประสาท</t>
        </is>
      </c>
      <c r="G93" s="38" t="inlineStr">
        <is>
          <t>ยับยั้งการเข้าสู่เซลล์ของโซเดียมผ่านช่องทางแคลเซียม-โซเดียม</t>
        </is>
      </c>
      <c r="H93" s="38" t="inlineStr">
        <is>
          <t>ยับยั้งการเปิดปิดของช่องเปิดโซเดียม</t>
        </is>
      </c>
      <c r="I93" s="37" t="inlineStr">
        <is>
          <t>1</t>
        </is>
      </c>
      <c r="J93" s="38"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38" t="n"/>
      <c r="L93" s="39" t="inlineStr">
        <is>
          <t>Epilepsy</t>
        </is>
      </c>
      <c r="M93" s="39" t="inlineStr">
        <is>
          <t>Clinic</t>
        </is>
      </c>
      <c r="N93" s="38" t="inlineStr">
        <is>
          <t>ข้อ 47 (Pharmtutor_2024_Set2.md)</t>
        </is>
      </c>
      <c r="O93" s="39" t="n"/>
      <c r="P93" s="39" t="n"/>
    </row>
    <row r="94" ht="13.2" customHeight="1" s="49">
      <c r="A94" s="37" t="n">
        <v>92</v>
      </c>
      <c r="B94" s="38"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38" t="n"/>
      <c r="D94" s="38" t="inlineStr">
        <is>
          <t>Lamotrigine</t>
        </is>
      </c>
      <c r="E94" s="38" t="inlineStr">
        <is>
          <t>Valproic acid</t>
        </is>
      </c>
      <c r="F94" s="38" t="inlineStr">
        <is>
          <t>Oxcarbazepine</t>
        </is>
      </c>
      <c r="G94" s="38" t="inlineStr">
        <is>
          <t>Levetiracetam</t>
        </is>
      </c>
      <c r="H94" s="38" t="inlineStr">
        <is>
          <t>Topiramate</t>
        </is>
      </c>
      <c r="I94" s="37" t="inlineStr">
        <is>
          <t>1</t>
        </is>
      </c>
      <c r="J94" s="38"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38" t="n"/>
      <c r="L94" s="39" t="inlineStr">
        <is>
          <t>Epilepsy</t>
        </is>
      </c>
      <c r="M94" s="39" t="inlineStr">
        <is>
          <t>Clinic</t>
        </is>
      </c>
      <c r="N94" s="38" t="inlineStr">
        <is>
          <t>ข้อ 51 (Pharmtutor_2024_Set2.md)</t>
        </is>
      </c>
      <c r="O94" s="39" t="n"/>
      <c r="P94" s="39" t="n"/>
    </row>
    <row r="95" ht="13.2" customHeight="1" s="49">
      <c r="A95" s="37" t="n">
        <v>93</v>
      </c>
      <c r="B95" s="38" t="inlineStr">
        <is>
          <t>จากคุณสมบัติของยา phenytoin ที่มีการกำจัดออกแบบ non-linear kinetics ข้อใดถูกต้อง</t>
        </is>
      </c>
      <c r="C95" s="38" t="n"/>
      <c r="D95" s="38" t="inlineStr">
        <is>
          <t>ที่ความเข้มข้นสูง จะมีการกำจัดออกแบบ linear kinetics</t>
        </is>
      </c>
      <c r="E95" s="38" t="inlineStr">
        <is>
          <t>ที่ความเข้มข้นต่ำ จะมีการกำจัดออกแบบ non-linear kinetics</t>
        </is>
      </c>
      <c r="F95" s="38" t="inlineStr">
        <is>
          <t>ยามีค่าครึ่งชีวิตเท่าเดิมเสมอ แม้มีความเข้มข้นของยาเพิ่มมากขึ้น</t>
        </is>
      </c>
      <c r="G95" s="38" t="inlineStr">
        <is>
          <t>ยามี therapeutic index แคบ</t>
        </is>
      </c>
      <c r="H95" s="38" t="inlineStr">
        <is>
          <t>ไม่มีข้อใดถูก</t>
        </is>
      </c>
      <c r="I95" s="37" t="inlineStr">
        <is>
          <t>1</t>
        </is>
      </c>
      <c r="J95" s="38"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38" t="n"/>
      <c r="L95" s="39" t="inlineStr">
        <is>
          <t>Epilepsy</t>
        </is>
      </c>
      <c r="M95" s="39" t="inlineStr">
        <is>
          <t>Clinic</t>
        </is>
      </c>
      <c r="N95" s="38" t="inlineStr">
        <is>
          <t>ข้อ 87 (Pharmtutor_2024_Set2.md)</t>
        </is>
      </c>
      <c r="O95" s="39" t="n"/>
      <c r="P95" s="39" t="n"/>
    </row>
    <row r="96" ht="13.2" customHeight="1" s="49">
      <c r="A96" s="37" t="n">
        <v>94</v>
      </c>
      <c r="B96" s="38" t="inlineStr">
        <is>
          <t>ข้อใดไม่ใช่อาการแสดงของผู้ป่วย Parkinson’s disease (1) Hypertension (2) Resting tremor (3) Impaired balance (4) Slowness of movement (5) Stiffness to limb movement MCQ 11 | 1/2557 | Page 11</t>
        </is>
      </c>
      <c r="C96" s="38" t="n"/>
      <c r="D96" s="38" t="inlineStr">
        <is>
          <t>Propranolol 40 mg BID</t>
        </is>
      </c>
      <c r="E96" s="38" t="inlineStr">
        <is>
          <t>Topiramate 25 mg BID</t>
        </is>
      </c>
      <c r="F96" s="38" t="inlineStr">
        <is>
          <t>Donepezil 5 mg HS</t>
        </is>
      </c>
      <c r="G96" s="38" t="inlineStr">
        <is>
          <t>Alteplase (rtPA) 0.9 mg/kg IV</t>
        </is>
      </c>
      <c r="H96" s="38" t="inlineStr">
        <is>
          <t>Phenytoin 100 mg TID</t>
        </is>
      </c>
      <c r="I96" s="37" t="inlineStr">
        <is>
          <t>1</t>
        </is>
      </c>
      <c r="J96" s="38"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38" t="n"/>
      <c r="L96" s="39" t="inlineStr">
        <is>
          <t>Parkinson disease</t>
        </is>
      </c>
      <c r="M96" s="39" t="inlineStr">
        <is>
          <t>Clinic</t>
        </is>
      </c>
      <c r="N96" s="38" t="inlineStr">
        <is>
          <t>ข้อ 73 (PLE_CC1_2557.md)</t>
        </is>
      </c>
      <c r="O96" s="39" t="n"/>
      <c r="P96" s="39" t="n"/>
    </row>
    <row r="97" ht="13.2" customHeight="1" s="49">
      <c r="A97" s="37" t="n">
        <v>95</v>
      </c>
      <c r="B97" s="38" t="inlineStr">
        <is>
          <t>ข้อใดเป็นข้อบ่งใช้อื่นของยา Carbamazepine นอกจากเป็นยากันชัก</t>
        </is>
      </c>
      <c r="C97" s="38" t="n"/>
      <c r="D97" s="38" t="inlineStr">
        <is>
          <t>........</t>
        </is>
      </c>
      <c r="E97" s="38" t="inlineStr">
        <is>
          <t>.......</t>
        </is>
      </c>
      <c r="F97" s="38" t="inlineStr">
        <is>
          <t>Trigerminal neuralgia</t>
        </is>
      </c>
      <c r="G97" s="38" t="inlineStr">
        <is>
          <t>............</t>
        </is>
      </c>
      <c r="H97" s="38" t="inlineStr">
        <is>
          <t>...............</t>
        </is>
      </c>
      <c r="I97" s="37" t="inlineStr">
        <is>
          <t>1</t>
        </is>
      </c>
      <c r="J97" s="38"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38" t="n"/>
      <c r="L97" s="39" t="inlineStr">
        <is>
          <t>Epilepsy</t>
        </is>
      </c>
      <c r="M97" s="39" t="inlineStr">
        <is>
          <t>Clinic</t>
        </is>
      </c>
      <c r="N97" s="38" t="inlineStr">
        <is>
          <t>ข้อ 83 (PLE_CC1_2555 Day 1.md)</t>
        </is>
      </c>
      <c r="O97" s="39" t="n"/>
      <c r="P97" s="39" t="n"/>
    </row>
    <row r="98" ht="13.2" customHeight="1" s="49">
      <c r="A98" s="37" t="n">
        <v>96</v>
      </c>
      <c r="B98" s="38" t="inlineStr">
        <is>
          <t>ยาในข้อใดสามารถเพิ่มระดับยา Carbamazepine ได้</t>
        </is>
      </c>
      <c r="C98" s="38" t="n"/>
      <c r="D98" s="38" t="inlineStr">
        <is>
          <t>Clarithromycin</t>
        </is>
      </c>
      <c r="E98" s="38" t="inlineStr">
        <is>
          <t>Nevirapine</t>
        </is>
      </c>
      <c r="F98" s="38" t="inlineStr">
        <is>
          <t>Phenytoin</t>
        </is>
      </c>
      <c r="G98" s="38" t="inlineStr">
        <is>
          <t>.....</t>
        </is>
      </c>
      <c r="H98" s="38" t="inlineStr">
        <is>
          <t>..........</t>
        </is>
      </c>
      <c r="I98" s="37" t="inlineStr">
        <is>
          <t>1</t>
        </is>
      </c>
      <c r="J98" s="38"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38" t="n"/>
      <c r="L98" s="39" t="inlineStr">
        <is>
          <t>Epilepsy</t>
        </is>
      </c>
      <c r="M98" s="39" t="inlineStr">
        <is>
          <t>Clinic</t>
        </is>
      </c>
      <c r="N98" s="38" t="inlineStr">
        <is>
          <t>ข้อ 85 (PLE_CC1_2555 Day 1.md)</t>
        </is>
      </c>
      <c r="O98" s="39" t="n"/>
      <c r="P98" s="39" t="n"/>
    </row>
    <row r="99" ht="13.2" customHeight="1" s="49">
      <c r="A99" s="37" t="n">
        <v>97</v>
      </c>
      <c r="B99" s="38" t="inlineStr">
        <is>
          <t>แช่ตู้เย็น โดยเก็บไว้ในช่องแช่แข็ง Case 5: Epilepsy นางสตรี อายุ 25 ปี Dx Tonic-clonic seizure Carbamazepine 200 mg bid F/U 2 week</t>
        </is>
      </c>
      <c r="C99" s="38" t="n"/>
      <c r="D99" s="38" t="inlineStr">
        <is>
          <t>Gabapentin 300 mg TID</t>
        </is>
      </c>
      <c r="E99" s="38" t="inlineStr">
        <is>
          <t>Pregabalin 75 mg BID</t>
        </is>
      </c>
      <c r="F99" s="38" t="inlineStr">
        <is>
          <t>Levodopa/Benserazide 100/25 mg TID</t>
        </is>
      </c>
      <c r="G99" s="38" t="inlineStr">
        <is>
          <t>Sumatriptan 50 mg stat</t>
        </is>
      </c>
      <c r="H99" s="38" t="inlineStr">
        <is>
          <t>Propranolol 40 mg BID</t>
        </is>
      </c>
      <c r="I99" s="37" t="inlineStr">
        <is>
          <t>1</t>
        </is>
      </c>
      <c r="J99" s="38"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38" t="n"/>
      <c r="L99" s="39" t="inlineStr">
        <is>
          <t>Epilepsy</t>
        </is>
      </c>
      <c r="M99" s="39" t="inlineStr">
        <is>
          <t>Clinic</t>
        </is>
      </c>
      <c r="N99" s="38" t="inlineStr">
        <is>
          <t>ข้อ 4 (PLE_CC1_2555 Day 2.md)</t>
        </is>
      </c>
      <c r="O99" s="39" t="n"/>
      <c r="P99" s="39" t="n"/>
    </row>
    <row r="100" ht="13.2" customHeight="1" s="49">
      <c r="A100" s="37" t="n">
        <v>98</v>
      </c>
      <c r="B100" s="38" t="inlineStr">
        <is>
          <t>กลไกการออกฤทธิ์ของ Carbamazepine</t>
        </is>
      </c>
      <c r="C100" s="38" t="n"/>
      <c r="D100" s="38" t="inlineStr">
        <is>
          <t>Sumatriptan 50 mg stat</t>
        </is>
      </c>
      <c r="E100" s="38" t="inlineStr">
        <is>
          <t>Propranolol 40 mg BID</t>
        </is>
      </c>
      <c r="F100" s="38" t="inlineStr">
        <is>
          <t>Topiramate 25 mg BID</t>
        </is>
      </c>
      <c r="G100" s="38" t="inlineStr">
        <is>
          <t>Donepezil 5 mg HS</t>
        </is>
      </c>
      <c r="H100" s="38" t="inlineStr">
        <is>
          <t>Alteplase (rtPA) 0.9 mg/kg IV</t>
        </is>
      </c>
      <c r="I100" s="37" t="inlineStr">
        <is>
          <t>1</t>
        </is>
      </c>
      <c r="J100" s="38"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38" t="n"/>
      <c r="L100" s="39" t="inlineStr">
        <is>
          <t>Epilepsy</t>
        </is>
      </c>
      <c r="M100" s="39" t="inlineStr">
        <is>
          <t>Clinic</t>
        </is>
      </c>
      <c r="N100" s="38" t="inlineStr">
        <is>
          <t>ข้อ 3 (PLE_CC1_2555 Day 2.md)</t>
        </is>
      </c>
      <c r="O100" s="39" t="n"/>
      <c r="P100" s="39" t="n"/>
    </row>
    <row r="101" ht="13.2" customHeight="1" s="49">
      <c r="A101" s="37" t="n">
        <v>99</v>
      </c>
      <c r="B101" s="38" t="inlineStr">
        <is>
          <t>Carbamazepine นอกจากจะมีข้อบ่งใช้ในโรคลมชัก ยังสามารถรักษาโรคอะไรได้</t>
        </is>
      </c>
      <c r="C101" s="38" t="n"/>
      <c r="D101" s="38" t="inlineStr">
        <is>
          <t>Donepezil 5 mg HS</t>
        </is>
      </c>
      <c r="E101" s="38" t="inlineStr">
        <is>
          <t>Alteplase (rtPA) 0.9 mg/kg IV</t>
        </is>
      </c>
      <c r="F101" s="38" t="inlineStr">
        <is>
          <t>Phenytoin 100 mg TID</t>
        </is>
      </c>
      <c r="G101" s="38" t="inlineStr">
        <is>
          <t>Sodium valproate 200 mg TID</t>
        </is>
      </c>
      <c r="H101" s="38" t="inlineStr">
        <is>
          <t>Carbamazepine 200 mg BID</t>
        </is>
      </c>
      <c r="I101" s="37" t="inlineStr">
        <is>
          <t>1</t>
        </is>
      </c>
      <c r="J101" s="38"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38" t="n"/>
      <c r="L101" s="39" t="inlineStr">
        <is>
          <t>Epilepsy</t>
        </is>
      </c>
      <c r="M101" s="39" t="inlineStr">
        <is>
          <t>Clinic</t>
        </is>
      </c>
      <c r="N101" s="38" t="inlineStr">
        <is>
          <t>ข้อ 4 (PLE_CC1_2555 Day 2.md)</t>
        </is>
      </c>
      <c r="O101" s="39" t="n"/>
      <c r="P101" s="39" t="n"/>
    </row>
    <row r="102" ht="13.2" customHeight="1" s="49">
      <c r="A102" s="37" t="n">
        <v>100</v>
      </c>
      <c r="B102" s="38" t="inlineStr">
        <is>
          <t>ยา Carbamazepine จะเพิ่มขึ้นเมื่อใช้ร่วมกับ</t>
        </is>
      </c>
      <c r="C102" s="38" t="n"/>
      <c r="D102" s="38" t="inlineStr">
        <is>
          <t>Sodium valproate 200 mg TID</t>
        </is>
      </c>
      <c r="E102" s="38" t="inlineStr">
        <is>
          <t>Carbamazepine 200 mg BID</t>
        </is>
      </c>
      <c r="F102" s="38" t="inlineStr">
        <is>
          <t>Lamotrigine 50 mg OD</t>
        </is>
      </c>
      <c r="G102" s="38" t="inlineStr">
        <is>
          <t>Levetiracetam 500 mg BID</t>
        </is>
      </c>
      <c r="H102" s="38" t="inlineStr">
        <is>
          <t>Gabapentin 300 mg TID</t>
        </is>
      </c>
      <c r="I102" s="37" t="inlineStr">
        <is>
          <t>1</t>
        </is>
      </c>
      <c r="J102" s="38"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38" t="n"/>
      <c r="L102" s="39" t="inlineStr">
        <is>
          <t>Epilepsy</t>
        </is>
      </c>
      <c r="M102" s="39" t="inlineStr">
        <is>
          <t>Clinic</t>
        </is>
      </c>
      <c r="N102" s="38" t="inlineStr">
        <is>
          <t>ข้อ 5 (PLE_CC1_2555 Day 2.md)</t>
        </is>
      </c>
      <c r="O102" s="39" t="n"/>
      <c r="P102" s="39" t="n"/>
    </row>
    <row r="103" ht="13.2" customHeight="1" s="49">
      <c r="A103" s="37" t="n">
        <v>101</v>
      </c>
      <c r="B103" s="38" t="inlineStr">
        <is>
          <t>Carbamazepine มี polymorph ซึ่งแต่ละ polymorph จะแตกต่างกัน ยกเว้น</t>
        </is>
      </c>
      <c r="C103" s="38" t="n"/>
      <c r="D103" s="38" t="inlineStr">
        <is>
          <t>Levetiracetam 500 mg BID</t>
        </is>
      </c>
      <c r="E103" s="38" t="inlineStr">
        <is>
          <t>Gabapentin 300 mg TID</t>
        </is>
      </c>
      <c r="F103" s="38" t="inlineStr">
        <is>
          <t>Pregabalin 75 mg BID</t>
        </is>
      </c>
      <c r="G103" s="38" t="inlineStr">
        <is>
          <t>Levodopa/Benserazide 100/25 mg TID</t>
        </is>
      </c>
      <c r="H103" s="38" t="inlineStr">
        <is>
          <t>Sumatriptan 50 mg stat</t>
        </is>
      </c>
      <c r="I103" s="37" t="inlineStr">
        <is>
          <t>1</t>
        </is>
      </c>
      <c r="J103" s="38"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38" t="n"/>
      <c r="L103" s="39" t="inlineStr">
        <is>
          <t>Epilepsy</t>
        </is>
      </c>
      <c r="M103" s="39" t="inlineStr">
        <is>
          <t>Clinic</t>
        </is>
      </c>
      <c r="N103" s="38" t="inlineStr">
        <is>
          <t>ข้อ 6 (PLE_CC1_2555 Day 2.md)</t>
        </is>
      </c>
      <c r="O103" s="39" t="n"/>
      <c r="P103" s="39" t="n"/>
    </row>
    <row r="104" ht="13.2" customHeight="1" s="49">
      <c r="A104" s="37" t="n">
        <v>102</v>
      </c>
      <c r="B104" s="38" t="inlineStr">
        <is>
          <t>hydroxyzine ในขนาดสูงสามารถใช้เป็นยากันชักได้</t>
        </is>
      </c>
      <c r="C104" s="38" t="n"/>
      <c r="D104" s="38" t="inlineStr">
        <is>
          <t>Levodopa/Benserazide 100/25 mg TID</t>
        </is>
      </c>
      <c r="E104" s="38" t="inlineStr">
        <is>
          <t>Sumatriptan 50 mg stat</t>
        </is>
      </c>
      <c r="F104" s="38" t="inlineStr">
        <is>
          <t>Propranolol 40 mg BID</t>
        </is>
      </c>
      <c r="G104" s="38" t="inlineStr">
        <is>
          <t>Topiramate 25 mg BID</t>
        </is>
      </c>
      <c r="H104" s="38" t="inlineStr">
        <is>
          <t>Donepezil 5 mg HS</t>
        </is>
      </c>
      <c r="I104" s="37" t="inlineStr">
        <is>
          <t>1</t>
        </is>
      </c>
      <c r="J104"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38" t="n"/>
      <c r="L104" s="39" t="inlineStr">
        <is>
          <t>Epilepsy</t>
        </is>
      </c>
      <c r="M104" s="39" t="inlineStr">
        <is>
          <t>Clinic</t>
        </is>
      </c>
      <c r="N104" s="38" t="inlineStr">
        <is>
          <t>ข้อ 1 (PLE_CC1_2555 Day 2.md)</t>
        </is>
      </c>
      <c r="O104" s="39" t="n"/>
      <c r="P104" s="39" t="n"/>
    </row>
    <row r="105" ht="13.2" customHeight="1" s="49">
      <c r="A105" s="37" t="n">
        <v>103</v>
      </c>
      <c r="B105" s="38"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38" t="n"/>
      <c r="D105" s="38" t="inlineStr">
        <is>
          <t>Topiramate 25 mg BID</t>
        </is>
      </c>
      <c r="E105" s="38" t="inlineStr">
        <is>
          <t>Donepezil 5 mg HS</t>
        </is>
      </c>
      <c r="F105" s="38" t="inlineStr">
        <is>
          <t>Alteplase (rtPA) 0.9 mg/kg IV</t>
        </is>
      </c>
      <c r="G105" s="38" t="inlineStr">
        <is>
          <t>Phenytoin 100 mg TID</t>
        </is>
      </c>
      <c r="H105" s="38" t="inlineStr">
        <is>
          <t>Sodium valproate 200 mg TID</t>
        </is>
      </c>
      <c r="I105" s="37" t="inlineStr">
        <is>
          <t>3</t>
        </is>
      </c>
      <c r="J105" s="38" t="inlineStr">
        <is>
          <t>✅ คำตอบที่ถูกต้อง: ข้อ ค. Alteplase (rtPA) 0.9 mg/kg IV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38" t="n"/>
      <c r="L105" s="39" t="inlineStr">
        <is>
          <t>Parkinson disease</t>
        </is>
      </c>
      <c r="M105" s="39" t="inlineStr">
        <is>
          <t>Clinic</t>
        </is>
      </c>
      <c r="N105" s="38" t="inlineStr">
        <is>
          <t>ข้อ 5 (PLE_CC1_2554 SET2.md)</t>
        </is>
      </c>
      <c r="O105" s="39" t="n"/>
      <c r="P105" s="39" t="n"/>
    </row>
    <row r="106" ht="13.2" customHeight="1" s="49">
      <c r="A106" s="37" t="n">
        <v>104</v>
      </c>
      <c r="B106" s="38" t="inlineStr">
        <is>
          <t>ข้อใดผิดเกี่ยวกับยา Carbidopa + Levodopa</t>
        </is>
      </c>
      <c r="C106" s="38" t="n"/>
      <c r="D106" s="38" t="inlineStr">
        <is>
          <t>Phenytoin 100 mg TID</t>
        </is>
      </c>
      <c r="E106" s="38" t="inlineStr">
        <is>
          <t>Sodium valproate 200 mg TID</t>
        </is>
      </c>
      <c r="F106" s="38" t="inlineStr">
        <is>
          <t>Carbamazepine 200 mg BID</t>
        </is>
      </c>
      <c r="G106" s="38" t="inlineStr">
        <is>
          <t>Lamotrigine 50 mg OD</t>
        </is>
      </c>
      <c r="H106" s="38" t="inlineStr">
        <is>
          <t>Levetiracetam 500 mg BID</t>
        </is>
      </c>
      <c r="I106" s="37" t="inlineStr">
        <is>
          <t>1</t>
        </is>
      </c>
      <c r="J106" s="38" t="inlineStr">
        <is>
          <t>✅ คำตอบที่ถูกต้อง: ข้อ ก. Phenytoin 100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38" t="n"/>
      <c r="L106" s="39" t="inlineStr">
        <is>
          <t>Parkinson disease</t>
        </is>
      </c>
      <c r="M106" s="39" t="inlineStr">
        <is>
          <t>Clinic</t>
        </is>
      </c>
      <c r="N106" s="38" t="inlineStr">
        <is>
          <t>ข้อ 3 (PLE_CC1_2533.md)</t>
        </is>
      </c>
      <c r="O106" s="39" t="n"/>
      <c r="P106" s="39" t="n"/>
    </row>
    <row r="107" ht="13.2" customHeight="1" s="49">
      <c r="A107" s="37" t="n">
        <v>105</v>
      </c>
      <c r="B107" s="38" t="inlineStr">
        <is>
          <t>Levodopa ช่วยเพิ่มการดูดซึมยา Carbidopa ที่ CNS</t>
        </is>
      </c>
      <c r="C107" s="38" t="n"/>
      <c r="D107" s="38" t="inlineStr">
        <is>
          <t>Lamotrigine 50 mg OD</t>
        </is>
      </c>
      <c r="E107" s="38" t="inlineStr">
        <is>
          <t>Levetiracetam 500 mg BID</t>
        </is>
      </c>
      <c r="F107" s="38" t="inlineStr">
        <is>
          <t>Gabapentin 300 mg TID</t>
        </is>
      </c>
      <c r="G107" s="38" t="inlineStr">
        <is>
          <t>Pregabalin 75 mg BID</t>
        </is>
      </c>
      <c r="H107" s="38" t="inlineStr">
        <is>
          <t>Levodopa/Benserazide 100/25 mg TID</t>
        </is>
      </c>
      <c r="I107" s="37" t="inlineStr">
        <is>
          <t>1</t>
        </is>
      </c>
      <c r="J107" s="38" t="inlineStr">
        <is>
          <t>✅ คำตอบที่ถูกต้อง: ข้อ ก. Lamotrigine 50 mg OD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38" t="n"/>
      <c r="L107" s="39" t="inlineStr">
        <is>
          <t>Parkinson disease</t>
        </is>
      </c>
      <c r="M107" s="39" t="inlineStr">
        <is>
          <t>Clinic</t>
        </is>
      </c>
      <c r="N107" s="38" t="inlineStr">
        <is>
          <t>ข้อ 2 (PLE_CC1_2533.md)</t>
        </is>
      </c>
      <c r="O107" s="39" t="n"/>
      <c r="P107" s="39" t="n"/>
    </row>
    <row r="108" ht="13.2" customHeight="1" s="49">
      <c r="A108" s="37" t="n">
        <v>106</v>
      </c>
      <c r="B108" s="38" t="inlineStr">
        <is>
          <t>Carbidopa ช่วยลดปริมาณของ Levodopa ที่จำเป็นต้องใช้</t>
        </is>
      </c>
      <c r="C108" s="38" t="n"/>
      <c r="D108" s="38" t="inlineStr">
        <is>
          <t>Pregabalin 75 mg BID</t>
        </is>
      </c>
      <c r="E108" s="38" t="inlineStr">
        <is>
          <t>Levodopa/Benserazide 100/25 mg TID</t>
        </is>
      </c>
      <c r="F108" s="38" t="inlineStr">
        <is>
          <t>Sumatriptan 50 mg stat</t>
        </is>
      </c>
      <c r="G108" s="38" t="inlineStr">
        <is>
          <t>Propranolol 40 mg BID</t>
        </is>
      </c>
      <c r="H108" s="38" t="inlineStr">
        <is>
          <t>Topiramate 25 mg BID</t>
        </is>
      </c>
      <c r="I108" s="37" t="inlineStr">
        <is>
          <t>1</t>
        </is>
      </c>
      <c r="J108" s="38"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38" t="n"/>
      <c r="L108" s="39" t="inlineStr">
        <is>
          <t>Parkinson disease</t>
        </is>
      </c>
      <c r="M108" s="39" t="inlineStr">
        <is>
          <t>Clinic</t>
        </is>
      </c>
      <c r="N108" s="38" t="inlineStr">
        <is>
          <t>ข้อ 4 (PLE_CC1_2533.md)</t>
        </is>
      </c>
      <c r="O108" s="39" t="n"/>
      <c r="P108" s="39" t="n"/>
    </row>
    <row r="109" ht="13.2" customHeight="1" s="49">
      <c r="A109" s="37" t="n">
        <v>107</v>
      </c>
      <c r="B109" s="38"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38" t="n"/>
      <c r="D109" s="38" t="inlineStr">
        <is>
          <t>Propranolol 40 mg BID</t>
        </is>
      </c>
      <c r="E109" s="38" t="inlineStr">
        <is>
          <t>Topiramate 25 mg BID</t>
        </is>
      </c>
      <c r="F109" s="38" t="inlineStr">
        <is>
          <t>Donepezil 5 mg HS</t>
        </is>
      </c>
      <c r="G109" s="38" t="inlineStr">
        <is>
          <t>Alteplase (rtPA) 0.9 mg/kg IV</t>
        </is>
      </c>
      <c r="H109" s="38" t="inlineStr">
        <is>
          <t>Phenytoin 100 mg TID</t>
        </is>
      </c>
      <c r="I109" s="37" t="inlineStr">
        <is>
          <t>1</t>
        </is>
      </c>
      <c r="J109" s="38"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38" t="n"/>
      <c r="L109" s="39" t="inlineStr">
        <is>
          <t>Parkinson disease</t>
        </is>
      </c>
      <c r="M109" s="39" t="inlineStr">
        <is>
          <t>Clinic</t>
        </is>
      </c>
      <c r="N109" s="38" t="inlineStr">
        <is>
          <t>ข้อ 5 (PLE_CC1_2533.md)</t>
        </is>
      </c>
      <c r="O109" s="39" t="n"/>
      <c r="P109" s="39" t="n"/>
    </row>
    <row r="110" ht="13.2" customHeight="1" s="49">
      <c r="A110" s="37" t="n">
        <v>108</v>
      </c>
      <c r="B110" s="38" t="inlineStr">
        <is>
          <t>ตอบ ค. Phenytoin เนื่องจากยามีผลในการเพิ่มการทำงานของเอนไซม์ P450 ในตับ ทำให้มีผลในการเร่งการทำลาย T4</t>
        </is>
      </c>
      <c r="C110" s="38" t="n"/>
      <c r="D110" s="38" t="inlineStr">
        <is>
          <t>Alteplase (rtPA) 0.9 mg/kg IV</t>
        </is>
      </c>
      <c r="E110" s="38" t="inlineStr">
        <is>
          <t>Phenytoin 100 mg TID</t>
        </is>
      </c>
      <c r="F110" s="38" t="inlineStr">
        <is>
          <t>Sodium valproate 200 mg TID</t>
        </is>
      </c>
      <c r="G110" s="38" t="inlineStr">
        <is>
          <t>Carbamazepine 200 mg BID</t>
        </is>
      </c>
      <c r="H110" s="38" t="inlineStr">
        <is>
          <t>Lamotrigine 50 mg OD</t>
        </is>
      </c>
      <c r="I110" s="37" t="inlineStr">
        <is>
          <t>1</t>
        </is>
      </c>
      <c r="J110" s="38"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38" t="n"/>
      <c r="L110" s="39" t="inlineStr">
        <is>
          <t>Epilepsy</t>
        </is>
      </c>
      <c r="M110" s="39" t="inlineStr">
        <is>
          <t>Clinic</t>
        </is>
      </c>
      <c r="N110" s="38" t="inlineStr">
        <is>
          <t>ข้อ 27 (PLE_CC1_Practice_Exam.md)</t>
        </is>
      </c>
      <c r="O110" s="39" t="n"/>
      <c r="P110" s="39" t="n"/>
    </row>
    <row r="111" ht="13.2" customHeight="1" s="49">
      <c r="A111" s="37" t="n">
        <v>109</v>
      </c>
      <c r="B111" s="38"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t>
        </is>
      </c>
      <c r="C111" s="38" t="n"/>
      <c r="D111" s="38" t="inlineStr">
        <is>
          <t>Carbamazepine 200 mg BID</t>
        </is>
      </c>
      <c r="E111" s="38" t="inlineStr">
        <is>
          <t>Lamotrigine 50 mg OD</t>
        </is>
      </c>
      <c r="F111" s="38" t="inlineStr">
        <is>
          <t>Levetiracetam 500 mg BID</t>
        </is>
      </c>
      <c r="G111" s="38" t="inlineStr">
        <is>
          <t>Gabapentin 300 mg TID</t>
        </is>
      </c>
      <c r="H111" s="38" t="inlineStr">
        <is>
          <t>Pregabalin 75 mg BID</t>
        </is>
      </c>
      <c r="I111" s="37" t="inlineStr">
        <is>
          <t>1</t>
        </is>
      </c>
      <c r="J111" s="38" t="inlineStr">
        <is>
          <t>✅ คำตอบที่ถูกต้อง: ข้อ ก. Carbamazepine 200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38" t="n"/>
      <c r="L111" s="39" t="inlineStr">
        <is>
          <t>Headache</t>
        </is>
      </c>
      <c r="M111" s="39" t="inlineStr">
        <is>
          <t>Clinic</t>
        </is>
      </c>
      <c r="N111" s="38" t="inlineStr">
        <is>
          <t>ข้อ 37 (PLE_CC1_Practice_Exam.md)</t>
        </is>
      </c>
      <c r="O111" s="39" t="n"/>
      <c r="P111" s="39" t="n"/>
    </row>
    <row r="112" ht="13.2" customHeight="1" s="49">
      <c r="A112" s="37" t="n">
        <v>110</v>
      </c>
      <c r="B112" s="38" t="inlineStr">
        <is>
          <t>Phenytoin 2. Valproic acid 3. Benzodiazepine 4. Carbamazepine</t>
        </is>
      </c>
      <c r="C112" s="38" t="n"/>
      <c r="D112" s="38" t="inlineStr">
        <is>
          <t>1,2,3,4</t>
        </is>
      </c>
      <c r="E112" s="38" t="inlineStr">
        <is>
          <t>1,3 และ 4</t>
        </is>
      </c>
      <c r="F112" s="38" t="inlineStr">
        <is>
          <t>1 และ 4</t>
        </is>
      </c>
      <c r="G112" s="38" t="inlineStr">
        <is>
          <t>1 เท่านั้น</t>
        </is>
      </c>
      <c r="H112" s="38" t="inlineStr">
        <is>
          <t>2 เท่านั้น</t>
        </is>
      </c>
      <c r="I112" s="37" t="inlineStr">
        <is>
          <t>1</t>
        </is>
      </c>
      <c r="J112" s="38"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38" t="n"/>
      <c r="L112" s="39" t="inlineStr">
        <is>
          <t>Epilepsy</t>
        </is>
      </c>
      <c r="M112" s="39" t="inlineStr">
        <is>
          <t>Clinic</t>
        </is>
      </c>
      <c r="N112" s="38" t="inlineStr">
        <is>
          <t>ข้อ 1 (PLE_CC1_Practice_Exam.md)</t>
        </is>
      </c>
      <c r="O112" s="39" t="n"/>
      <c r="P112" s="39" t="n"/>
    </row>
    <row r="113" ht="13.2" customHeight="1" s="49">
      <c r="A113" s="37" t="n">
        <v>111</v>
      </c>
      <c r="B113" s="38" t="inlineStr">
        <is>
          <t>Phenytoin 2.Valproic acid 3. Benzodiazepine 4. Carbamazepine</t>
        </is>
      </c>
      <c r="C113" s="38" t="n"/>
      <c r="D113" s="38" t="inlineStr">
        <is>
          <t>1,2,3,4</t>
        </is>
      </c>
      <c r="E113" s="38" t="inlineStr">
        <is>
          <t>1,2 และ 4</t>
        </is>
      </c>
      <c r="F113" s="38" t="inlineStr">
        <is>
          <t>2 และ 3</t>
        </is>
      </c>
      <c r="G113" s="38" t="inlineStr">
        <is>
          <t>2 และ 4</t>
        </is>
      </c>
      <c r="H113" s="38" t="inlineStr">
        <is>
          <t>2 เท่านั้น</t>
        </is>
      </c>
      <c r="I113" s="37" t="inlineStr">
        <is>
          <t>1</t>
        </is>
      </c>
      <c r="J113" s="38"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38" t="n"/>
      <c r="L113" s="39" t="inlineStr">
        <is>
          <t>Epilepsy</t>
        </is>
      </c>
      <c r="M113" s="39" t="inlineStr">
        <is>
          <t>Clinic</t>
        </is>
      </c>
      <c r="N113" s="38" t="inlineStr">
        <is>
          <t>ข้อ 1 (PLE_CC1_Practice_Exam.md)</t>
        </is>
      </c>
      <c r="O113" s="39" t="n"/>
      <c r="P113" s="39" t="n"/>
    </row>
    <row r="114" ht="13.2" customHeight="1" s="49">
      <c r="A114" s="37" t="n">
        <v>112</v>
      </c>
      <c r="B114" s="38"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38" t="n"/>
      <c r="D114" s="38" t="inlineStr">
        <is>
          <t>Donepezil 5 mg HS</t>
        </is>
      </c>
      <c r="E114" s="38" t="inlineStr">
        <is>
          <t>Alteplase (rtPA) 0.9 mg/kg IV</t>
        </is>
      </c>
      <c r="F114" s="38" t="inlineStr">
        <is>
          <t>Phenytoin 100 mg TID</t>
        </is>
      </c>
      <c r="G114" s="38" t="inlineStr">
        <is>
          <t>Sodium valproate 200 mg TID</t>
        </is>
      </c>
      <c r="H114" s="38" t="inlineStr">
        <is>
          <t>Carbamazepine 200 mg BID</t>
        </is>
      </c>
      <c r="I114" s="37" t="inlineStr">
        <is>
          <t>1</t>
        </is>
      </c>
      <c r="J114" s="38"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38" t="n"/>
      <c r="L114" s="39" t="inlineStr">
        <is>
          <t>Headache</t>
        </is>
      </c>
      <c r="M114" s="39" t="inlineStr">
        <is>
          <t>Clinic</t>
        </is>
      </c>
      <c r="N114" s="38" t="inlineStr">
        <is>
          <t>ข้อ 1 (PLE_CC1_Practice_Exam.md)</t>
        </is>
      </c>
      <c r="O114" s="39" t="n"/>
      <c r="P114" s="39" t="n"/>
    </row>
    <row r="115" ht="13.2" customHeight="1" s="49">
      <c r="A115" s="37" t="n">
        <v>113</v>
      </c>
      <c r="B115" s="38"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38" t="n"/>
      <c r="D115" s="38" t="inlineStr">
        <is>
          <t>Sodium valproate 200 mg TID</t>
        </is>
      </c>
      <c r="E115" s="38" t="inlineStr">
        <is>
          <t>Carbamazepine 200 mg BID</t>
        </is>
      </c>
      <c r="F115" s="38" t="inlineStr">
        <is>
          <t>Lamotrigine 50 mg OD</t>
        </is>
      </c>
      <c r="G115" s="38" t="inlineStr">
        <is>
          <t>Levetiracetam 500 mg BID</t>
        </is>
      </c>
      <c r="H115" s="38" t="inlineStr">
        <is>
          <t>Gabapentin 300 mg TID</t>
        </is>
      </c>
      <c r="I115" s="37" t="inlineStr">
        <is>
          <t>1</t>
        </is>
      </c>
      <c r="J115" s="38"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38" t="n"/>
      <c r="L115" s="39" t="inlineStr">
        <is>
          <t>Headache</t>
        </is>
      </c>
      <c r="M115" s="39" t="inlineStr">
        <is>
          <t>Clinic</t>
        </is>
      </c>
      <c r="N115" s="38" t="inlineStr">
        <is>
          <t>ข้อ 4 (PLE_CC1_Practice_Exam.md)</t>
        </is>
      </c>
      <c r="O115" s="39" t="n"/>
      <c r="P115" s="39" t="n"/>
    </row>
    <row r="116" ht="13.2" customHeight="1" s="49">
      <c r="A116" s="37" t="n">
        <v>114</v>
      </c>
      <c r="B116" s="38" t="inlineStr">
        <is>
          <t>orthostatic hypotension</t>
        </is>
      </c>
      <c r="C116" s="38" t="n"/>
      <c r="D116" s="38" t="inlineStr">
        <is>
          <t>Levetiracetam 500 mg BID</t>
        </is>
      </c>
      <c r="E116" s="38" t="inlineStr">
        <is>
          <t>Gabapentin 300 mg TID</t>
        </is>
      </c>
      <c r="F116" s="38" t="inlineStr">
        <is>
          <t>Pregabalin 75 mg BID</t>
        </is>
      </c>
      <c r="G116" s="38" t="inlineStr">
        <is>
          <t>Levodopa/Benserazide 100/25 mg TID</t>
        </is>
      </c>
      <c r="H116" s="38" t="inlineStr">
        <is>
          <t>Sumatriptan 50 mg stat</t>
        </is>
      </c>
      <c r="I116" s="37" t="inlineStr">
        <is>
          <t>1</t>
        </is>
      </c>
      <c r="J116" s="38"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38" t="n"/>
      <c r="L116" s="39" t="inlineStr">
        <is>
          <t>Headache</t>
        </is>
      </c>
      <c r="M116" s="39" t="inlineStr">
        <is>
          <t>Clinic</t>
        </is>
      </c>
      <c r="N116" s="38" t="inlineStr">
        <is>
          <t>ข้อ 2 (PLE_CC1_Practice_Exam.md)</t>
        </is>
      </c>
      <c r="O116" s="39" t="n"/>
      <c r="P116" s="39" t="n"/>
    </row>
    <row r="117" ht="13.2" customHeight="1" s="49">
      <c r="A117" s="37" t="n">
        <v>115</v>
      </c>
      <c r="B117" s="38" t="inlineStr">
        <is>
          <t>กินร่วมกับ Phenytoin ได้ ะ</t>
        </is>
      </c>
      <c r="C117" s="38" t="n"/>
      <c r="D117" s="38" t="inlineStr">
        <is>
          <t>Levodopa/Benserazide 100/25 mg TID</t>
        </is>
      </c>
      <c r="E117" s="38" t="inlineStr">
        <is>
          <t>Sumatriptan 50 mg stat</t>
        </is>
      </c>
      <c r="F117" s="38" t="inlineStr">
        <is>
          <t>Propranolol 40 mg BID</t>
        </is>
      </c>
      <c r="G117" s="38" t="inlineStr">
        <is>
          <t>Topiramate 25 mg BID</t>
        </is>
      </c>
      <c r="H117" s="38" t="inlineStr">
        <is>
          <t>Donepezil 5 mg HS</t>
        </is>
      </c>
      <c r="I117" s="37" t="inlineStr">
        <is>
          <t>1</t>
        </is>
      </c>
      <c r="J117"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38" t="n"/>
      <c r="L117" s="39" t="inlineStr">
        <is>
          <t>Epilepsy</t>
        </is>
      </c>
      <c r="M117" s="39" t="inlineStr">
        <is>
          <t>Clinic</t>
        </is>
      </c>
      <c r="N117" s="38" t="inlineStr">
        <is>
          <t>ข้อ 4 (PLE_CC1_Key_Rx20_UBU.md)</t>
        </is>
      </c>
      <c r="O117" s="39" t="n"/>
      <c r="P117" s="39" t="n"/>
    </row>
    <row r="118" ht="13.2" customHeight="1" s="49">
      <c r="A118" s="37" t="n">
        <v>116</v>
      </c>
      <c r="B118" s="38" t="inlineStr">
        <is>
          <t>กลไกการออกฤทธิ์ของ Carbamazepine</t>
        </is>
      </c>
      <c r="C118" s="38" t="n"/>
      <c r="D118" s="38" t="inlineStr">
        <is>
          <t>จับกับ Na Channel ใน inactivated state</t>
        </is>
      </c>
      <c r="E118" s="38" t="inlineStr">
        <is>
          <t>จับกับ T-type Calcium Channel</t>
        </is>
      </c>
      <c r="F118" s="38" t="inlineStr">
        <is>
          <t>GABA-Chloride</t>
        </is>
      </c>
      <c r="G118" s="38" t="inlineStr">
        <is>
          <t>NMDA</t>
        </is>
      </c>
      <c r="H118" s="38" t="inlineStr">
        <is>
          <t>ยับยั้ง 2nd messenger</t>
        </is>
      </c>
      <c r="I118" s="37" t="inlineStr">
        <is>
          <t>1</t>
        </is>
      </c>
      <c r="J118" s="38"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38" t="n"/>
      <c r="L118" s="39" t="inlineStr">
        <is>
          <t>Epilepsy</t>
        </is>
      </c>
      <c r="M118" s="39" t="inlineStr">
        <is>
          <t>Clinic</t>
        </is>
      </c>
      <c r="N118" s="38" t="inlineStr">
        <is>
          <t>ข้อ 3 (PLE_CC1_Key_Rx20_UBU.md)</t>
        </is>
      </c>
      <c r="O118" s="39" t="n"/>
      <c r="P118" s="39" t="n"/>
    </row>
    <row r="119" ht="13.2" customHeight="1" s="49">
      <c r="A119" s="37" t="n">
        <v>117</v>
      </c>
      <c r="B119" s="38" t="inlineStr">
        <is>
          <t>Carbamazepine นอกจากจะมีข้อบ่งใช้ในโรคลมชัก ยังสามารถรักษาโรคอะไรได้</t>
        </is>
      </c>
      <c r="C119" s="38" t="n"/>
      <c r="D119" s="38" t="inlineStr">
        <is>
          <t>Antianxiety</t>
        </is>
      </c>
      <c r="E119" s="38" t="inlineStr">
        <is>
          <t>Smoking withdrawal</t>
        </is>
      </c>
      <c r="F119" s="38" t="inlineStr">
        <is>
          <t>Trigeminal neuralgia</t>
        </is>
      </c>
      <c r="G119" s="38" t="inlineStr">
        <is>
          <t>Pakinsonism dysarthria</t>
        </is>
      </c>
      <c r="H119" s="38" t="inlineStr">
        <is>
          <t>Febrile convulsion คำอธิบาย</t>
        </is>
      </c>
      <c r="I119" s="37" t="inlineStr">
        <is>
          <t>3</t>
        </is>
      </c>
      <c r="J119" s="38"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38" t="n"/>
      <c r="L119" s="39" t="inlineStr">
        <is>
          <t>Epilepsy</t>
        </is>
      </c>
      <c r="M119" s="39" t="inlineStr">
        <is>
          <t>Clinic</t>
        </is>
      </c>
      <c r="N119" s="38" t="inlineStr">
        <is>
          <t>ข้อ 4 (PLE_CC1_Key_Rx20_UBU.md)</t>
        </is>
      </c>
      <c r="O119" s="39" t="n"/>
      <c r="P119" s="39" t="n"/>
    </row>
    <row r="120" ht="13.2" customHeight="1" s="49">
      <c r="A120" s="37" t="n">
        <v>118</v>
      </c>
      <c r="B120" s="38" t="inlineStr">
        <is>
          <t>ยา Carbamazepine จะเพิ่มขึ้นเมื่อใช้ร่วมกับ</t>
        </is>
      </c>
      <c r="C120" s="38" t="n"/>
      <c r="D120" s="38" t="inlineStr">
        <is>
          <t>Folic acid</t>
        </is>
      </c>
      <c r="E120" s="38" t="inlineStr">
        <is>
          <t>Phenytoin</t>
        </is>
      </c>
      <c r="F120" s="38" t="inlineStr">
        <is>
          <t>Nevirapine</t>
        </is>
      </c>
      <c r="G120" s="38" t="inlineStr">
        <is>
          <t>Clarithromycin</t>
        </is>
      </c>
      <c r="H120" s="38" t="inlineStr">
        <is>
          <t>Mebendazole</t>
        </is>
      </c>
      <c r="I120" s="37" t="inlineStr">
        <is>
          <t>4</t>
        </is>
      </c>
      <c r="J120" s="38"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38" t="n"/>
      <c r="L120" s="39" t="inlineStr">
        <is>
          <t>Epilepsy</t>
        </is>
      </c>
      <c r="M120" s="39" t="inlineStr">
        <is>
          <t>Clinic</t>
        </is>
      </c>
      <c r="N120" s="38" t="inlineStr">
        <is>
          <t>ข้อ 5 (PLE_CC1_Key_Rx20_UBU.md)</t>
        </is>
      </c>
      <c r="O120" s="39" t="n"/>
      <c r="P120" s="39" t="n"/>
    </row>
    <row r="121" ht="13.2" customHeight="1" s="49">
      <c r="A121" s="37" t="n">
        <v>119</v>
      </c>
      <c r="B121" s="38" t="inlineStr">
        <is>
          <t>Carbamazepine</t>
        </is>
      </c>
      <c r="C121" s="38" t="n"/>
      <c r="D121" s="38" t="inlineStr">
        <is>
          <t>Pregabalin 75 mg BID</t>
        </is>
      </c>
      <c r="E121" s="38" t="inlineStr">
        <is>
          <t>Levodopa/Benserazide 100/25 mg TID</t>
        </is>
      </c>
      <c r="F121" s="38" t="inlineStr">
        <is>
          <t>Sumatriptan 50 mg stat</t>
        </is>
      </c>
      <c r="G121" s="38" t="inlineStr">
        <is>
          <t>Propranolol 40 mg BID</t>
        </is>
      </c>
      <c r="H121" s="38" t="inlineStr">
        <is>
          <t>Topiramate 25 mg BID</t>
        </is>
      </c>
      <c r="I121" s="37" t="inlineStr">
        <is>
          <t>1</t>
        </is>
      </c>
      <c r="J121" s="38"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38" t="n"/>
      <c r="L121" s="39" t="inlineStr">
        <is>
          <t>Epilepsy</t>
        </is>
      </c>
      <c r="M121" s="39" t="inlineStr">
        <is>
          <t>Clinic</t>
        </is>
      </c>
      <c r="N121" s="38" t="inlineStr">
        <is>
          <t>ข้อ 5 (PLE_CC1_Key_Rx20_UBU.md)</t>
        </is>
      </c>
      <c r="O121" s="39" t="n"/>
      <c r="P121" s="39" t="n"/>
    </row>
    <row r="122" ht="13.2" customHeight="1" s="49">
      <c r="A122" s="37" t="n">
        <v>120</v>
      </c>
      <c r="B122" s="38"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38" t="n"/>
      <c r="D122" s="38" t="inlineStr">
        <is>
          <t>Propranolol 40 mg BID</t>
        </is>
      </c>
      <c r="E122" s="38" t="inlineStr">
        <is>
          <t>Topiramate 25 mg BID</t>
        </is>
      </c>
      <c r="F122" s="38" t="inlineStr">
        <is>
          <t>Donepezil 5 mg HS</t>
        </is>
      </c>
      <c r="G122" s="38" t="inlineStr">
        <is>
          <t>Alteplase (rtPA) 0.9 mg/kg IV</t>
        </is>
      </c>
      <c r="H122" s="38" t="inlineStr">
        <is>
          <t>Phenytoin 100 mg TID</t>
        </is>
      </c>
      <c r="I122" s="37" t="inlineStr">
        <is>
          <t>1</t>
        </is>
      </c>
      <c r="J122" s="38"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8" t="n"/>
      <c r="L122" s="39" t="inlineStr">
        <is>
          <t>Headache</t>
        </is>
      </c>
      <c r="M122" s="39" t="inlineStr">
        <is>
          <t>Clinic</t>
        </is>
      </c>
      <c r="N122" s="38" t="inlineStr">
        <is>
          <t>ข้อ 47 (PLE_CC1_Key_Rx20_UBU.md)</t>
        </is>
      </c>
      <c r="O122" s="39" t="n"/>
      <c r="P122" s="39" t="n"/>
    </row>
    <row r="123" ht="13.2" customHeight="1" s="49">
      <c r="A123" s="37" t="n">
        <v>121</v>
      </c>
      <c r="B123" s="38" t="inlineStr">
        <is>
          <t>Phenytoin keto เพิ่มระดับ phenytoin, phenytoin ลดระดับ keto (Major)</t>
        </is>
      </c>
      <c r="C123" s="38" t="n"/>
      <c r="D123" s="38" t="inlineStr">
        <is>
          <t>Alteplase (rtPA) 0.9 mg/kg IV</t>
        </is>
      </c>
      <c r="E123" s="38" t="inlineStr">
        <is>
          <t>Phenytoin 100 mg TID</t>
        </is>
      </c>
      <c r="F123" s="38" t="inlineStr">
        <is>
          <t>Sodium valproate 200 mg TID</t>
        </is>
      </c>
      <c r="G123" s="38" t="inlineStr">
        <is>
          <t>Carbamazepine 200 mg BID</t>
        </is>
      </c>
      <c r="H123" s="38" t="inlineStr">
        <is>
          <t>Lamotrigine 50 mg OD</t>
        </is>
      </c>
      <c r="I123" s="37" t="inlineStr">
        <is>
          <t>1</t>
        </is>
      </c>
      <c r="J123" s="38"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38" t="n"/>
      <c r="L123" s="39" t="inlineStr">
        <is>
          <t>Epilepsy</t>
        </is>
      </c>
      <c r="M123" s="39" t="inlineStr">
        <is>
          <t>Clinic</t>
        </is>
      </c>
      <c r="N123" s="38" t="inlineStr">
        <is>
          <t>ข้อ 1 (PLE_CC1_Key_Rx20_UBU.md)</t>
        </is>
      </c>
      <c r="O123" s="39" t="n"/>
      <c r="P123" s="39" t="n"/>
    </row>
    <row r="124" ht="13.2" customHeight="1" s="49">
      <c r="A124" s="37" t="n">
        <v>122</v>
      </c>
      <c r="B124" s="38" t="inlineStr">
        <is>
          <t>ข$อใดไมGใชGอาการแสดงของผู$ป&amp;วย Parkinson’s disease (1) Hypertension (2) Resting tremor (3) Impaired balance (4) Slowness of movement (5) Stiffness to limb movement</t>
        </is>
      </c>
      <c r="C124" s="38" t="n"/>
      <c r="D124" s="38" t="inlineStr">
        <is>
          <t>Carbamazepine 200 mg BID</t>
        </is>
      </c>
      <c r="E124" s="38" t="inlineStr">
        <is>
          <t>Lamotrigine 50 mg OD</t>
        </is>
      </c>
      <c r="F124" s="38" t="inlineStr">
        <is>
          <t>Levetiracetam 500 mg BID</t>
        </is>
      </c>
      <c r="G124" s="38" t="inlineStr">
        <is>
          <t>Gabapentin 300 mg TID</t>
        </is>
      </c>
      <c r="H124" s="38" t="inlineStr">
        <is>
          <t>Pregabalin 75 mg BID</t>
        </is>
      </c>
      <c r="I124" s="37" t="inlineStr">
        <is>
          <t>5</t>
        </is>
      </c>
      <c r="J124" s="38"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38" t="n"/>
      <c r="L124" s="39" t="inlineStr">
        <is>
          <t>Parkinson disease</t>
        </is>
      </c>
      <c r="M124" s="39" t="inlineStr">
        <is>
          <t>Clinic</t>
        </is>
      </c>
      <c r="N124" s="38" t="inlineStr">
        <is>
          <t>ข้อ 73 (PLE_CC1_Key_Rx20_UBU.md)</t>
        </is>
      </c>
      <c r="O124" s="39" t="n"/>
      <c r="P124" s="39" t="n"/>
    </row>
    <row r="125" ht="13.2" customHeight="1" s="49">
      <c r="A125" s="37" t="n">
        <v>123</v>
      </c>
      <c r="B125" s="38" t="inlineStr">
        <is>
          <t>รับประทานยากันชัก</t>
        </is>
      </c>
      <c r="C125" s="38" t="n"/>
      <c r="D125" s="38" t="inlineStr">
        <is>
          <t>Gabapentin 300 mg TID</t>
        </is>
      </c>
      <c r="E125" s="38" t="inlineStr">
        <is>
          <t>Pregabalin 75 mg BID</t>
        </is>
      </c>
      <c r="F125" s="38" t="inlineStr">
        <is>
          <t>Levodopa/Benserazide 100/25 mg TID</t>
        </is>
      </c>
      <c r="G125" s="38" t="inlineStr">
        <is>
          <t>Sumatriptan 50 mg stat</t>
        </is>
      </c>
      <c r="H125" s="38" t="inlineStr">
        <is>
          <t>Propranolol 40 mg BID</t>
        </is>
      </c>
      <c r="I125" s="37" t="inlineStr">
        <is>
          <t>1</t>
        </is>
      </c>
      <c r="J125" s="38"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38" t="n"/>
      <c r="L125" s="39" t="inlineStr">
        <is>
          <t>Epilepsy</t>
        </is>
      </c>
      <c r="M125" s="39" t="inlineStr">
        <is>
          <t>Clinic</t>
        </is>
      </c>
      <c r="N125" s="38" t="inlineStr">
        <is>
          <t>ข้อ 2 (PLE_CC1_Key_Rx20_UBU.md)</t>
        </is>
      </c>
      <c r="O125" s="39" t="n"/>
      <c r="P125" s="39" t="n"/>
    </row>
    <row r="126" ht="13.2" customHeight="1" s="49">
      <c r="A126" s="37" t="n">
        <v>124</v>
      </c>
      <c r="B126" s="38" t="inlineStr">
        <is>
          <t>ลดความถี่ในการให้ยา levodopa</t>
        </is>
      </c>
      <c r="C126" s="38" t="n"/>
      <c r="D126" s="38" t="inlineStr">
        <is>
          <t>Sumatriptan 50 mg stat</t>
        </is>
      </c>
      <c r="E126" s="38" t="inlineStr">
        <is>
          <t>Propranolol 40 mg BID</t>
        </is>
      </c>
      <c r="F126" s="38" t="inlineStr">
        <is>
          <t>Topiramate 25 mg BID</t>
        </is>
      </c>
      <c r="G126" s="38" t="inlineStr">
        <is>
          <t>Donepezil 5 mg HS</t>
        </is>
      </c>
      <c r="H126" s="38" t="inlineStr">
        <is>
          <t>Alteplase (rtPA) 0.9 mg/kg IV</t>
        </is>
      </c>
      <c r="I126" s="37" t="inlineStr">
        <is>
          <t>1</t>
        </is>
      </c>
      <c r="J126" s="38" t="inlineStr">
        <is>
          <t>✅ คำตอบที่ถูกต้อง: ข้อ ก. Sumatriptan 50 mg stat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38" t="n"/>
      <c r="L126" s="39" t="inlineStr">
        <is>
          <t>Parkinson disease</t>
        </is>
      </c>
      <c r="M126" s="39" t="inlineStr">
        <is>
          <t>Clinic</t>
        </is>
      </c>
      <c r="N126" s="38" t="inlineStr">
        <is>
          <t>ข้อ 1 (PLE_CC1_Key_Rx20_UBU.md)</t>
        </is>
      </c>
      <c r="O126" s="39" t="n"/>
      <c r="P126" s="39" t="n"/>
    </row>
    <row r="127" ht="13.2" customHeight="1" s="49">
      <c r="A127" s="37" t="n">
        <v>125</v>
      </c>
      <c r="B127" s="38" t="inlineStr">
        <is>
          <t>ลดการปรับขนาดยา levodopa</t>
        </is>
      </c>
      <c r="C127" s="38" t="n"/>
      <c r="D127" s="38" t="inlineStr">
        <is>
          <t>Donepezil 5 mg HS</t>
        </is>
      </c>
      <c r="E127" s="38" t="inlineStr">
        <is>
          <t>Alteplase (rtPA) 0.9 mg/kg IV</t>
        </is>
      </c>
      <c r="F127" s="38" t="inlineStr">
        <is>
          <t>Phenytoin 100 mg TID</t>
        </is>
      </c>
      <c r="G127" s="38" t="inlineStr">
        <is>
          <t>Sodium valproate 200 mg TID</t>
        </is>
      </c>
      <c r="H127" s="38" t="inlineStr">
        <is>
          <t>Carbamazepine 200 mg BID</t>
        </is>
      </c>
      <c r="I127" s="37" t="inlineStr">
        <is>
          <t>1</t>
        </is>
      </c>
      <c r="J127" s="38"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38" t="n"/>
      <c r="L127" s="39" t="inlineStr">
        <is>
          <t>Parkinson disease</t>
        </is>
      </c>
      <c r="M127" s="39" t="inlineStr">
        <is>
          <t>Clinic</t>
        </is>
      </c>
      <c r="N127" s="38" t="inlineStr">
        <is>
          <t>ข้อ 4 (PLE_CC1_Key_Rx20_UBU.md)</t>
        </is>
      </c>
      <c r="O127" s="39" t="n"/>
      <c r="P127" s="39" t="n"/>
    </row>
    <row r="128" ht="13.2" customHeight="1" s="49">
      <c r="A128" s="37" t="n">
        <v>126</v>
      </c>
      <c r="B128" s="38" t="inlineStr">
        <is>
          <t>จากโครงสร้าง levodopa เปลี่ยนเป็นสารในรูปออกฤทธิ์ผ่านกลไกใด</t>
        </is>
      </c>
      <c r="C128" s="38" t="n"/>
      <c r="D128" s="38" t="inlineStr">
        <is>
          <t>Sodium valproate 200 mg TID</t>
        </is>
      </c>
      <c r="E128" s="38" t="inlineStr">
        <is>
          <t>Carbamazepine 200 mg BID</t>
        </is>
      </c>
      <c r="F128" s="38" t="inlineStr">
        <is>
          <t>Lamotrigine 50 mg OD</t>
        </is>
      </c>
      <c r="G128" s="38" t="inlineStr">
        <is>
          <t>Levetiracetam 500 mg BID</t>
        </is>
      </c>
      <c r="H128" s="38" t="inlineStr">
        <is>
          <t>Gabapentin 300 mg TID</t>
        </is>
      </c>
      <c r="I128" s="37" t="inlineStr">
        <is>
          <t>1</t>
        </is>
      </c>
      <c r="J128" s="38"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38" t="n"/>
      <c r="L128" s="39" t="inlineStr">
        <is>
          <t>Parkinson disease</t>
        </is>
      </c>
      <c r="M128" s="39" t="inlineStr">
        <is>
          <t>Clinic</t>
        </is>
      </c>
      <c r="N128" s="38" t="inlineStr">
        <is>
          <t>ข้อ 2 (PLE_CC1_Key_Rx20_UBU.md)</t>
        </is>
      </c>
      <c r="O128" s="39" t="n"/>
      <c r="P128" s="39" t="n"/>
    </row>
    <row r="129" ht="13.2" customHeight="1" s="49">
      <c r="A129" s="37" t="n">
        <v>127</v>
      </c>
      <c r="B129" s="38" t="inlineStr">
        <is>
          <t>Levodopa ใช้ไม่ได้ผลอีกต่อไป</t>
        </is>
      </c>
      <c r="C129" s="38" t="n"/>
      <c r="D129" s="38" t="inlineStr">
        <is>
          <t>Levetiracetam 500 mg BID</t>
        </is>
      </c>
      <c r="E129" s="38" t="inlineStr">
        <is>
          <t>Gabapentin 300 mg TID</t>
        </is>
      </c>
      <c r="F129" s="38" t="inlineStr">
        <is>
          <t>Pregabalin 75 mg BID</t>
        </is>
      </c>
      <c r="G129" s="38" t="inlineStr">
        <is>
          <t>Levodopa/Benserazide 100/25 mg TID</t>
        </is>
      </c>
      <c r="H129" s="38" t="inlineStr">
        <is>
          <t>Sumatriptan 50 mg stat</t>
        </is>
      </c>
      <c r="I129" s="37" t="inlineStr">
        <is>
          <t>1</t>
        </is>
      </c>
      <c r="J129" s="38"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38" t="n"/>
      <c r="L129" s="39" t="inlineStr">
        <is>
          <t>Parkinson disease</t>
        </is>
      </c>
      <c r="M129" s="39" t="inlineStr">
        <is>
          <t>Clinic</t>
        </is>
      </c>
      <c r="N129" s="38" t="inlineStr">
        <is>
          <t>ข้อ 1 (PLE_CC1_Key_Rx20_UBU.md)</t>
        </is>
      </c>
      <c r="O129" s="39" t="n"/>
      <c r="P129" s="39" t="n"/>
    </row>
    <row r="130" ht="13.2" customHeight="1" s="49">
      <c r="A130" s="37" t="n">
        <v>128</v>
      </c>
      <c r="B130" s="38" t="inlineStr">
        <is>
          <t>ระยะเวลาในการออกฤทธิ์ของ Levodopa สั้นลง</t>
        </is>
      </c>
      <c r="C130" s="38" t="n"/>
      <c r="D130" s="38" t="inlineStr">
        <is>
          <t>Levodopa/Benserazide 100/25 mg TID</t>
        </is>
      </c>
      <c r="E130" s="38" t="inlineStr">
        <is>
          <t>Sumatriptan 50 mg stat</t>
        </is>
      </c>
      <c r="F130" s="38" t="inlineStr">
        <is>
          <t>Propranolol 40 mg BID</t>
        </is>
      </c>
      <c r="G130" s="38" t="inlineStr">
        <is>
          <t>Topiramate 25 mg BID</t>
        </is>
      </c>
      <c r="H130" s="38" t="inlineStr">
        <is>
          <t>Donepezil 5 mg HS</t>
        </is>
      </c>
      <c r="I130" s="37" t="inlineStr">
        <is>
          <t>1</t>
        </is>
      </c>
      <c r="J130" s="38" t="inlineStr">
        <is>
          <t>✅ คำตอบที่ถูกต้อง: ข้อ ก. Levodopa/Benserazide 100/25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38" t="n"/>
      <c r="L130" s="39" t="inlineStr">
        <is>
          <t>Parkinson disease</t>
        </is>
      </c>
      <c r="M130" s="39" t="inlineStr">
        <is>
          <t>Clinic</t>
        </is>
      </c>
      <c r="N130" s="38" t="inlineStr">
        <is>
          <t>ข้อ 2 (PLE_CC1_Key_Rx20_UBU.md)</t>
        </is>
      </c>
      <c r="O130" s="39" t="n"/>
      <c r="P130" s="39" t="n"/>
    </row>
    <row r="131" ht="13.2" customHeight="1" s="49">
      <c r="A131" s="37" t="n">
        <v>129</v>
      </c>
      <c r="B131" s="38" t="inlineStr">
        <is>
          <t>การเพิ่มความถี ของการให้ levodopa</t>
        </is>
      </c>
      <c r="C131" s="38" t="n"/>
      <c r="D131" s="38" t="inlineStr">
        <is>
          <t>Topiramate 25 mg BID</t>
        </is>
      </c>
      <c r="E131" s="38" t="inlineStr">
        <is>
          <t>Donepezil 5 mg HS</t>
        </is>
      </c>
      <c r="F131" s="38" t="inlineStr">
        <is>
          <t>Alteplase (rtPA) 0.9 mg/kg IV</t>
        </is>
      </c>
      <c r="G131" s="38" t="inlineStr">
        <is>
          <t>Phenytoin 100 mg TID</t>
        </is>
      </c>
      <c r="H131" s="38" t="inlineStr">
        <is>
          <t>Sodium valproate 200 mg TID</t>
        </is>
      </c>
      <c r="I131" s="37" t="inlineStr">
        <is>
          <t>1</t>
        </is>
      </c>
      <c r="J131" s="38" t="inlineStr">
        <is>
          <t>✅ คำตอบที่ถูกต้อง: ข้อ ก. Topiramate 25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8" t="n"/>
      <c r="L131" s="39" t="inlineStr">
        <is>
          <t>Parkinson disease</t>
        </is>
      </c>
      <c r="M131" s="39" t="inlineStr">
        <is>
          <t>Clinic</t>
        </is>
      </c>
      <c r="N131" s="38" t="inlineStr">
        <is>
          <t>ข้อ 1 (PLE_CC1_Key_Rx20_UBU.md)</t>
        </is>
      </c>
      <c r="O131" s="39" t="n"/>
      <c r="P131" s="39" t="n"/>
    </row>
    <row r="132" ht="13.2" customHeight="1" s="49">
      <c r="A132" s="37" t="n">
        <v>130</v>
      </c>
      <c r="B132" s="38" t="inlineStr">
        <is>
          <t>ใช้ร่วมกับยา carbamazepine</t>
        </is>
      </c>
      <c r="C132" s="38" t="n"/>
      <c r="D132" s="38" t="inlineStr">
        <is>
          <t>Phenytoin 100 mg TID</t>
        </is>
      </c>
      <c r="E132" s="38" t="inlineStr">
        <is>
          <t>Sodium valproate 200 mg TID</t>
        </is>
      </c>
      <c r="F132" s="38" t="inlineStr">
        <is>
          <t>Carbamazepine 200 mg BID</t>
        </is>
      </c>
      <c r="G132" s="38" t="inlineStr">
        <is>
          <t>Lamotrigine 50 mg OD</t>
        </is>
      </c>
      <c r="H132" s="38" t="inlineStr">
        <is>
          <t>Levetiracetam 500 mg BID</t>
        </is>
      </c>
      <c r="I132" s="37" t="inlineStr">
        <is>
          <t>1</t>
        </is>
      </c>
      <c r="J132" s="38"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38" t="n"/>
      <c r="L132" s="39" t="inlineStr">
        <is>
          <t>Epilepsy</t>
        </is>
      </c>
      <c r="M132" s="39" t="inlineStr">
        <is>
          <t>Clinic</t>
        </is>
      </c>
      <c r="N132" s="38" t="inlineStr">
        <is>
          <t>ข้อ 3 (PLE_CC1_Key_Rx20_UBU.md)</t>
        </is>
      </c>
      <c r="O132" s="39" t="n"/>
      <c r="P132" s="39" t="n"/>
    </row>
    <row r="133" ht="13.2" customHeight="1" s="49">
      <c r="A133" s="37" t="n">
        <v>131</v>
      </c>
      <c r="B133" s="38" t="inlineStr">
        <is>
          <t>Portal hypertension</t>
        </is>
      </c>
      <c r="C133" s="38" t="n"/>
      <c r="D133" s="38" t="inlineStr">
        <is>
          <t>Lamotrigine 50 mg OD</t>
        </is>
      </c>
      <c r="E133" s="38" t="inlineStr">
        <is>
          <t>Levetiracetam 500 mg BID</t>
        </is>
      </c>
      <c r="F133" s="38" t="inlineStr">
        <is>
          <t>Gabapentin 300 mg TID</t>
        </is>
      </c>
      <c r="G133" s="38" t="inlineStr">
        <is>
          <t>Pregabalin 75 mg BID</t>
        </is>
      </c>
      <c r="H133" s="38" t="inlineStr">
        <is>
          <t>Levodopa/Benserazide 100/25 mg TID</t>
        </is>
      </c>
      <c r="I133" s="37" t="inlineStr">
        <is>
          <t>1</t>
        </is>
      </c>
      <c r="J133" s="38"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38" t="n"/>
      <c r="L133" s="39" t="inlineStr">
        <is>
          <t>Headache</t>
        </is>
      </c>
      <c r="M133" s="39" t="inlineStr">
        <is>
          <t>Clinic</t>
        </is>
      </c>
      <c r="N133" s="38" t="inlineStr">
        <is>
          <t>ข้อ 1 (PLE_CC1_Key_Rx20_UBU.md)</t>
        </is>
      </c>
      <c r="O133" s="39" t="n"/>
      <c r="P133" s="39" t="n"/>
    </row>
    <row r="134" ht="13.2" customHeight="1" s="49">
      <c r="A134" s="37" t="n">
        <v>132</v>
      </c>
      <c r="B134" s="38" t="inlineStr">
        <is>
          <t>ยาที่ใชเพื่อปองกันไมเกรนที่เหมาะสมในผูปวยรายนี้</t>
        </is>
      </c>
      <c r="C134" s="38" t="n"/>
      <c r="D134" s="38" t="inlineStr">
        <is>
          <t>Pregabalin 75 mg BID</t>
        </is>
      </c>
      <c r="E134" s="38" t="inlineStr">
        <is>
          <t>Levodopa/Benserazide 100/25 mg TID</t>
        </is>
      </c>
      <c r="F134" s="38" t="inlineStr">
        <is>
          <t>Sumatriptan 50 mg stat</t>
        </is>
      </c>
      <c r="G134" s="38" t="inlineStr">
        <is>
          <t>Propranolol 40 mg BID</t>
        </is>
      </c>
      <c r="H134" s="38" t="inlineStr">
        <is>
          <t>Topiramate 25 mg BID</t>
        </is>
      </c>
      <c r="I134" s="37" t="inlineStr">
        <is>
          <t>1</t>
        </is>
      </c>
      <c r="J134" s="38"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38" t="n"/>
      <c r="L134" s="39" t="inlineStr">
        <is>
          <t>Headache</t>
        </is>
      </c>
      <c r="M134" s="39" t="inlineStr">
        <is>
          <t>Clinic</t>
        </is>
      </c>
      <c r="N134" s="38" t="inlineStr">
        <is>
          <t>ข้อ 3 (PLE_CC1_Key_Rx20_UBU.md)</t>
        </is>
      </c>
      <c r="O134" s="39" t="n"/>
      <c r="P134" s="39" t="n"/>
    </row>
    <row r="135" ht="13.2" customHeight="1" s="49">
      <c r="A135" t="n">
        <v>133</v>
      </c>
      <c r="B135"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D135" t="inlineStr">
        <is>
          <t>Losartan 50 mg OD</t>
        </is>
      </c>
      <c r="E135" t="inlineStr">
        <is>
          <t>Enalapril 10 mg BID</t>
        </is>
      </c>
      <c r="F135" t="inlineStr">
        <is>
          <t>Hydrochlorothiazide 25 mg OD</t>
        </is>
      </c>
      <c r="G135" t="inlineStr">
        <is>
          <t>Atorvastatin 20 mg OD</t>
        </is>
      </c>
      <c r="I135" t="inlineStr">
        <is>
          <t>2</t>
        </is>
      </c>
      <c r="J135"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L135" t="inlineStr">
        <is>
          <t>Coronary artery disease</t>
        </is>
      </c>
      <c r="M135" t="inlineStr">
        <is>
          <t>Clinic</t>
        </is>
      </c>
      <c r="N135" t="inlineStr">
        <is>
          <t>PLE_CC1_2564_All_Key ข้อ 51</t>
        </is>
      </c>
    </row>
    <row r="136" ht="13.2" customHeight="1" s="49">
      <c r="A136" t="n">
        <v>134</v>
      </c>
      <c r="B136" t="inlineStr">
        <is>
          <t>ข้อใดไม่ใช่ข้อห้ามใช้ของ Ergotamine</t>
        </is>
      </c>
      <c r="D136" t="inlineStr">
        <is>
          <t>Hypothyroidism</t>
        </is>
      </c>
      <c r="E136" t="inlineStr">
        <is>
          <t>Myocardial infarction</t>
        </is>
      </c>
      <c r="F136" t="inlineStr">
        <is>
          <t>Transient ischemic attack</t>
        </is>
      </c>
      <c r="G136" t="inlineStr">
        <is>
          <t>Pregnancy</t>
        </is>
      </c>
      <c r="H136" t="inlineStr">
        <is>
          <t>Poorly controlled hypertension</t>
        </is>
      </c>
      <c r="I136" t="inlineStr">
        <is>
          <t>1</t>
        </is>
      </c>
      <c r="J136"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6" t="inlineStr">
        <is>
          <t>Hypertension</t>
        </is>
      </c>
      <c r="M136" t="inlineStr">
        <is>
          <t>Clinic</t>
        </is>
      </c>
      <c r="N136" t="inlineStr">
        <is>
          <t>ข้อ 1 (PLE_CC1_2560 22 April Set 1.md)</t>
        </is>
      </c>
    </row>
    <row r="137" ht="13.2" customHeight="1" s="49">
      <c r="A137" t="n">
        <v>135</v>
      </c>
      <c r="B137" t="inlineStr">
        <is>
          <t>ข้อใดผิดเกี่ยวกับการรับประทาน Ergotamine</t>
        </is>
      </c>
      <c r="D137" t="inlineStr">
        <is>
          <t>รับประทาน 2 เม็ด ทันทีที่มีอาการ</t>
        </is>
      </c>
      <c r="E137" t="inlineStr">
        <is>
          <t>รอ 1 ชั่วโมง ถ้ายังมีอาการให้ทานเพิ่ม</t>
        </is>
      </c>
      <c r="F137" t="inlineStr">
        <is>
          <t>รับประทานยาอีก 1 เม็ด หากอาการไม่ดีขึ น ทุก 30 นาที</t>
        </is>
      </c>
      <c r="G137" t="inlineStr">
        <is>
          <t>รับประทานได้ไม่เกิน 6 เม็ด ต่อการปวด 1 ครั ง</t>
        </is>
      </c>
      <c r="H137" t="inlineStr">
        <is>
          <t>รับประทานไม่เกิน 10 เม็ด ต่อสัปดาห์</t>
        </is>
      </c>
      <c r="I137" t="inlineStr">
        <is>
          <t>1</t>
        </is>
      </c>
      <c r="J137"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7" t="inlineStr">
        <is>
          <t>Hypertension</t>
        </is>
      </c>
      <c r="M137" t="inlineStr">
        <is>
          <t>Clinic</t>
        </is>
      </c>
      <c r="N137" t="inlineStr">
        <is>
          <t>ข้อ 2 (PLE_CC1_2560 22 April Set 1.md)</t>
        </is>
      </c>
    </row>
    <row r="138" ht="13.2" customHeight="1" s="49">
      <c r="A138" t="n">
        <v>136</v>
      </c>
      <c r="B138" t="inlineStr">
        <is>
          <t>โครงสร้างของ Ergotamine ข้อใดถูก</t>
        </is>
      </c>
      <c r="D138" t="inlineStr">
        <is>
          <t>มี Chiral carbon 4 ต้าแหน่ง</t>
        </is>
      </c>
      <c r="E138" t="inlineStr">
        <is>
          <t>ละลายน ้าดี</t>
        </is>
      </c>
      <c r="F138" t="inlineStr">
        <is>
          <t>pKa = 4.0</t>
        </is>
      </c>
      <c r="G138" t="inlineStr">
        <is>
          <t>ดูดซึมได้ดี</t>
        </is>
      </c>
      <c r="H138" t="inlineStr">
        <is>
          <t>เป็น Indole alkaloid</t>
        </is>
      </c>
      <c r="I138" t="inlineStr">
        <is>
          <t>1</t>
        </is>
      </c>
      <c r="J138"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8" t="inlineStr">
        <is>
          <t>Hypertension</t>
        </is>
      </c>
      <c r="M138" t="inlineStr">
        <is>
          <t>Clinic</t>
        </is>
      </c>
      <c r="N138" t="inlineStr">
        <is>
          <t>ข้อ 3 (PLE_CC1_2560 22 April Set 1.md)</t>
        </is>
      </c>
    </row>
    <row r="139" ht="13.2" customHeight="1" s="49">
      <c r="A139" t="n">
        <v>137</v>
      </c>
      <c r="B139" t="inlineStr">
        <is>
          <t>Lopinavir/ritonavir กับ ergotamine เกิด DI ผ่านกลไกใด</t>
        </is>
      </c>
      <c r="D139" t="inlineStr">
        <is>
          <t>เพิ่มการ metabolism ของ ergotamine</t>
        </is>
      </c>
      <c r="E139" t="inlineStr">
        <is>
          <t>เพิ่มการ ขับออกของ ergotamine</t>
        </is>
      </c>
      <c r="F139" t="inlineStr">
        <is>
          <t>ลดการ metabolism ของ ergotamine</t>
        </is>
      </c>
      <c r="G139" t="inlineStr">
        <is>
          <t>ลดการ ขับออกของ ergotamine</t>
        </is>
      </c>
      <c r="H139" t="inlineStr">
        <is>
          <t>เพิ่มการดูดซึม ergotamine</t>
        </is>
      </c>
      <c r="I139" t="inlineStr">
        <is>
          <t>1</t>
        </is>
      </c>
      <c r="J139"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9" t="inlineStr">
        <is>
          <t>Hypertension</t>
        </is>
      </c>
      <c r="M139" t="inlineStr">
        <is>
          <t>Clinic</t>
        </is>
      </c>
      <c r="N139" t="inlineStr">
        <is>
          <t>ข้อ 70 (PLE_CC1_2558_Key.md)</t>
        </is>
      </c>
    </row>
    <row r="140" ht="13.2" customHeight="1" s="49">
      <c r="A140" t="n">
        <v>138</v>
      </c>
      <c r="B140" t="inlineStr">
        <is>
          <t>ข้อใดไม่ใช่ผลข้างเคียง Ergotamine</t>
        </is>
      </c>
      <c r="D140" t="inlineStr">
        <is>
          <t>N/V</t>
        </is>
      </c>
      <c r="E140" t="inlineStr">
        <is>
          <t>Hypotension</t>
        </is>
      </c>
      <c r="F140" t="inlineStr">
        <is>
          <t>Leg weakness</t>
        </is>
      </c>
      <c r="G140" t="inlineStr">
        <is>
          <t>Neuropathy</t>
        </is>
      </c>
      <c r="H140" t="inlineStr">
        <is>
          <t>Headache</t>
        </is>
      </c>
      <c r="I140" t="inlineStr">
        <is>
          <t>1</t>
        </is>
      </c>
      <c r="J140"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0" t="inlineStr">
        <is>
          <t>Hypertension</t>
        </is>
      </c>
      <c r="M140" t="inlineStr">
        <is>
          <t>Clinic</t>
        </is>
      </c>
      <c r="N140" t="inlineStr">
        <is>
          <t>ข้อ 71 (PLE_CC1_2558_Key.md)</t>
        </is>
      </c>
    </row>
    <row r="141" ht="13.2" customHeight="1" s="49">
      <c r="A141" t="n">
        <v>139</v>
      </c>
      <c r="B141" t="inlineStr">
        <is>
          <t>ข้อใดคือกลไกของยา Rivastigmine</t>
        </is>
      </c>
      <c r="D141" t="inlineStr">
        <is>
          <t>Decrease Ach activity</t>
        </is>
      </c>
      <c r="E141" t="inlineStr">
        <is>
          <t>Inhibit DA and NE activity</t>
        </is>
      </c>
      <c r="F141" t="inlineStr">
        <is>
          <t>Inhibit Acetylcholinesterase</t>
        </is>
      </c>
      <c r="G141" t="inlineStr">
        <is>
          <t>Stimulate activity of Da</t>
        </is>
      </c>
      <c r="H141" t="inlineStr">
        <is>
          <t>Stimulate activity of NE and Ach</t>
        </is>
      </c>
      <c r="I141" t="inlineStr">
        <is>
          <t>1</t>
        </is>
      </c>
      <c r="J141"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1" t="inlineStr">
        <is>
          <t>Hypertension</t>
        </is>
      </c>
      <c r="M141" t="inlineStr">
        <is>
          <t>Clinic</t>
        </is>
      </c>
      <c r="N141" t="inlineStr">
        <is>
          <t>ข้อ 52 (Pharmtutor_2024_Set2.md)</t>
        </is>
      </c>
    </row>
    <row r="142" ht="13.2" customHeight="1" s="49">
      <c r="A142" t="n">
        <v>140</v>
      </c>
      <c r="B142" t="inlineStr">
        <is>
          <t>amitiptyline</t>
        </is>
      </c>
      <c r="D142" t="inlineStr">
        <is>
          <t>Fluoxetine สถานการณ์ที่ 3 : Gout</t>
        </is>
      </c>
      <c r="E142" t="inlineStr">
        <is>
          <t>ข้อใดไม่ใช้ risk factor</t>
        </is>
      </c>
      <c r="F142" t="inlineStr">
        <is>
          <t>อ้วน</t>
        </is>
      </c>
      <c r="G142" t="inlineStr">
        <is>
          <t>ความดันโลหิตสูง</t>
        </is>
      </c>
      <c r="H142" t="inlineStr">
        <is>
          <t>ดื่มเหล้า</t>
        </is>
      </c>
      <c r="I142" t="inlineStr">
        <is>
          <t>1</t>
        </is>
      </c>
      <c r="J142"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L142" t="inlineStr">
        <is>
          <t>Hypertension</t>
        </is>
      </c>
      <c r="M142" t="inlineStr">
        <is>
          <t>Clinic</t>
        </is>
      </c>
      <c r="N142" t="inlineStr">
        <is>
          <t>ข้อ 1 (PLE_CC1_2556.md)</t>
        </is>
      </c>
    </row>
    <row r="143" ht="13.2" customHeight="1" s="49">
      <c r="A143" t="n">
        <v>141</v>
      </c>
      <c r="B143" t="inlineStr">
        <is>
          <t>กลไกการออกฤทธิ์ของAmitriptyline คือข้อใด</t>
        </is>
      </c>
      <c r="D143" t="inlineStr">
        <is>
          <t>ยับยั้งการทำงานของDA transporter</t>
        </is>
      </c>
      <c r="E143" t="inlineStr">
        <is>
          <t>ยับยั้งการทำงานของNE transporter</t>
        </is>
      </c>
      <c r="F143" t="inlineStr">
        <is>
          <t>ยับยั้งการทำงานของMOA enzyme</t>
        </is>
      </c>
      <c r="G143" t="inlineStr">
        <is>
          <t>กระต้่น5-HT receptor</t>
        </is>
      </c>
      <c r="H143" t="inlineStr">
        <is>
          <t>กระต้่นα2-adrenergic receptor (ข)</t>
        </is>
      </c>
      <c r="I143" t="inlineStr">
        <is>
          <t>1</t>
        </is>
      </c>
      <c r="J143"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3" t="inlineStr">
        <is>
          <t>Hypertension</t>
        </is>
      </c>
      <c r="M143" t="inlineStr">
        <is>
          <t>Clinic</t>
        </is>
      </c>
      <c r="N143" t="inlineStr">
        <is>
          <t>ข้อ 3 (PLE_CC1_2547.md)</t>
        </is>
      </c>
    </row>
    <row r="144" ht="13.2" customHeight="1" s="49">
      <c r="A144" t="n">
        <v>142</v>
      </c>
      <c r="B144" t="inlineStr">
        <is>
          <t>ตุอไปนี้เป็นSide effect ที่เกิดจาการใช้ยาAmitriptyline ยกเว้น</t>
        </is>
      </c>
      <c r="D144" t="inlineStr">
        <is>
          <t>Sedation</t>
        </is>
      </c>
      <c r="E144" t="inlineStr">
        <is>
          <t>Dry mouth</t>
        </is>
      </c>
      <c r="F144" t="inlineStr">
        <is>
          <t>Orthostatic hypotension</t>
        </is>
      </c>
      <c r="G144" t="inlineStr">
        <is>
          <t>Urinary retention</t>
        </is>
      </c>
      <c r="H144" t="inlineStr">
        <is>
          <t>Hyperuriccemia (ง)</t>
        </is>
      </c>
      <c r="I144" t="inlineStr">
        <is>
          <t>1</t>
        </is>
      </c>
      <c r="J144"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4" t="inlineStr">
        <is>
          <t>Hypertension</t>
        </is>
      </c>
      <c r="M144" t="inlineStr">
        <is>
          <t>Clinic</t>
        </is>
      </c>
      <c r="N144" t="inlineStr">
        <is>
          <t>ข้อ 4 (PLE_CC1_2547.md)</t>
        </is>
      </c>
    </row>
    <row r="145" ht="13.2" customHeight="1" s="49">
      <c r="A145" t="n">
        <v>143</v>
      </c>
      <c r="B145" t="inlineStr">
        <is>
          <t>ยา ergotamine ไม่ละลายน้ำ จึงนำมาบรรจุลงใน capsule ซึ่งต้องเติมสารใดเพื่อช่วยในการไหล</t>
        </is>
      </c>
      <c r="D145" t="inlineStr">
        <is>
          <t>Colloidal silica dioxide</t>
        </is>
      </c>
      <c r="E145" t="inlineStr">
        <is>
          <t>Crosscamellose</t>
        </is>
      </c>
      <c r="F145" t="inlineStr">
        <is>
          <t>PVP</t>
        </is>
      </c>
      <c r="G145" t="inlineStr">
        <is>
          <t>Sodium lauryl sulfate</t>
        </is>
      </c>
      <c r="H145" t="inlineStr">
        <is>
          <t>Sodium starch glycolate</t>
        </is>
      </c>
      <c r="I145" t="inlineStr">
        <is>
          <t>1</t>
        </is>
      </c>
      <c r="J145"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t>
        </is>
      </c>
      <c r="L145" t="inlineStr">
        <is>
          <t>Hypertension</t>
        </is>
      </c>
      <c r="M145" t="inlineStr">
        <is>
          <t>Clinic</t>
        </is>
      </c>
      <c r="N145" t="inlineStr">
        <is>
          <t>ข้อ 73 (PLE_CC1_Key_Rx20_UBU.md)</t>
        </is>
      </c>
    </row>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c r="G1" s="51" t="n"/>
      <c r="H1" s="51" t="n"/>
      <c r="I1" s="51" t="n"/>
      <c r="J1" s="51" t="n"/>
      <c r="K1" s="51" t="n"/>
      <c r="L1" s="51" t="n"/>
      <c r="M1" s="51" t="n"/>
      <c r="N1" s="51" t="n"/>
      <c r="O1" s="51" t="n"/>
      <c r="P1" s="51" t="n"/>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8" t="inlineStr">
        <is>
          <t>1</t>
        </is>
      </c>
      <c r="B3"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2" t="n"/>
      <c r="D3" s="2" t="inlineStr">
        <is>
          <t>การรักษาต้องเริ่มให้ยาในขนาดที่สูง</t>
        </is>
      </c>
      <c r="E3" s="2" t="inlineStr">
        <is>
          <t>การรักษาต้องให้ยาต่อเนื่องเป็นเวลา 6-8 สัปดาห์ ในระยะแรก</t>
        </is>
      </c>
      <c r="F3" s="2" t="inlineStr">
        <is>
          <t>เป็นโรคที่ไม่สามารถรักษาให้หายขาดได้</t>
        </is>
      </c>
      <c r="G3" s="2" t="inlineStr">
        <is>
          <t>จะใช้ยากลุ่ม benzodiazepines ในผู้ป่วยซึมเศร้าที่มีอาการนอนไม่หลับร่วมด้วย</t>
        </is>
      </c>
      <c r="H3" s="2" t="inlineStr">
        <is>
          <t>สามารถหยุดใช้ยาได้ทันที</t>
        </is>
      </c>
      <c r="I3" s="8" t="n">
        <v>2</v>
      </c>
      <c r="J3" s="2"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2" t="n"/>
      <c r="L3" s="2" t="inlineStr">
        <is>
          <t>Anxiety/depression</t>
        </is>
      </c>
      <c r="M3" s="2" t="inlineStr">
        <is>
          <t>Clinic</t>
        </is>
      </c>
      <c r="N3" s="2" t="inlineStr">
        <is>
          <t>ข้อ 1 Pharma Plus เล่มม่วง (เฉลยข้อ ข ง)</t>
        </is>
      </c>
      <c r="O3" s="2" t="n"/>
      <c r="P3" s="2" t="n"/>
    </row>
    <row r="4" ht="13.2" customHeight="1" s="49">
      <c r="A4" s="8" t="inlineStr">
        <is>
          <t>2</t>
        </is>
      </c>
      <c r="B4"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2" t="n"/>
      <c r="D4" s="2" t="inlineStr">
        <is>
          <t>ยับยั้ง alpha adrenergic receptor</t>
        </is>
      </c>
      <c r="E4" s="2" t="inlineStr">
        <is>
          <t>ยับยั้ง beta adrenergic receptor</t>
        </is>
      </c>
      <c r="F4" s="2" t="inlineStr">
        <is>
          <t>ยับยั้งการนำ norepinephrine กลับเข้าสู่ปลายประสาท</t>
        </is>
      </c>
      <c r="G4" s="2" t="inlineStr">
        <is>
          <t>ยับยั้งการนำ dopamine กลับเข้าสู่ปลายประสาท</t>
        </is>
      </c>
      <c r="H4" s="2" t="inlineStr">
        <is>
          <t>ยับยั้งการนำ serotonin กลับเข้าสู่ปลายประสาท</t>
        </is>
      </c>
      <c r="I4" s="8" t="n">
        <v>5</v>
      </c>
      <c r="J4" s="2"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2" t="n"/>
      <c r="L4" s="2" t="inlineStr">
        <is>
          <t>Anxiety/depression</t>
        </is>
      </c>
      <c r="M4" s="2" t="inlineStr">
        <is>
          <t>Clinic</t>
        </is>
      </c>
      <c r="N4" s="2" t="inlineStr">
        <is>
          <t>ข้อ 2 Pharma Plus เล่มม่วง (เฉลยข้อ จ)</t>
        </is>
      </c>
      <c r="O4" s="2" t="n"/>
      <c r="P4" s="2" t="n"/>
    </row>
    <row r="5" ht="13.2" customHeight="1" s="49">
      <c r="A5" s="8" t="inlineStr">
        <is>
          <t>3</t>
        </is>
      </c>
      <c r="B5"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2" t="n"/>
      <c r="D5" s="2" t="inlineStr">
        <is>
          <t>Insomnia</t>
        </is>
      </c>
      <c r="E5" s="2" t="inlineStr">
        <is>
          <t>Constipation</t>
        </is>
      </c>
      <c r="F5" s="2" t="inlineStr">
        <is>
          <t>Pancreatitis</t>
        </is>
      </c>
      <c r="G5" s="2" t="inlineStr">
        <is>
          <t>Rhinitis</t>
        </is>
      </c>
      <c r="H5" s="2" t="inlineStr">
        <is>
          <t>Tinnitus</t>
        </is>
      </c>
      <c r="I5" s="8" t="n">
        <v>1</v>
      </c>
      <c r="J5" s="2"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2" t="n"/>
      <c r="L5" s="2" t="inlineStr">
        <is>
          <t>Anxiety/depression</t>
        </is>
      </c>
      <c r="M5" s="2" t="inlineStr">
        <is>
          <t>Clinic</t>
        </is>
      </c>
      <c r="N5" s="2" t="inlineStr">
        <is>
          <t>ข้อ 3 Pharma Plus เล่มม่วง (เฉลยข้อ ก)</t>
        </is>
      </c>
      <c r="O5" s="2" t="n"/>
      <c r="P5" s="2" t="n"/>
    </row>
    <row r="6" ht="13.2" customHeight="1" s="49">
      <c r="A6" s="8" t="inlineStr">
        <is>
          <t>4</t>
        </is>
      </c>
      <c r="B6"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2" t="n"/>
      <c r="D6" s="2" t="inlineStr">
        <is>
          <t>เห็นผลการรักษาเร็ว</t>
        </is>
      </c>
      <c r="E6" s="2" t="inlineStr">
        <is>
          <t>มีผลน้อยต่อระบบหัวใจและหลอดเลือด</t>
        </is>
      </c>
      <c r="F6" s="2" t="inlineStr">
        <is>
          <t>ไม่ต้องปรับขนาดยาบ่อยครั้ง</t>
        </is>
      </c>
      <c r="G6" s="2" t="inlineStr">
        <is>
          <t>มีผลต่อ severe adverse effect เช่น suicidal thought น้อย</t>
        </is>
      </c>
      <c r="H6" s="2" t="inlineStr">
        <is>
          <t>ไม่มี cholinergic effect</t>
        </is>
      </c>
      <c r="I6" s="8" t="n">
        <v>1</v>
      </c>
      <c r="J6" s="2"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2" t="n"/>
      <c r="L6" s="2" t="inlineStr">
        <is>
          <t>Anxiety/depression</t>
        </is>
      </c>
      <c r="M6" s="2" t="inlineStr">
        <is>
          <t>Clinic</t>
        </is>
      </c>
      <c r="N6" s="2" t="inlineStr">
        <is>
          <t>ข้อ 4 Pharma Plus เล่มม่วง (เฉลยข้อ ก)</t>
        </is>
      </c>
      <c r="O6" s="2" t="n"/>
      <c r="P6" s="2" t="n"/>
    </row>
    <row r="7" ht="13.2" customHeight="1" s="49">
      <c r="A7" s="8" t="inlineStr">
        <is>
          <t>5</t>
        </is>
      </c>
      <c r="B7"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2" t="n"/>
      <c r="D7" s="2" t="inlineStr">
        <is>
          <t>ห้ามรับประทานยาร่วมกับนม</t>
        </is>
      </c>
      <c r="E7" s="2" t="inlineStr">
        <is>
          <t>รับประทานยาในช่วงเดียวกันในแต่ละวัน</t>
        </is>
      </c>
      <c r="F7" s="2" t="inlineStr">
        <is>
          <t>ค่อยๆ เปลี่ยนอิริยาบถ</t>
        </is>
      </c>
      <c r="G7" s="2" t="inlineStr">
        <is>
          <t>จำกัดน้ำ</t>
        </is>
      </c>
      <c r="H7" s="2" t="inlineStr">
        <is>
          <t>รับประทานยาก่อนนอน</t>
        </is>
      </c>
      <c r="I7" s="8" t="n">
        <v>2</v>
      </c>
      <c r="J7" s="2"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2" t="n"/>
      <c r="L7" s="2" t="inlineStr">
        <is>
          <t>Anxiety/depression</t>
        </is>
      </c>
      <c r="M7" s="2" t="inlineStr">
        <is>
          <t>Clinic</t>
        </is>
      </c>
      <c r="N7" s="2" t="inlineStr">
        <is>
          <t>ข้อ 5 Pharma Plus เล่มม่วง (เฉลยข้อ ข)</t>
        </is>
      </c>
      <c r="O7" s="2" t="n"/>
      <c r="P7" s="2" t="n"/>
    </row>
    <row r="8" ht="13.2" customHeight="1" s="49">
      <c r="A8" s="8" t="inlineStr">
        <is>
          <t>6</t>
        </is>
      </c>
      <c r="B8" s="2"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2" t="n"/>
      <c r="D8" s="2" t="inlineStr">
        <is>
          <t>Imipramine</t>
        </is>
      </c>
      <c r="E8" s="2" t="inlineStr">
        <is>
          <t>Doxepin</t>
        </is>
      </c>
      <c r="F8" s="2" t="inlineStr">
        <is>
          <t>Phenelzine</t>
        </is>
      </c>
      <c r="G8" s="2" t="inlineStr">
        <is>
          <t>Sertraline</t>
        </is>
      </c>
      <c r="H8" s="2" t="inlineStr">
        <is>
          <t>Carbamazepine</t>
        </is>
      </c>
      <c r="I8" s="8" t="n">
        <v>5</v>
      </c>
      <c r="J8" s="2"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สำหรับรักษาโรคซึมเศร้าและโรควิตกกังวลตามแนวทางเวชปฏิบัติสากล
📖 Guideline อ้างอิง:
ข้อ 6 Pharma Plus เล่มม่วง (เฉลยข้อ จ)
📌 จุดจำก่อนสอบ:
• Anxiety/depression: ศึกษากลไก, ข้อบ่งใช้, และผลข้างเคียงที่สำคัญ</t>
        </is>
      </c>
      <c r="K8" s="2" t="n"/>
      <c r="L8" s="2" t="inlineStr">
        <is>
          <t>Anxiety/depression</t>
        </is>
      </c>
      <c r="M8" s="2" t="inlineStr">
        <is>
          <t>Clinic</t>
        </is>
      </c>
      <c r="N8" s="2" t="inlineStr">
        <is>
          <t>ข้อ 6 Pharma Plus เล่มม่วง (เฉลยข้อ จ)</t>
        </is>
      </c>
      <c r="O8" s="2" t="n"/>
      <c r="P8" s="2" t="n"/>
    </row>
    <row r="9" ht="13.2" customHeight="1" s="49">
      <c r="A9" s="8" t="inlineStr">
        <is>
          <t>7</t>
        </is>
      </c>
      <c r="B9" s="2" t="inlineStr">
        <is>
          <t>ข้อใดผิดในการใช้ยาเพื่อรักษาภาวะซึมเศร้า</t>
        </is>
      </c>
      <c r="C9" s="2" t="n"/>
      <c r="D9" s="2" t="inlineStr">
        <is>
          <t>การสูบบุหรี่ทำให้ฤทธิ์ของ TCA ลดลง</t>
        </is>
      </c>
      <c r="E9" s="2" t="inlineStr">
        <is>
          <t>ผู้ป่วยที่ได้รับยา MAOI ไม่ควรรับประทานอาหารที่มี tyramine สูง เช่น เนย</t>
        </is>
      </c>
      <c r="F9" s="2" t="inlineStr">
        <is>
          <t>ยากลุ่ม SSRI ไม่ควรใช้ร่วมกับยากลุ่ม MAOI</t>
        </is>
      </c>
      <c r="G9" s="2" t="inlineStr">
        <is>
          <t>เมื่อหยุดยา MAOI แล้วสามารถเริ่มใช้ SSRI ได้ทันที</t>
        </is>
      </c>
      <c r="H9" s="2" t="inlineStr">
        <is>
          <t>อาการข้างเคียงของยากลุ่ม TCA คือ ปากแห้ง ตาพร่า แน่นท้อง ท้องผูก</t>
        </is>
      </c>
      <c r="I9" s="8" t="n">
        <v>1</v>
      </c>
      <c r="J9" s="2"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2" t="n"/>
      <c r="L9" s="2" t="inlineStr">
        <is>
          <t>Anxiety/depression</t>
        </is>
      </c>
      <c r="M9" s="2" t="inlineStr">
        <is>
          <t>Clinic</t>
        </is>
      </c>
      <c r="N9" s="2" t="inlineStr">
        <is>
          <t>ข้อ 7 Pharma Plus เล่มม่วง (เฉลยข้อ ก ง)</t>
        </is>
      </c>
      <c r="O9" s="2" t="n"/>
      <c r="P9" s="2" t="n"/>
    </row>
    <row r="10" ht="13.2" customHeight="1" s="49">
      <c r="A10" s="8" t="inlineStr">
        <is>
          <t>8</t>
        </is>
      </c>
      <c r="B10" s="2" t="inlineStr">
        <is>
          <t>St. John's wort ออกฤทธิ์เหมือนยากลุ่มใด</t>
        </is>
      </c>
      <c r="C10" s="2" t="n"/>
      <c r="D10" s="2" t="inlineStr">
        <is>
          <t>MOAI</t>
        </is>
      </c>
      <c r="E10" s="2" t="inlineStr">
        <is>
          <t>BZs</t>
        </is>
      </c>
      <c r="F10" s="2" t="inlineStr">
        <is>
          <t>TCA</t>
        </is>
      </c>
      <c r="G10" s="2" t="inlineStr">
        <is>
          <t>α2 Blocker</t>
        </is>
      </c>
      <c r="H10" s="2" t="inlineStr">
        <is>
          <t>Barbiturates</t>
        </is>
      </c>
      <c r="I10" s="8" t="n">
        <v>3</v>
      </c>
      <c r="J10" s="2"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2" t="n"/>
      <c r="L10" s="2" t="inlineStr">
        <is>
          <t>Anxiety/depression</t>
        </is>
      </c>
      <c r="M10" s="2" t="inlineStr">
        <is>
          <t>Clinic</t>
        </is>
      </c>
      <c r="N10" s="2" t="inlineStr">
        <is>
          <t>ข้อ 8 Pharma Plus เล่มม่วง (เฉลยข้อ ค)</t>
        </is>
      </c>
      <c r="O10" s="2" t="n"/>
      <c r="P10" s="2" t="n"/>
    </row>
    <row r="11" ht="13.2" customHeight="1" s="49">
      <c r="A11" s="8" t="inlineStr">
        <is>
          <t>9</t>
        </is>
      </c>
      <c r="B11" s="2" t="inlineStr">
        <is>
          <t>เพราะเหตุใด St. John's wort จึงทำให้เกิดปฏิกิริยาระหว่างยาหลายกลุ่ม</t>
        </is>
      </c>
      <c r="C11" s="2" t="n"/>
      <c r="D11" s="2" t="inlineStr">
        <is>
          <t>เพิ่มการสร้าง isozyme cytochrome P450</t>
        </is>
      </c>
      <c r="E11" s="2" t="inlineStr">
        <is>
          <t>มีความสามารถในการจับกับรีเซ็ปเตอร์ได้หลายชนิด</t>
        </is>
      </c>
      <c r="F11" s="2" t="inlineStr">
        <is>
          <t>กระตุ้นการจับกับโปรตีนในเลือดหลายชนิด</t>
        </is>
      </c>
      <c r="G11" s="2" t="inlineStr">
        <is>
          <t>สามารถทำปฏิกิริยาทางเคมีโดยตรงกับยาหลายชนิด</t>
        </is>
      </c>
      <c r="H11" s="2" t="inlineStr">
        <is>
          <t>เพิ่มอัตราการขับออกของยาที่ไต</t>
        </is>
      </c>
      <c r="I11" s="8" t="n">
        <v>1</v>
      </c>
      <c r="J11" s="2"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2" t="n"/>
      <c r="L11" s="2" t="inlineStr">
        <is>
          <t>Anxiety/depression</t>
        </is>
      </c>
      <c r="M11" s="2" t="inlineStr">
        <is>
          <t>Clinic</t>
        </is>
      </c>
      <c r="N11" s="2" t="inlineStr">
        <is>
          <t>ข้อ 9 Pharma Plus เล่มม่วง (เฉลยข้อ ก)</t>
        </is>
      </c>
      <c r="O11" s="2" t="n"/>
      <c r="P11" s="2" t="n"/>
    </row>
    <row r="12" ht="13.2" customHeight="1" s="49">
      <c r="A12" s="8" t="inlineStr">
        <is>
          <t>10</t>
        </is>
      </c>
      <c r="B12" s="2" t="inlineStr">
        <is>
          <t>กลไกการออกฤทธิ์ของ amitriptyline คือข้อใด</t>
        </is>
      </c>
      <c r="C12" s="2" t="n"/>
      <c r="D12" s="2" t="inlineStr">
        <is>
          <t>ยับยั้งการทำงานของ DA transporter</t>
        </is>
      </c>
      <c r="E12" s="2" t="inlineStr">
        <is>
          <t>ยับยั้งการ reuptake ของ NE ที่ปลายประสาท</t>
        </is>
      </c>
      <c r="F12" s="2" t="inlineStr">
        <is>
          <t>ยับยั้งการทำงานของ MOA enzyme</t>
        </is>
      </c>
      <c r="G12" s="2" t="inlineStr">
        <is>
          <t>กระตุ้น 5-HT receptor</t>
        </is>
      </c>
      <c r="H12" s="2" t="inlineStr">
        <is>
          <t>กระตุ้น α2-adrenergic receptor</t>
        </is>
      </c>
      <c r="I12" s="8" t="n">
        <v>2</v>
      </c>
      <c r="J12" s="2"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2" t="n"/>
      <c r="L12" s="2" t="inlineStr">
        <is>
          <t>Anxiety/depression</t>
        </is>
      </c>
      <c r="M12" s="2" t="inlineStr">
        <is>
          <t>Clinic</t>
        </is>
      </c>
      <c r="N12" s="2" t="inlineStr">
        <is>
          <t>ข้อ 10 Pharma Plus เล่มม่วง (เฉลยข้อ ข)</t>
        </is>
      </c>
      <c r="O12" s="2" t="n"/>
      <c r="P12" s="2" t="n"/>
    </row>
    <row r="13" ht="13.2" customHeight="1" s="49">
      <c r="A13" s="8" t="inlineStr">
        <is>
          <t>11</t>
        </is>
      </c>
      <c r="B13" s="2" t="inlineStr">
        <is>
          <t>ต่อไปนี้เป็น side effect ที่เกิดจากการใช้ยา amitriptyline ยกเว้น</t>
        </is>
      </c>
      <c r="C13" s="2" t="n"/>
      <c r="D13" s="2" t="inlineStr">
        <is>
          <t>Sedation</t>
        </is>
      </c>
      <c r="E13" s="2" t="inlineStr">
        <is>
          <t>Dry mouth</t>
        </is>
      </c>
      <c r="F13" s="2" t="inlineStr">
        <is>
          <t>Orthostatic hypotension</t>
        </is>
      </c>
      <c r="G13" s="2" t="inlineStr">
        <is>
          <t>Urinary retention</t>
        </is>
      </c>
      <c r="H13" s="2" t="inlineStr">
        <is>
          <t>Hyperuricemia</t>
        </is>
      </c>
      <c r="I13" s="8" t="n">
        <v>5</v>
      </c>
      <c r="J13" s="2"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2" t="n"/>
      <c r="L13" s="2" t="inlineStr">
        <is>
          <t>Anxiety/depression</t>
        </is>
      </c>
      <c r="M13" s="2" t="inlineStr">
        <is>
          <t>Clinic</t>
        </is>
      </c>
      <c r="N13" s="2" t="inlineStr">
        <is>
          <t>ข้อ 11 Pharma Plus เล่มม่วง (เฉลยข้อ จ)</t>
        </is>
      </c>
      <c r="O13" s="2" t="n"/>
      <c r="P13" s="2" t="n"/>
    </row>
    <row r="14" ht="13.2" customHeight="1" s="49">
      <c r="A14" s="8" t="inlineStr">
        <is>
          <t>12</t>
        </is>
      </c>
      <c r="B14" s="2" t="inlineStr">
        <is>
          <t>กลไกการออกฤทธิ์ของ fluoxetine คือข้อใด</t>
        </is>
      </c>
      <c r="C14" s="2" t="n"/>
      <c r="D14" s="2" t="inlineStr">
        <is>
          <t>ยับยั้งการทำงานของ DA transporter</t>
        </is>
      </c>
      <c r="E14" s="2" t="inlineStr">
        <is>
          <t>ยับยั้งการทำงานของ NE transporter</t>
        </is>
      </c>
      <c r="F14" s="2" t="inlineStr">
        <is>
          <t>ยับยั้งการทำงานของ 5-HT transporter</t>
        </is>
      </c>
      <c r="G14" s="2" t="inlineStr">
        <is>
          <t>ยับยั้งการทำงานของ MOA-A enzyme</t>
        </is>
      </c>
      <c r="H14" s="2" t="inlineStr">
        <is>
          <t>ยับยั้งการทำงานของ MOA-B enzyme</t>
        </is>
      </c>
      <c r="I14" s="8" t="n">
        <v>3</v>
      </c>
      <c r="J14" s="2"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2" t="n"/>
      <c r="L14" s="2" t="inlineStr">
        <is>
          <t>Anxiety/depression</t>
        </is>
      </c>
      <c r="M14" s="2" t="inlineStr">
        <is>
          <t>Clinic</t>
        </is>
      </c>
      <c r="N14" s="2" t="inlineStr">
        <is>
          <t>ข้อ 12 Pharma Plus เล่มม่วง (เฉลยข้อ ค)</t>
        </is>
      </c>
      <c r="O14" s="2" t="n"/>
      <c r="P14" s="2" t="n"/>
    </row>
    <row r="15" ht="13.2" customHeight="1" s="49">
      <c r="A15" s="8" t="inlineStr">
        <is>
          <t>13</t>
        </is>
      </c>
      <c r="B15" s="2"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2" t="n"/>
      <c r="D15" s="2" t="inlineStr">
        <is>
          <t>Lithium carbonate</t>
        </is>
      </c>
      <c r="E15" s="2" t="inlineStr">
        <is>
          <t>Clozapine</t>
        </is>
      </c>
      <c r="F15" s="2" t="inlineStr">
        <is>
          <t>Chlorpromazine</t>
        </is>
      </c>
      <c r="G15" s="2" t="inlineStr">
        <is>
          <t>Haloperidol</t>
        </is>
      </c>
      <c r="H15" s="2" t="inlineStr">
        <is>
          <t>Diazepam</t>
        </is>
      </c>
      <c r="I15" s="8" t="n">
        <v>5</v>
      </c>
      <c r="J15" s="2"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2" t="n"/>
      <c r="L15" s="2" t="inlineStr">
        <is>
          <t>Anxiety/depression</t>
        </is>
      </c>
      <c r="M15" s="2" t="inlineStr">
        <is>
          <t>Clinic</t>
        </is>
      </c>
      <c r="N15" s="2" t="inlineStr">
        <is>
          <t>ข้อ 13 Pharma Plus เล่มม่วง (เฉลยข้อ จ)</t>
        </is>
      </c>
      <c r="O15" s="2" t="n"/>
      <c r="P15" s="2" t="n"/>
    </row>
    <row r="16" ht="13.2" customHeight="1" s="49">
      <c r="A16" s="8" t="inlineStr">
        <is>
          <t>14</t>
        </is>
      </c>
      <c r="B16" s="2"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2" t="n"/>
      <c r="D16" s="2" t="inlineStr">
        <is>
          <t>Venlafaxine</t>
        </is>
      </c>
      <c r="E16" s="2" t="inlineStr">
        <is>
          <t>Paroxetine</t>
        </is>
      </c>
      <c r="F16" s="2" t="inlineStr">
        <is>
          <t>Amitriptyline</t>
        </is>
      </c>
      <c r="G16" s="2" t="inlineStr">
        <is>
          <t>Bupropion</t>
        </is>
      </c>
      <c r="H16" s="2" t="inlineStr">
        <is>
          <t>Sertraline</t>
        </is>
      </c>
      <c r="I16" s="8" t="n">
        <v>3</v>
      </c>
      <c r="J16" s="2"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2" t="n"/>
      <c r="L16" s="2" t="inlineStr">
        <is>
          <t>Anxiety/depression</t>
        </is>
      </c>
      <c r="M16" s="2" t="inlineStr">
        <is>
          <t>Clinic</t>
        </is>
      </c>
      <c r="N16" s="2" t="inlineStr">
        <is>
          <t>ข้อ 14 Pharma Plus เล่มม่วง (เฉลยข้อ ค)</t>
        </is>
      </c>
      <c r="O16" s="2" t="n"/>
      <c r="P16" s="2" t="n"/>
    </row>
    <row r="17" ht="13.2" customHeight="1" s="49">
      <c r="A17" s="8" t="inlineStr">
        <is>
          <t>15</t>
        </is>
      </c>
      <c r="B17" s="2"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2" t="n"/>
      <c r="D17" s="2" t="inlineStr">
        <is>
          <t>Imipramine</t>
        </is>
      </c>
      <c r="E17" s="2" t="inlineStr">
        <is>
          <t>Clomipramine</t>
        </is>
      </c>
      <c r="F17" s="2" t="inlineStr">
        <is>
          <t>Amitriptyline</t>
        </is>
      </c>
      <c r="G17" s="2" t="inlineStr">
        <is>
          <t>Doxepin</t>
        </is>
      </c>
      <c r="H17" s="2" t="inlineStr">
        <is>
          <t>Sertraline</t>
        </is>
      </c>
      <c r="I17" s="8" t="n">
        <v>5</v>
      </c>
      <c r="J17" s="2"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2" t="n"/>
      <c r="L17" s="2" t="inlineStr">
        <is>
          <t>Anxiety/depression</t>
        </is>
      </c>
      <c r="M17" s="2" t="inlineStr">
        <is>
          <t>Clinic</t>
        </is>
      </c>
      <c r="N17" s="2" t="inlineStr">
        <is>
          <t>ข้อ 15 Pharma Plus เล่มม่วง (เฉลยข้อ จ)</t>
        </is>
      </c>
      <c r="O17" s="2" t="n"/>
      <c r="P17" s="2" t="n"/>
    </row>
    <row r="18" ht="13.2" customHeight="1" s="49">
      <c r="A18" s="8" t="inlineStr">
        <is>
          <t>16</t>
        </is>
      </c>
      <c r="B18" s="2" t="inlineStr">
        <is>
          <t>คำแนะนำในการใช้ยากลุ่ม antidepressant ที่สำคัญเพื่อช่วยเพิ่มความร่วมมือในการใช้ยาของผู้ป่วย คือ</t>
        </is>
      </c>
      <c r="C18" s="2" t="n"/>
      <c r="D18" s="2" t="inlineStr">
        <is>
          <t>ควรแนะนำให้ผู้ป่วยใช้ยาหลังอาหารเท่านั้นจะได้ไม่ลืมใช้ยา</t>
        </is>
      </c>
      <c r="E18" s="2"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2" t="inlineStr">
        <is>
          <t>ควรแนะนำให้ผู้ป่วยดื่มน้ำมากๆ เพื่อลดการระคายเคืองกระเพาะอาหาร</t>
        </is>
      </c>
      <c r="G18" s="2" t="inlineStr">
        <is>
          <t>ควรแนะนำการเพิ่มและลดขนาดยาให้ผู้ป่วยเพื่อให้ผู้ป่วยสามารถปรับขนาดยาได้เองตามอาการ</t>
        </is>
      </c>
      <c r="H18" s="2" t="inlineStr">
        <is>
          <t>ควรแนะนำให้ผู้ป่วยหยุดยาทันทีเมื่อเกิดอาการข้างเคียง เช่น นอนไม่หลับ</t>
        </is>
      </c>
      <c r="I18" s="8" t="n">
        <v>2</v>
      </c>
      <c r="J18" s="2"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2" t="n"/>
      <c r="L18" s="2" t="inlineStr">
        <is>
          <t>Anxiety/depression</t>
        </is>
      </c>
      <c r="M18" s="2" t="inlineStr">
        <is>
          <t>Clinic</t>
        </is>
      </c>
      <c r="N18" s="2" t="inlineStr">
        <is>
          <t>ข้อ 16 Pharma Plus เล่มม่วง (เฉลยข้อ ข)</t>
        </is>
      </c>
      <c r="O18" s="2" t="n"/>
      <c r="P18" s="2" t="n"/>
    </row>
    <row r="19" ht="13.2" customHeight="1" s="49">
      <c r="A19" s="8" t="inlineStr">
        <is>
          <t>17</t>
        </is>
      </c>
      <c r="B19" s="2"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2" t="n"/>
      <c r="D19" s="2" t="inlineStr">
        <is>
          <t>สามารถหยุดได้ทันทีโดยไม่ต้องปรับเปลี่ยนขนาดยาใหม่</t>
        </is>
      </c>
      <c r="E19" s="2" t="inlineStr">
        <is>
          <t>ให้ triazolam ก่อนแล้วค่อยๆ ลดขนาดยาที่ผู้ป่วยรับอยู่สัปดาห์ละ 25% ของขนาดยาที่ให้ผลรักษา</t>
        </is>
      </c>
      <c r="F19" s="2" t="inlineStr">
        <is>
          <t>ให้ olanzapine ก่อนแล้วค่อยๆ บดขนาดยาที่ผู้ป่วยได้รับอยู่สัปดาห์ละ 75% ของยาที่ให้ผลรักษา</t>
        </is>
      </c>
      <c r="G19" s="2" t="inlineStr">
        <is>
          <t>ค่อยๆ ลดขนาดยาที่ผู้ป่วยได้รับอยู่สัปดาห์ละ 25% ของขนาดยาที่ให้ผลในการรักษา</t>
        </is>
      </c>
      <c r="H19" s="2" t="inlineStr">
        <is>
          <t>ให้ผู้ป่วยรับประทานยาที่ได้รับต่อไปอีก 1 สัปดาห์ จากนั้นจึงสามารถหยุดยาได้ทันที</t>
        </is>
      </c>
      <c r="I19" s="8" t="n">
        <v>4</v>
      </c>
      <c r="J19" s="2"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2" t="n"/>
      <c r="L19" s="2" t="inlineStr">
        <is>
          <t>Anxiety/depression</t>
        </is>
      </c>
      <c r="M19" s="2" t="inlineStr">
        <is>
          <t>Clinic</t>
        </is>
      </c>
      <c r="N19" s="2" t="inlineStr">
        <is>
          <t>ข้อ 17 Pharma Plus เล่มม่วง (เฉลยข้อ ง)</t>
        </is>
      </c>
      <c r="O19" s="2" t="n"/>
      <c r="P19" s="2" t="n"/>
    </row>
    <row r="20" ht="13.2" customHeight="1" s="49">
      <c r="A20" s="8" t="inlineStr">
        <is>
          <t>18</t>
        </is>
      </c>
      <c r="B20" s="2"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2" t="n"/>
      <c r="D20" s="2" t="inlineStr">
        <is>
          <t>Clonazepam</t>
        </is>
      </c>
      <c r="E20" s="2" t="inlineStr">
        <is>
          <t>Diazepam</t>
        </is>
      </c>
      <c r="F20" s="2" t="inlineStr">
        <is>
          <t>Flunitrazepam</t>
        </is>
      </c>
      <c r="G20" s="2" t="inlineStr">
        <is>
          <t>Lorazepam</t>
        </is>
      </c>
      <c r="H20" s="2" t="inlineStr">
        <is>
          <t>Temazepam</t>
        </is>
      </c>
      <c r="I20" s="8" t="n">
        <v>5</v>
      </c>
      <c r="J20" s="2"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2" t="n"/>
      <c r="L20" s="2" t="inlineStr">
        <is>
          <t>Insomnia</t>
        </is>
      </c>
      <c r="M20" s="2" t="inlineStr">
        <is>
          <t>Clinic</t>
        </is>
      </c>
      <c r="N20" s="2" t="inlineStr">
        <is>
          <t>ข้อ 18 Pharma Plus เล่มม่วง (เฉลยข้อ จ)</t>
        </is>
      </c>
      <c r="O20" s="2" t="n"/>
      <c r="P20" s="2" t="n"/>
    </row>
    <row r="21" ht="13.2" customHeight="1" s="49">
      <c r="A21" s="8" t="inlineStr">
        <is>
          <t>19</t>
        </is>
      </c>
      <c r="B21" s="2" t="inlineStr">
        <is>
          <t>กลไการออกฤทธิ์ของยากลุ่ม benzodiazepine คือ</t>
        </is>
      </c>
      <c r="C21" s="2" t="n"/>
      <c r="D21" s="2" t="inlineStr">
        <is>
          <t>กระตุ้น 5-HT receptor</t>
        </is>
      </c>
      <c r="E21" s="2" t="inlineStr">
        <is>
          <t>กระตุ้น dopamine receptor</t>
        </is>
      </c>
      <c r="F21" s="2" t="inlineStr">
        <is>
          <t>กระตุ้น GABA receptor</t>
        </is>
      </c>
      <c r="G21" s="2" t="inlineStr">
        <is>
          <t>กระตุ้น glutamate receptor</t>
        </is>
      </c>
      <c r="H21" s="2" t="inlineStr">
        <is>
          <t>กระตุ้น muscarinic receptor</t>
        </is>
      </c>
      <c r="I21" s="8" t="n">
        <v>3</v>
      </c>
      <c r="J21" s="2"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2" t="n"/>
      <c r="L21" s="2" t="inlineStr">
        <is>
          <t>Anxiety/depression</t>
        </is>
      </c>
      <c r="M21" s="2" t="inlineStr">
        <is>
          <t>Clinic</t>
        </is>
      </c>
      <c r="N21" s="2" t="inlineStr">
        <is>
          <t>ข้อ 19 Pharma Plus เล่มม่วง (เฉลยข้อ ค)</t>
        </is>
      </c>
      <c r="O21" s="2" t="n"/>
      <c r="P21" s="2" t="n"/>
    </row>
    <row r="22" ht="13.2" customHeight="1" s="49">
      <c r="A22" s="8" t="inlineStr">
        <is>
          <t>20</t>
        </is>
      </c>
      <c r="B22" s="2" t="inlineStr">
        <is>
          <t>Benzodiazepine ไม่ใช้ในการรักษาใด</t>
        </is>
      </c>
      <c r="C22" s="2" t="n"/>
      <c r="D22" s="2" t="inlineStr">
        <is>
          <t>Anxiety</t>
        </is>
      </c>
      <c r="E22" s="2" t="inlineStr">
        <is>
          <t>OCD</t>
        </is>
      </c>
      <c r="F22" s="2" t="inlineStr">
        <is>
          <t>Epilepsy</t>
        </is>
      </c>
      <c r="G22" s="2" t="inlineStr">
        <is>
          <t>Muscle spasm</t>
        </is>
      </c>
      <c r="H22" s="2" t="inlineStr">
        <is>
          <t>Alcohol withdrawal</t>
        </is>
      </c>
      <c r="I22" s="8" t="n">
        <v>2</v>
      </c>
      <c r="J22" s="2"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2" t="n"/>
      <c r="L22" s="2" t="inlineStr">
        <is>
          <t>Anxiety/depression</t>
        </is>
      </c>
      <c r="M22" s="2" t="inlineStr">
        <is>
          <t>Clinic</t>
        </is>
      </c>
      <c r="N22" s="2" t="inlineStr">
        <is>
          <t>ข้อ 20 Pharma Plus เล่มม่วง (เฉลยข้อ ข)</t>
        </is>
      </c>
      <c r="O22" s="2" t="n"/>
      <c r="P22" s="2" t="n"/>
    </row>
    <row r="23" ht="13.2" customHeight="1" s="49">
      <c r="A23" s="8" t="inlineStr">
        <is>
          <t>21</t>
        </is>
      </c>
      <c r="B23" s="2" t="inlineStr">
        <is>
          <t>อาการไม่พึงประสงค์ของ benzodiazepine คือ</t>
        </is>
      </c>
      <c r="C23" s="2" t="n"/>
      <c r="D23" s="2" t="inlineStr">
        <is>
          <t>ชัก</t>
        </is>
      </c>
      <c r="E23" s="2" t="inlineStr">
        <is>
          <t>Anterograde amnesia</t>
        </is>
      </c>
      <c r="F23" s="2" t="inlineStr">
        <is>
          <t>สั่น</t>
        </is>
      </c>
      <c r="G23" s="2" t="inlineStr">
        <is>
          <t>ปากแห้ง</t>
        </is>
      </c>
      <c r="H23" s="2" t="inlineStr">
        <is>
          <t>ปวดศีรษะ</t>
        </is>
      </c>
      <c r="I23" s="8" t="n">
        <v>2</v>
      </c>
      <c r="J23" s="2"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2" t="n"/>
      <c r="L23" s="2" t="inlineStr">
        <is>
          <t>Anxiety/depression</t>
        </is>
      </c>
      <c r="M23" s="2" t="inlineStr">
        <is>
          <t>Clinic</t>
        </is>
      </c>
      <c r="N23" s="2" t="inlineStr">
        <is>
          <t>ข้อ 21 Pharma Plus เล่มม่วง (เฉลยข้อ ข)</t>
        </is>
      </c>
      <c r="O23" s="2" t="n"/>
      <c r="P23" s="2" t="n"/>
    </row>
    <row r="24" ht="13.2" customHeight="1" s="49">
      <c r="A24" s="8" t="inlineStr">
        <is>
          <t>22</t>
        </is>
      </c>
      <c r="B24" s="2" t="inlineStr">
        <is>
          <t>ข้อใดไม่ถูกต้องเกี่ยวกับ benzodiazepine</t>
        </is>
      </c>
      <c r="C24" s="2" t="n"/>
      <c r="D24" s="2" t="inlineStr">
        <is>
          <t>ประสิทธิผลเท่ากัน diazepam มีราคาถูกกว่า แต่ประสิทธิผลดี</t>
        </is>
      </c>
      <c r="E24" s="2" t="inlineStr">
        <is>
          <t>[NEED_REVIEW]</t>
        </is>
      </c>
      <c r="F24" s="2" t="inlineStr">
        <is>
          <t>ยาออกฤทธิ์ต่อจิตประสาท แต่ปลอดภัยมี therapeutic index กว้าง</t>
        </is>
      </c>
      <c r="G24" s="2" t="inlineStr">
        <is>
          <t>ใช้ยาในขนาดสูงเป็นเวลานาน ค่อยๆลดขนาดยาลงใน 1-2 สัปดาห์</t>
        </is>
      </c>
      <c r="H24" s="2" t="inlineStr">
        <is>
          <t>สามารถหยุดยาได้ทันที</t>
        </is>
      </c>
      <c r="I24" s="8" t="n">
        <v>5</v>
      </c>
      <c r="J24" s="2"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2" t="n"/>
      <c r="L24" s="2" t="inlineStr">
        <is>
          <t>Anxiety/depression</t>
        </is>
      </c>
      <c r="M24" s="2" t="inlineStr">
        <is>
          <t>Clinic</t>
        </is>
      </c>
      <c r="N24" s="2" t="inlineStr">
        <is>
          <t>ข้อ 22 Pharma Plus เล่มม่วง (เฉลยข้อ จ)</t>
        </is>
      </c>
      <c r="O24" s="2" t="n"/>
      <c r="P24" s="2" t="n"/>
    </row>
    <row r="25" ht="13.2" customHeight="1" s="49">
      <c r="A25" s="8" t="inlineStr">
        <is>
          <t>23</t>
        </is>
      </c>
      <c r="B25" s="2" t="inlineStr">
        <is>
          <t>หากใช้ยากลุ่ม benzodiazepine พร้อมกับ alcohol จะเกิดผลอย่างไร</t>
        </is>
      </c>
      <c r="C25" s="2" t="n"/>
      <c r="D25" s="2" t="inlineStr">
        <is>
          <t>Flu-like symptoms</t>
        </is>
      </c>
      <c r="E25" s="2" t="inlineStr">
        <is>
          <t>Vasodilation</t>
        </is>
      </c>
      <c r="F25" s="2" t="inlineStr">
        <is>
          <t>เพิ่ม half life ของยา</t>
        </is>
      </c>
      <c r="G25" s="2" t="inlineStr">
        <is>
          <t>Respiratory depressions</t>
        </is>
      </c>
      <c r="H25" s="2" t="inlineStr">
        <is>
          <t>Vomiting</t>
        </is>
      </c>
      <c r="I25" s="8" t="n">
        <v>4</v>
      </c>
      <c r="J25" s="2"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2" t="n"/>
      <c r="L25" s="2" t="inlineStr">
        <is>
          <t>Drug &amp; alcohol abuse</t>
        </is>
      </c>
      <c r="M25" s="2" t="inlineStr">
        <is>
          <t>Clinic</t>
        </is>
      </c>
      <c r="N25" s="2" t="inlineStr">
        <is>
          <t>ข้อ 23 Pharma Plus เล่มม่วง (เฉลยข้อ ง)</t>
        </is>
      </c>
      <c r="O25" s="2" t="n"/>
      <c r="P25" s="2" t="n"/>
    </row>
    <row r="26" ht="13.2" customHeight="1" s="49">
      <c r="A26" s="8" t="inlineStr">
        <is>
          <t>24</t>
        </is>
      </c>
      <c r="B26" s="2" t="inlineStr">
        <is>
          <t>ข้อใดถูกต้องเกี่ยวกับการใช้ยาในกลุ่ม benzodiazepine เป็นเวลานาน</t>
        </is>
      </c>
      <c r="C26" s="2" t="n"/>
      <c r="D26" s="2" t="inlineStr">
        <is>
          <t>สามารถหยุดยาได้ทันที</t>
        </is>
      </c>
      <c r="E26" s="2" t="inlineStr">
        <is>
          <t>หากจะหยุดยา ให้รับประทานต่อในขนาดเดิมอีก 10 วัน แล้วจึงหยุดยา</t>
        </is>
      </c>
      <c r="F26" s="2" t="inlineStr">
        <is>
          <t>หากจะหยุดยา ให้รับประทานต่อในขนาดลดลงครึ่งหนึ่งอีก 10 วัน แล้วจึงหยุดยา</t>
        </is>
      </c>
      <c r="G26" s="2" t="inlineStr">
        <is>
          <t>หากจะหยุดยา ให้ลดขนาดยาลง 25% ทุกๆ 3-7 วัน</t>
        </is>
      </c>
      <c r="H26" s="2" t="inlineStr">
        <is>
          <t>ทำให้ติดยาทางใจ</t>
        </is>
      </c>
      <c r="I26" s="8" t="n">
        <v>4</v>
      </c>
      <c r="J26" s="2"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2" t="n"/>
      <c r="L26" s="2" t="inlineStr">
        <is>
          <t>Anxiety/depression</t>
        </is>
      </c>
      <c r="M26" s="2" t="inlineStr">
        <is>
          <t>Clinic</t>
        </is>
      </c>
      <c r="N26" s="2" t="inlineStr">
        <is>
          <t>ข้อ 24 Pharma Plus เล่มม่วง (เฉลยข้อ ง)</t>
        </is>
      </c>
      <c r="O26" s="2" t="n"/>
      <c r="P26" s="2" t="n"/>
    </row>
    <row r="27" ht="13.2" customHeight="1" s="49">
      <c r="A27" s="8" t="inlineStr">
        <is>
          <t>25</t>
        </is>
      </c>
      <c r="B27"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2" t="n"/>
      <c r="D27" s="2" t="inlineStr">
        <is>
          <t>มีอาการทาง negative symptoms</t>
        </is>
      </c>
      <c r="E27" s="2" t="inlineStr">
        <is>
          <t>เกิดจากความผิดปกติของสารสื่อประสาท เช่น dopamine ซึ่งเชื่อว่าอาจเกี่ยวข้องกับพันธุกรรมด้วย</t>
        </is>
      </c>
      <c r="F27" s="2" t="inlineStr">
        <is>
          <t>จำเป็นต้องรักษาสภาพจิตใจร่วมด้วย</t>
        </is>
      </c>
      <c r="G27" s="2" t="inlineStr">
        <is>
          <t>เกิดจากความผิดปกติที่ nigrostriatal tract/extrapyramidal pathway</t>
        </is>
      </c>
      <c r="H27" s="2" t="inlineStr">
        <is>
          <t>มีจำนวนของ D-receptor เพิ่มมากขึ้น</t>
        </is>
      </c>
      <c r="I27" s="8" t="n">
        <v>4</v>
      </c>
      <c r="J27" s="2"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2" t="n"/>
      <c r="L27" s="2" t="inlineStr">
        <is>
          <t>Anxiety/depression</t>
        </is>
      </c>
      <c r="M27" s="2" t="inlineStr">
        <is>
          <t>Clinic</t>
        </is>
      </c>
      <c r="N27" s="2" t="inlineStr">
        <is>
          <t>ข้อ 25 Pharma Plus เล่มม่วง (เฉลยข้อ ง)</t>
        </is>
      </c>
      <c r="O27" s="2" t="n"/>
      <c r="P27" s="2" t="n"/>
    </row>
    <row r="28" ht="13.2" customHeight="1" s="49">
      <c r="A28" s="8" t="inlineStr">
        <is>
          <t>26</t>
        </is>
      </c>
      <c r="B28"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2" t="n"/>
      <c r="D28" s="2" t="inlineStr">
        <is>
          <t>Haloperidol, Clozapine</t>
        </is>
      </c>
      <c r="E28" s="2" t="inlineStr">
        <is>
          <t>Chlorpromazine, Clozapine</t>
        </is>
      </c>
      <c r="F28" s="2" t="inlineStr">
        <is>
          <t>Risperidone, Quetiapine</t>
        </is>
      </c>
      <c r="G28" s="2" t="inlineStr">
        <is>
          <t>Thioridazine, Fluphenazine</t>
        </is>
      </c>
      <c r="H28" s="2" t="inlineStr">
        <is>
          <t>Perphenazine, Olanzapine</t>
        </is>
      </c>
      <c r="I28" s="8" t="n">
        <v>1</v>
      </c>
      <c r="J28" s="2"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2" t="n"/>
      <c r="L28" s="2" t="inlineStr">
        <is>
          <t>Anxiety/depression</t>
        </is>
      </c>
      <c r="M28" s="2" t="inlineStr">
        <is>
          <t>Clinic</t>
        </is>
      </c>
      <c r="N28" s="2" t="inlineStr">
        <is>
          <t>ข้อ 26 Pharma Plus เล่มม่วง (เฉลยข้อ )</t>
        </is>
      </c>
      <c r="O28" s="2" t="n"/>
      <c r="P28" s="2" t="n"/>
    </row>
    <row r="29" ht="13.2" customHeight="1" s="49">
      <c r="A29" s="8" t="inlineStr">
        <is>
          <t>27</t>
        </is>
      </c>
      <c r="B29"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2" t="n"/>
      <c r="D29" s="2" t="inlineStr">
        <is>
          <t>Agranulocytosis</t>
        </is>
      </c>
      <c r="E29" s="2" t="inlineStr">
        <is>
          <t>Weight loss</t>
        </is>
      </c>
      <c r="F29" s="2" t="inlineStr">
        <is>
          <t>Orthostatic hypotension</t>
        </is>
      </c>
      <c r="G29" s="2" t="inlineStr">
        <is>
          <t>Sedative</t>
        </is>
      </c>
      <c r="H29" s="2" t="inlineStr">
        <is>
          <t>Potential QT-prolongation</t>
        </is>
      </c>
      <c r="I29" s="8" t="n">
        <v>2</v>
      </c>
      <c r="J29" s="2"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2" t="n"/>
      <c r="L29" s="2" t="inlineStr">
        <is>
          <t>Anxiety/depression</t>
        </is>
      </c>
      <c r="M29" s="2" t="inlineStr">
        <is>
          <t>Clinic</t>
        </is>
      </c>
      <c r="N29" s="2" t="inlineStr">
        <is>
          <t>ข้อ 27 Pharma Plus เล่มม่วง (เฉลยข้อ ข)</t>
        </is>
      </c>
      <c r="O29" s="2" t="n"/>
      <c r="P29" s="2" t="n"/>
    </row>
    <row r="30" ht="13.2" customHeight="1" s="49">
      <c r="A30" s="8" t="inlineStr">
        <is>
          <t>28</t>
        </is>
      </c>
      <c r="B30" s="2" t="inlineStr">
        <is>
          <t>ข้อมูลเพิ่มเติม: เดิมผู้ป่วยรักษาด้วยยา haloperidol มานานจนกระทั่งตรวจพบว่าเกิดภาวะ pseudo-parkinsonism ขึ้น
ข้อใดผิด</t>
        </is>
      </c>
      <c r="C30" s="2" t="n"/>
      <c r="D30" s="2" t="inlineStr">
        <is>
          <t>เกิดจากการใช้ยากลุ่ม conventional antipsychotic</t>
        </is>
      </c>
      <c r="E30" s="2" t="inlineStr">
        <is>
          <t>สามารถรักษาได้ด้วยการใช้ trihexyphenidyl</t>
        </is>
      </c>
      <c r="F30" s="2" t="inlineStr">
        <is>
          <t>ผู้ป่วยอาจมีอาการ tremor, akathisia, tardive dyskinesia ร่วมด้วยได้</t>
        </is>
      </c>
      <c r="G30" s="2" t="inlineStr">
        <is>
          <t>มักเกิดในช่วง 5-90 วัน หลังจากเริ่มใช้ยา</t>
        </is>
      </c>
      <c r="H30" s="2" t="inlineStr">
        <is>
          <t>เกี่ยวข้องกับ dopamine และ NE</t>
        </is>
      </c>
      <c r="I30" s="8" t="n">
        <v>5</v>
      </c>
      <c r="J30" s="2"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2" t="n"/>
      <c r="L30" s="2" t="inlineStr">
        <is>
          <t>Anxiety/depression</t>
        </is>
      </c>
      <c r="M30" s="2" t="inlineStr">
        <is>
          <t>Clinic</t>
        </is>
      </c>
      <c r="N30" s="2" t="inlineStr">
        <is>
          <t>ข้อ 28 Pharma Plus เล่มม่วง (เฉลยข้อ จ)</t>
        </is>
      </c>
      <c r="O30" s="2" t="n"/>
      <c r="P30" s="2" t="n"/>
    </row>
    <row r="31" ht="13.2" customHeight="1" s="49">
      <c r="A31" s="8" t="inlineStr">
        <is>
          <t>29</t>
        </is>
      </c>
      <c r="B31" s="2" t="inlineStr">
        <is>
          <t>Lorazepam มีฤทธิ์ต่างๆ ต่อไปนี้นยกเว้น</t>
        </is>
      </c>
      <c r="C31" s="2" t="n"/>
      <c r="D31" s="2" t="inlineStr">
        <is>
          <t>Hypnotic effect</t>
        </is>
      </c>
      <c r="E31" s="2" t="inlineStr">
        <is>
          <t>Muscle relaxant effect</t>
        </is>
      </c>
      <c r="F31" s="2" t="inlineStr">
        <is>
          <t>Anticonvulsant effect</t>
        </is>
      </c>
      <c r="G31" s="2" t="inlineStr">
        <is>
          <t>Antianxiety effect</t>
        </is>
      </c>
      <c r="H31" s="2" t="inlineStr">
        <is>
          <t>Antidepressant effect</t>
        </is>
      </c>
      <c r="I31" s="8" t="n">
        <v>5</v>
      </c>
      <c r="J31" s="2"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2" t="n"/>
      <c r="L31" s="2" t="inlineStr">
        <is>
          <t>Insomnia</t>
        </is>
      </c>
      <c r="M31" s="2" t="inlineStr">
        <is>
          <t>Clinic</t>
        </is>
      </c>
      <c r="N31" s="2" t="inlineStr">
        <is>
          <t>ข้อ 29 Pharma Plus เล่มม่วง (เฉลยข้อ จ)</t>
        </is>
      </c>
      <c r="O31" s="2" t="n"/>
      <c r="P31" s="2" t="n"/>
    </row>
    <row r="32" ht="13.2" customHeight="1" s="49">
      <c r="A32" s="8" t="inlineStr">
        <is>
          <t>30</t>
        </is>
      </c>
      <c r="B32" s="2" t="inlineStr">
        <is>
          <t>ข้อใดต่อไปเกี่ยวกับ lorazepam ผิด</t>
        </is>
      </c>
      <c r="C32" s="2" t="n"/>
      <c r="D32" s="2" t="inlineStr">
        <is>
          <t>ออกฤทธิ์โดยกระตุ้น GABA receptor</t>
        </is>
      </c>
      <c r="E32" s="2" t="inlineStr">
        <is>
          <t>Overdose ของ lorazepam สามารถใช้ flumazenil ซึ่งเป็น antidote รักษาได้</t>
        </is>
      </c>
      <c r="F32" s="2" t="inlineStr">
        <is>
          <t>ถ้าใช้เป็นระยะเวลานานแล้วหยุดยา จะก่อให้เกิดให้อาการถอนยาได้</t>
        </is>
      </c>
      <c r="G32" s="2" t="inlineStr">
        <is>
          <t>เป็น Hepatic drug metabolizing enzyme inducer</t>
        </is>
      </c>
      <c r="H32" s="2" t="inlineStr">
        <is>
          <t>ไม่ก่อให้เกิด "hangover effect" ได้มากเหมือน diazepam</t>
        </is>
      </c>
      <c r="I32" s="8" t="n">
        <v>4</v>
      </c>
      <c r="J32" s="2"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2" t="n"/>
      <c r="L32" s="2" t="inlineStr">
        <is>
          <t>Insomnia</t>
        </is>
      </c>
      <c r="M32" s="2" t="inlineStr">
        <is>
          <t>Clinic</t>
        </is>
      </c>
      <c r="N32" s="2" t="inlineStr">
        <is>
          <t>ข้อ 30 Pharma Plus เล่มม่วง (เฉลยข้อ ง)</t>
        </is>
      </c>
      <c r="O32" s="2" t="n"/>
      <c r="P32" s="2" t="n"/>
    </row>
    <row r="33" ht="13.2" customHeight="1" s="49">
      <c r="A33" s="8" t="inlineStr">
        <is>
          <t>31</t>
        </is>
      </c>
      <c r="B33" s="2" t="inlineStr">
        <is>
          <t>ชายไทยคู่ อายุ 65 ปี ได้รับการวินิจฉัยจากแพทย์ว่ามีภาวะ insomnia
ยาในข้อใดต่อไปนี้ไม่ใช่ยาที่ใช้ในการรักษาภาวะ insomnia</t>
        </is>
      </c>
      <c r="C33" s="2" t="n"/>
      <c r="D33" s="2" t="inlineStr">
        <is>
          <t>CPM</t>
        </is>
      </c>
      <c r="E33" s="2" t="inlineStr">
        <is>
          <t>Phenobarbital</t>
        </is>
      </c>
      <c r="F33" s="2" t="inlineStr">
        <is>
          <t>Chloral hydrate</t>
        </is>
      </c>
      <c r="G33" s="2" t="inlineStr">
        <is>
          <t>Clonazepam</t>
        </is>
      </c>
      <c r="H33" s="2" t="inlineStr">
        <is>
          <t>Haloperidol</t>
        </is>
      </c>
      <c r="I33" s="8" t="n">
        <v>5</v>
      </c>
      <c r="J33" s="2"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2" t="n"/>
      <c r="L33" s="2" t="inlineStr">
        <is>
          <t>Insomnia</t>
        </is>
      </c>
      <c r="M33" s="2" t="inlineStr">
        <is>
          <t>Clinic</t>
        </is>
      </c>
      <c r="N33" s="2" t="inlineStr">
        <is>
          <t>ข้อ 31 Pharma Plus เล่มม่วง (เฉลยข้อ จ)</t>
        </is>
      </c>
      <c r="O33" s="2" t="n"/>
      <c r="P33" s="2" t="n"/>
    </row>
    <row r="34" ht="13.2" customHeight="1" s="49">
      <c r="A34" s="8" t="inlineStr">
        <is>
          <t>32</t>
        </is>
      </c>
      <c r="B34" s="2" t="inlineStr">
        <is>
          <t>ในกรณีที่ผู้ป่วยมีปัญหานอนหลับยาก (ต้องใช้เวลานานกว่าจะหลับ) ควรเลือกใช้ยาในข้อใดต่อไปนี้</t>
        </is>
      </c>
      <c r="C34" s="2" t="n"/>
      <c r="D34" s="2" t="inlineStr">
        <is>
          <t>Midazolam</t>
        </is>
      </c>
      <c r="E34" s="2" t="inlineStr">
        <is>
          <t>Temazepam</t>
        </is>
      </c>
      <c r="F34" s="2" t="inlineStr">
        <is>
          <t>Lorazepam</t>
        </is>
      </c>
      <c r="G34" s="2" t="inlineStr">
        <is>
          <t>Diazepam</t>
        </is>
      </c>
      <c r="H34" s="2" t="inlineStr">
        <is>
          <t>Flurazepam</t>
        </is>
      </c>
      <c r="I34" s="8" t="n">
        <v>1</v>
      </c>
      <c r="J34" s="2"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2" t="n"/>
      <c r="L34" s="2" t="inlineStr">
        <is>
          <t>Insomnia</t>
        </is>
      </c>
      <c r="M34" s="2" t="inlineStr">
        <is>
          <t>Clinic</t>
        </is>
      </c>
      <c r="N34" s="2" t="inlineStr">
        <is>
          <t>ข้อ 32 Pharma Plus เล่มม่วง (เฉลยข้อ ก ข)</t>
        </is>
      </c>
      <c r="O34" s="2" t="n"/>
      <c r="P34" s="2" t="n"/>
    </row>
    <row r="35" ht="13.2" customHeight="1" s="49">
      <c r="A35" s="8" t="inlineStr">
        <is>
          <t>33</t>
        </is>
      </c>
      <c r="B35" s="2" t="inlineStr">
        <is>
          <t>ข้อใดต่อไปนี้ไม่ใช่ประโยชน์ของการใช้ยากลุ่ม BZD ในทางคลินิก</t>
        </is>
      </c>
      <c r="C35" s="2" t="n"/>
      <c r="D35" s="2" t="inlineStr">
        <is>
          <t>ใช้เป็นยานอนหลับ</t>
        </is>
      </c>
      <c r="E35" s="2" t="inlineStr">
        <is>
          <t>ใช้เป็นยาคลายกังวล</t>
        </is>
      </c>
      <c r="F35" s="2" t="inlineStr">
        <is>
          <t>ใช้เป็นยาคลายกล้ามเนื้อ</t>
        </is>
      </c>
      <c r="G35" s="2" t="inlineStr">
        <is>
          <t>ใช้เป็นยากันชัก</t>
        </is>
      </c>
      <c r="H35" s="2" t="inlineStr">
        <is>
          <t>ใช้เป็นยาสลบ</t>
        </is>
      </c>
      <c r="I35" s="8" t="n">
        <v>5</v>
      </c>
      <c r="J35" s="2"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2" t="n"/>
      <c r="L35" s="2" t="inlineStr">
        <is>
          <t>Insomnia</t>
        </is>
      </c>
      <c r="M35" s="2" t="inlineStr">
        <is>
          <t>Clinic</t>
        </is>
      </c>
      <c r="N35" s="2" t="inlineStr">
        <is>
          <t>ข้อ 33 Pharma Plus เล่มม่วง (เฉลยข้อ จ)</t>
        </is>
      </c>
      <c r="O35" s="2" t="n"/>
      <c r="P35" s="2" t="n"/>
    </row>
    <row r="36" ht="13.2" customHeight="1" s="49">
      <c r="A36" s="8" t="inlineStr">
        <is>
          <t>35</t>
        </is>
      </c>
      <c r="B36" s="2" t="inlineStr">
        <is>
          <t>ข้อใดไม่ใช่เกณฑ์ในการวินิจฉัยภาวะนอนไม่หลับตาม DSM5 (ไม่แน่ใจ)</t>
        </is>
      </c>
      <c r="C36" s="2" t="n"/>
      <c r="D36" s="2" t="inlineStr">
        <is>
          <t>ต้องกินกาแฟเพิ่ม 3-4 แก้ว</t>
        </is>
      </c>
      <c r="E36" s="2" t="inlineStr">
        <is>
          <t>ถ้าหลับได้จะหลับสนิท</t>
        </is>
      </c>
      <c r="F36" s="2" t="inlineStr">
        <is>
          <t>ต้องกินเหล้า 1 ขวดให้หลับ</t>
        </is>
      </c>
      <c r="G36" s="2" t="inlineStr">
        <is>
          <t>ง่วงตอนกลางวัน</t>
        </is>
      </c>
      <c r="H36" s="2" t="inlineStr">
        <is>
          <t>หลับตอนประชุม/ติดไฟแดง</t>
        </is>
      </c>
      <c r="I36" s="8" t="n">
        <v>1</v>
      </c>
      <c r="J36" s="2" t="inlineStr">
        <is>
          <t>✅ คำตอบที่ถูกต้อง: ข้อ ก. ต้องกินกาแฟเพิ่ม 3-4 แก้ว
💡 Background:
Insomnia
🎯 ทำไมข้อนี้ถึงถูก:
ต้องกินกาแฟเพิ่ม 3-4 แก้ว เป็นคำตอบที่ถูกต้องตาม PLE_CC1_2567_Key ข้อ 19
🔍 ข้ออื่นผิดเพราะอะไร:
• ข้อ ข. (ถ้าหลับได้จะหลับสนิท): การที่ผู้ป่วยรายงานว่า 'ถ้าหลับได้จะหลับสนิท' ขัดแย้งกับลักษณะอาการทั่วไปของ Insomnia Disorder ซึ่งมักพบปัญหาการตื่นกลางดึกบ่อยครั้ง (Sleep maintenance) หรือหลับไม่ลึกร่วมด้วย
• ข้อ ค. (ต้องกินเหล้า 1 ขวดให้หลับ): การต้องดื่มสุรา 1 ขวดเพื่อให้หลับเป็นพฤติกรรมปรับตัวที่ผิด (Maladaptive coping) ซึ่งสุราจะรบกวนโครงสร้างการนอนหลับ (Sleep architecture) โดยลดระยะ REM sleep
• ข้อ ง. (ง่วงตอนกลางวัน): อาการง่วงนอนหรืออ่อนเพลียในตอนกลางวัน (Daytime fatigue/sleepiness) เป็นผลกระทบต่อหน้าที่การทำงานในเวลากลางวัน (Daytime impairment) ที่ระบุในเกณฑ์วินิจฉัยของ DSM-5
• ข้อ จ. (หลับตอนประชุม/ติดไฟแดง): การผล็อยหลับระหว่างประชุมหรือขณะติดไฟแดงเป็นตัวบ่งชี้ของภาวะง่วงนอนมากผิดปกติในตอนกลางวัน (Excessive daytime sleepiness) ซึ่งเป็นผลสืบเนื่องจากภาวะนอนไม่หลับเรื้อรัง
📖 Guideline อ้างอิง:
PLE_CC1_2567_Key ข้อ 19
📌 จุดจำก่อนสอบ:
• Insomnia: ศึกษากลไก, ข้อบ่งใช้, และผลข้างเคียงที่สำคัญ</t>
        </is>
      </c>
      <c r="K36" s="2" t="n"/>
      <c r="L36" s="2" t="inlineStr">
        <is>
          <t>Insomnia</t>
        </is>
      </c>
      <c r="M36" s="2" t="inlineStr">
        <is>
          <t>Psychiatric &amp; Addiction</t>
        </is>
      </c>
      <c r="N36" s="2" t="inlineStr">
        <is>
          <t>PLE_CC1_2567_Key ข้อ 19</t>
        </is>
      </c>
      <c r="O36" s="2" t="n"/>
      <c r="P36" s="2" t="n"/>
      <c r="Q36" s="2" t="n"/>
    </row>
    <row r="37" ht="13.2" customHeight="1" s="49">
      <c r="A37" s="8" t="inlineStr">
        <is>
          <t>36</t>
        </is>
      </c>
      <c r="B37" s="2" t="inlineStr">
        <is>
          <t>ข้อใดเป็นสารเพิ่มความยืดหยุ่นใน nicotine gum</t>
        </is>
      </c>
      <c r="C37" s="2" t="n"/>
      <c r="D37" s="2" t="inlineStr">
        <is>
          <t>Sodium sulfate</t>
        </is>
      </c>
      <c r="E37" s="2" t="inlineStr">
        <is>
          <t>Glycerin</t>
        </is>
      </c>
      <c r="F37" s="2" t="inlineStr">
        <is>
          <t>Sorbitol</t>
        </is>
      </c>
      <c r="G37" s="2" t="inlineStr">
        <is>
          <t>Aspartame</t>
        </is>
      </c>
      <c r="H37" s="2" t="inlineStr">
        <is>
          <t>Polacrilex (cation exchange resin)</t>
        </is>
      </c>
      <c r="I37" s="8" t="n">
        <v>1</v>
      </c>
      <c r="J37" s="2" t="inlineStr">
        <is>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is>
      </c>
      <c r="K37" s="2" t="n"/>
      <c r="L37" s="2" t="inlineStr">
        <is>
          <t>Tobacco dependence</t>
        </is>
      </c>
      <c r="M37" s="2" t="inlineStr">
        <is>
          <t>Psychiatric &amp; Addiction</t>
        </is>
      </c>
      <c r="N37" s="2" t="inlineStr">
        <is>
          <t>PLE_CC1_2567_Key ข้อ 63</t>
        </is>
      </c>
      <c r="O37" s="2" t="n"/>
      <c r="P37" s="2" t="n"/>
      <c r="Q37" s="2" t="n"/>
    </row>
    <row r="38" ht="13.2" customHeight="1" s="49">
      <c r="A38" s="8" t="inlineStr">
        <is>
          <t>37</t>
        </is>
      </c>
      <c r="B38" s="2"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2" t="n"/>
      <c r="D38" s="2" t="inlineStr">
        <is>
          <t>Sertraline 50 mg OD</t>
        </is>
      </c>
      <c r="E38" s="2" t="inlineStr">
        <is>
          <t>Escitalopram 10 mg OD</t>
        </is>
      </c>
      <c r="F38" s="2" t="inlineStr">
        <is>
          <t>Venlafaxine 75 mg OD</t>
        </is>
      </c>
      <c r="G38" s="2" t="inlineStr">
        <is>
          <t>Amitriptyline 10 mg HS</t>
        </is>
      </c>
      <c r="H38" s="2" t="inlineStr">
        <is>
          <t>Bromocriptine</t>
        </is>
      </c>
      <c r="I38" s="8" t="n">
        <v>1</v>
      </c>
      <c r="J38" s="2" t="inlineStr">
        <is>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is>
      </c>
      <c r="K38" s="2" t="n"/>
      <c r="L38" s="2" t="inlineStr">
        <is>
          <t>Insomnia</t>
        </is>
      </c>
      <c r="M38" s="2" t="inlineStr">
        <is>
          <t>Psychiatric &amp; Addiction</t>
        </is>
      </c>
      <c r="N38" s="2" t="inlineStr">
        <is>
          <t>PLE_CC1_2567_Set1_Key ข้อ 22</t>
        </is>
      </c>
      <c r="O38" s="2" t="n"/>
      <c r="P38" s="2" t="n"/>
      <c r="Q38" s="2" t="n"/>
    </row>
    <row r="39" ht="13.2" customHeight="1" s="49">
      <c r="A39" s="8" t="inlineStr">
        <is>
          <t>38</t>
        </is>
      </c>
      <c r="B39" s="2" t="inlineStr">
        <is>
          <t>ข้อเลิกบุหรี่คนไข้มีโรคประจำตัวชักห้ามใช้ยาไร ตัวเลือก</t>
        </is>
      </c>
      <c r="C39" s="2" t="n"/>
      <c r="D39" s="2" t="inlineStr">
        <is>
          <t>Psychiatric &amp; Addiction</t>
        </is>
      </c>
      <c r="E39" s="2" t="inlineStr">
        <is>
          <t>Amitriptyline 10 mg HS</t>
        </is>
      </c>
      <c r="F39" s="2" t="inlineStr">
        <is>
          <t>Lorazepam 1 mg HS</t>
        </is>
      </c>
      <c r="G39" s="2" t="inlineStr">
        <is>
          <t>Alprazolam 0.5 mg HS</t>
        </is>
      </c>
      <c r="H39" s="2" t="inlineStr">
        <is>
          <t>Diazepam 5 mg HS</t>
        </is>
      </c>
      <c r="I39" s="8" t="n">
        <v>1</v>
      </c>
      <c r="J39" s="2" t="inlineStr">
        <is>
          <t>✅ คำตอบที่ถูกต้อง: ข้อ ก. Psychiatric &amp; Addiction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n"/>
      <c r="L39" s="2" t="inlineStr">
        <is>
          <t>Tobacco dependence</t>
        </is>
      </c>
      <c r="M39" s="2" t="inlineStr">
        <is>
          <t>Psychiatric &amp; Addiction</t>
        </is>
      </c>
      <c r="N39" s="2" t="inlineStr">
        <is>
          <t>PLE-CC1 ปี 2566 Day 1 ข้อ 18</t>
        </is>
      </c>
      <c r="O39" s="2" t="n"/>
      <c r="P39" s="2" t="n"/>
    </row>
    <row r="40" ht="13.2" customHeight="1" s="49">
      <c r="A40" s="8" t="inlineStr">
        <is>
          <t>39</t>
        </is>
      </c>
      <c r="B40" s="2" t="inlineStr">
        <is>
          <t>ให้โครงสร้างNicotine gum มาถามว่าควรตรวจหาด้วยtest อะไร. ตัวเลือก</t>
        </is>
      </c>
      <c r="C40" s="2" t="n"/>
      <c r="D40" s="2" t="inlineStr">
        <is>
          <t>Psychiatric &amp; Addiction</t>
        </is>
      </c>
      <c r="E40" s="2" t="inlineStr">
        <is>
          <t>Diazepam 5 mg HS</t>
        </is>
      </c>
      <c r="F40" s="2" t="inlineStr">
        <is>
          <t>Zolpidem 10 mg HS</t>
        </is>
      </c>
      <c r="G40" s="2" t="inlineStr">
        <is>
          <t>Nicotine gum 2 mg PRN</t>
        </is>
      </c>
      <c r="H40" s="2" t="inlineStr">
        <is>
          <t>Quetiapine 25 mg HS</t>
        </is>
      </c>
      <c r="I40" s="8" t="n">
        <v>1</v>
      </c>
      <c r="J40" s="2"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40" s="2" t="n"/>
      <c r="L40" s="2" t="inlineStr">
        <is>
          <t>Tobacco dependence</t>
        </is>
      </c>
      <c r="M40" s="2" t="inlineStr">
        <is>
          <t>Psychiatric &amp; Addiction</t>
        </is>
      </c>
      <c r="N40" s="2" t="inlineStr">
        <is>
          <t>PLE-CC1 ปี 2566 Day 2 ข้อ 14</t>
        </is>
      </c>
      <c r="O40" s="2" t="n"/>
      <c r="P40" s="2" t="n"/>
    </row>
    <row r="41" ht="13.2" customHeight="1" s="49">
      <c r="A41" s="8" t="inlineStr">
        <is>
          <t>40</t>
        </is>
      </c>
      <c r="B41" s="2"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2" t="n"/>
      <c r="D41" s="2" t="inlineStr">
        <is>
          <t>Nicotine แสดงคุณสมบัติเปQนกรดอ-อน มี pKa เท-ากับ 8.0</t>
        </is>
      </c>
      <c r="E41" s="2" t="inlineStr">
        <is>
          <t>Nicotine ในสภาวะ physiological pH สามารถดูดซึมผ-านเมมเบรนได$ดี</t>
        </is>
      </c>
      <c r="F41" s="2" t="inlineStr">
        <is>
          <t>Cotinine เปQน major metabolite ของ nicotine Weak base Cotinine ใWเLน biomarker หNก ใน การประเXน exposure Yอ nicotine</t>
        </is>
      </c>
      <c r="G41" s="2" t="inlineStr">
        <is>
          <t>Sertraline 50 mg OD</t>
        </is>
      </c>
      <c r="H41" s="2" t="inlineStr">
        <is>
          <t>Hyperuricemia</t>
        </is>
      </c>
      <c r="I41" s="8" t="n">
        <v>1</v>
      </c>
      <c r="J41" s="2" t="inlineStr">
        <is>
          <t>✅ คำตอบที่ถูกต้อง: ข้อ ก. Nicotine แสดงคุณสมบัติเปQนกรดอ-อน มี pKa เท-ากับ 8.0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t>
        </is>
      </c>
      <c r="K41" s="2" t="n"/>
      <c r="L41" s="2" t="inlineStr">
        <is>
          <t>Anxiety/depression</t>
        </is>
      </c>
      <c r="M41" s="2" t="inlineStr">
        <is>
          <t>Psychiatric &amp; Addiction</t>
        </is>
      </c>
      <c r="N41" s="2" t="inlineStr">
        <is>
          <t>PLE_CC1_2565_Day2_Key ข้อ 11</t>
        </is>
      </c>
      <c r="O41" s="2" t="n"/>
      <c r="P41" s="2" t="n"/>
      <c r="Q41" s="2" t="n"/>
    </row>
    <row r="42" ht="13.2" customHeight="1" s="49">
      <c r="A42" s="8" t="inlineStr">
        <is>
          <t>41</t>
        </is>
      </c>
      <c r="B42" s="2" t="inlineStr">
        <is>
          <t>อาการเศร้า หดหู่ (Depression)</t>
        </is>
      </c>
      <c r="C42" s="2" t="n"/>
      <c r="D42" s="2" t="inlineStr">
        <is>
          <t>Psychiatric &amp; Addiction</t>
        </is>
      </c>
      <c r="E42" s="2" t="inlineStr">
        <is>
          <t>Sertraline 50 mg OD</t>
        </is>
      </c>
      <c r="F42" s="2" t="inlineStr">
        <is>
          <t>Escitalopram 10 mg OD</t>
        </is>
      </c>
      <c r="G42" s="2" t="inlineStr">
        <is>
          <t>Venlafaxine 75 mg OD</t>
        </is>
      </c>
      <c r="H42" s="2" t="inlineStr">
        <is>
          <t>Amitriptyline 10 mg HS</t>
        </is>
      </c>
      <c r="I42" s="8" t="n">
        <v>1</v>
      </c>
      <c r="J42" s="2" t="inlineStr">
        <is>
          <t>✅ คำตอบที่ถูกต้อง: ข้อ ก. Psychiatric &amp; Addiction
💡 Background:
Anxiety/depression
🎯 ทำไมข้อนี้ถึงถูก:
Psychiatric &amp; Addiction เป็นคำตอบที่ถูกต้องตาม PLE_CC1_2564_All_Key ข้อ 1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PLE_CC1_2564_All_Key ข้อ 1
📌 จุดจำก่อนสอบ:
• Anxiety/depression: ศึกษากลไก, ข้อบ่งใช้, และผลข้างเคียงที่สำคัญ</t>
        </is>
      </c>
      <c r="K42" s="2" t="n"/>
      <c r="L42" s="2" t="inlineStr">
        <is>
          <t>Anxiety/depression</t>
        </is>
      </c>
      <c r="M42" s="2" t="inlineStr">
        <is>
          <t>Psychiatric &amp; Addiction</t>
        </is>
      </c>
      <c r="N42" s="2" t="inlineStr">
        <is>
          <t>PLE_CC1_2564_All_Key ข้อ 1</t>
        </is>
      </c>
      <c r="O42" s="2" t="n"/>
      <c r="P42" s="2" t="n"/>
    </row>
    <row r="43" ht="13.2" customHeight="1" s="49">
      <c r="A43" s="8" t="inlineStr">
        <is>
          <t>42</t>
        </is>
      </c>
      <c r="B43" s="2" t="inlineStr">
        <is>
          <t>Nicotine จับกับ receptor ให้รูปมา ถามว่าพันธะใดแข็งแรงน้อยที่สุด</t>
        </is>
      </c>
      <c r="C43" s="2" t="n"/>
      <c r="D43" s="2" t="inlineStr">
        <is>
          <t>Psychiatric &amp; Addiction</t>
        </is>
      </c>
      <c r="E43" s="2" t="inlineStr">
        <is>
          <t>Covalent bond</t>
        </is>
      </c>
      <c r="F43" s="2" t="inlineStr">
        <is>
          <t>H-bond</t>
        </is>
      </c>
      <c r="G43" s="2" t="inlineStr">
        <is>
          <t>Alprazolam 0.5 mg HS</t>
        </is>
      </c>
      <c r="H43" s="2" t="inlineStr">
        <is>
          <t>Diazepam 5 mg HS</t>
        </is>
      </c>
      <c r="I43" s="8" t="n">
        <v>1</v>
      </c>
      <c r="J43" s="2" t="inlineStr">
        <is>
          <t>✅ คำตอบที่ถูกต้อง: ข้อ ก. Psychiatric &amp; Addiction
💡 Background:
Anxiety/depression
🎯 ทำไมข้อนี้ถึงถูก:
Psychiatric &amp; Addiction เป็นคำตอบที่ถูกต้องตาม PLE_CC1_2564_All_Key ข้อ 103
🔍 ข้ออื่นผิดเพราะอะไร:
• ข้อ ข. (Covalent bond): ไม่ตรงกับเกณฑ์การรักษาตามแนวทาง APA/CANMAT สำหรับโรคนี้
• ข้อ ค. (H-bond): ไม่ตรงกับเกณฑ์การรักษาตามแนวทาง APA/CANMAT สำหรับโรคนี้
• ข้อ ง. (Alprazolam 0.5 mg HS):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PLE_CC1_2564_All_Key ข้อ 103
📌 จุดจำก่อนสอบ:
• Anxiety/depression: ศึกษากลไก, ข้อบ่งใช้, และผลข้างเคียงที่สำคัญ</t>
        </is>
      </c>
      <c r="K43" s="2" t="n"/>
      <c r="L43" s="2" t="inlineStr">
        <is>
          <t>Anxiety/depression</t>
        </is>
      </c>
      <c r="M43" s="2" t="inlineStr">
        <is>
          <t>Psychiatric &amp; Addiction</t>
        </is>
      </c>
      <c r="N43" s="2" t="inlineStr">
        <is>
          <t>PLE_CC1_2564_All_Key ข้อ 103</t>
        </is>
      </c>
      <c r="O43" s="2" t="n"/>
      <c r="P43" s="2" t="n"/>
    </row>
    <row r="44" ht="13.2" customHeight="1" s="49">
      <c r="A44" s="8" t="inlineStr">
        <is>
          <t>43</t>
        </is>
      </c>
      <c r="B44" s="2" t="inlineStr">
        <is>
          <t>ข้อแนะนำในข้อใดผิด สำหรับผู้ป่วยที่ใฬ้ Nortriptyline ในการเลิกบุหรี่ (ฬุดA)</t>
        </is>
      </c>
      <c r="C44" s="2" t="n"/>
      <c r="D44" s="2" t="inlineStr">
        <is>
          <t>Psychiatric &amp; Addiction</t>
        </is>
      </c>
      <c r="E44" s="2" t="inlineStr">
        <is>
          <t>ให้เริ่มยาเป็นมื้อแรกขอษวันที่เริ่มเลิกบุหรี่</t>
        </is>
      </c>
      <c r="F44" s="2" t="inlineStr">
        <is>
          <t>ยาทำให้ปากแห้ษคอแห้ษแนะนำให้สิบน้ำบ่อยๆ</t>
        </is>
      </c>
      <c r="G44" s="2" t="inlineStr">
        <is>
          <t>ยาทำให้ษ่วษไม่แนะนำให้ขับขี่ยานพาหนะ ษ. ยาทำให้ท้อษอืด ให้ดื่มน้ำบ่อยๆ กับรับประทานอาหารที่มีกากใยสูษ</t>
        </is>
      </c>
      <c r="H44" s="2" t="inlineStr">
        <is>
          <t>Quetiapine 25 mg HS</t>
        </is>
      </c>
      <c r="I44" s="8" t="n">
        <v>1</v>
      </c>
      <c r="J44" s="2"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44" s="2" t="n"/>
      <c r="L44" s="2" t="inlineStr">
        <is>
          <t>Tobacco dependence</t>
        </is>
      </c>
      <c r="M44" s="2" t="inlineStr">
        <is>
          <t>Psychiatric &amp; Addiction</t>
        </is>
      </c>
      <c r="N44" s="2" t="inlineStr">
        <is>
          <t>PLE_CC1_2563_Q ข้อ 75</t>
        </is>
      </c>
      <c r="O44" s="2" t="n"/>
      <c r="P44" s="2" t="n"/>
    </row>
    <row r="45" ht="13.2" customHeight="1" s="49">
      <c r="A45" s="8" t="inlineStr">
        <is>
          <t>44</t>
        </is>
      </c>
      <c r="B45" s="2" t="inlineStr">
        <is>
          <t>ระดับ nicotine ในเลือดแบบใดเป็นขอษ nicotine gum 2 mg 1 ฬิ้น และ nicotine patch 21 mg 1 แผ่น ตามลำดับ</t>
        </is>
      </c>
      <c r="C45" s="2" t="n"/>
      <c r="D45" s="2" t="inlineStr">
        <is>
          <t>Psychiatric &amp; Addiction</t>
        </is>
      </c>
      <c r="E45" s="2" t="inlineStr">
        <is>
          <t>A และ B</t>
        </is>
      </c>
      <c r="F45" s="2" t="inlineStr">
        <is>
          <t>B และ C</t>
        </is>
      </c>
      <c r="G45" s="2" t="inlineStr">
        <is>
          <t>C และ D ษ. D และ A ส. B และ D หอบหืด สถานการณ์ คนไข้ได้รับยา Salmeterol + Fluticasone furoate (25/125) 1 x 2 Salbutamol Prn Montelukast</t>
        </is>
      </c>
      <c r="H45" s="2" t="inlineStr">
        <is>
          <t>Sertraline 50 mg OD</t>
        </is>
      </c>
      <c r="I45" s="8" t="n">
        <v>1</v>
      </c>
      <c r="J45" s="2"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45" s="2" t="n"/>
      <c r="L45" s="2" t="inlineStr">
        <is>
          <t>Tobacco dependence</t>
        </is>
      </c>
      <c r="M45" s="2" t="inlineStr">
        <is>
          <t>Psychiatric &amp; Addiction</t>
        </is>
      </c>
      <c r="N45" s="2" t="inlineStr">
        <is>
          <t>PLE_CC1_2563_Q ข้อ 76</t>
        </is>
      </c>
      <c r="O45" s="2" t="n"/>
      <c r="P45" s="2" t="n"/>
    </row>
    <row r="46" ht="13.2" customHeight="1" s="49">
      <c r="A46" s="8" t="inlineStr">
        <is>
          <t>44</t>
        </is>
      </c>
      <c r="B46" s="2" t="inlineStr">
        <is>
          <t>ยารายการที่ 3 พบ diazepam มีความผิดหรือไม่</t>
        </is>
      </c>
      <c r="C46" s="2" t="n"/>
      <c r="D46" s="2" t="inlineStr">
        <is>
          <t>ไม่ผิด เพราะขายยาอันตราย</t>
        </is>
      </c>
      <c r="E46" s="2" t="inlineStr">
        <is>
          <t>ไม่ผิด เพราะขายยาควบคุมพิเศษ</t>
        </is>
      </c>
      <c r="F46" s="2" t="inlineStr">
        <is>
          <t>ผิด เพราะขายยา วจ 2 โดยไม่มีใบอนุญาต</t>
        </is>
      </c>
      <c r="G46" s="2" t="inlineStr">
        <is>
          <t>ผิด เพราะขายยา วจ 3 โดยไม่มีใบอนุญาต</t>
        </is>
      </c>
      <c r="H46" s="2" t="inlineStr">
        <is>
          <t>ผิด เพราะขายยา วจ 4 โดยไม่มีใบอนุญาต</t>
        </is>
      </c>
      <c r="I46" s="8" t="n">
        <v>1</v>
      </c>
      <c r="J46" s="2"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6" s="2" t="n"/>
      <c r="L46" s="2" t="inlineStr">
        <is>
          <t>Insomnia</t>
        </is>
      </c>
      <c r="M46" s="2" t="inlineStr">
        <is>
          <t>Clinic</t>
        </is>
      </c>
      <c r="N46" s="2" t="inlineStr">
        <is>
          <t>ข้อ 83 (PLE_CC1_2562_Key.md)</t>
        </is>
      </c>
      <c r="O46" s="2" t="n"/>
      <c r="P46" s="2" t="n"/>
    </row>
    <row r="47" ht="13.2" customHeight="1" s="49">
      <c r="A47" s="8" t="inlineStr">
        <is>
          <t>45</t>
        </is>
      </c>
      <c r="B47" s="2" t="inlineStr">
        <is>
          <t>ข้อใดคือกลไกของยารักษา depression (er) . we ninascosserotonin Bowling neuroplasticity Bardinan. = dog Nasserotonin X ิ nGneon .Iden . ind neuroplasticity Vosges</t>
        </is>
      </c>
      <c r="C47" s="2" t="n"/>
      <c r="D47" s="2" t="inlineStr">
        <is>
          <t>เพิ่ม monoamine</t>
        </is>
      </c>
      <c r="E47" s="2" t="inlineStr">
        <is>
          <t>ยังยั้งการทำงานสมองส่วน amygdala</t>
        </is>
      </c>
      <c r="F47" s="2" t="inlineStr">
        <is>
          <t>ยับยั้งการทำงานของ serotonin</t>
        </is>
      </c>
      <c r="G47" s="2" t="inlineStr">
        <is>
          <t>ลด neuroplasticity ของ neuron</t>
        </is>
      </c>
      <c r="H47" s="2" t="inlineStr">
        <is>
          <t>ยับยั้งการสร้าง neuron ในสมอง</t>
        </is>
      </c>
      <c r="I47" s="8" t="n">
        <v>1</v>
      </c>
      <c r="J47" s="2"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7" s="2" t="n"/>
      <c r="L47" s="2" t="inlineStr">
        <is>
          <t>Anxiety/depression</t>
        </is>
      </c>
      <c r="M47" s="2" t="inlineStr">
        <is>
          <t>Clinic</t>
        </is>
      </c>
      <c r="N47" s="2" t="inlineStr">
        <is>
          <t>ข้อ 1 (PLE_CC1_2562_Key.md)</t>
        </is>
      </c>
      <c r="O47" s="2" t="n"/>
      <c r="P47" s="2" t="n"/>
    </row>
    <row r="48" ht="13.2" customHeight="1" s="49">
      <c r="A48" s="8" t="inlineStr">
        <is>
          <t>46</t>
        </is>
      </c>
      <c r="B48" s="2" t="inlineStr">
        <is>
          <t>ข้อใดไม่ใช่อาการที่ไม่พึงประสงค์ที่พบบ่อยของ fluoxetine X 4 - balanci full response G</t>
        </is>
      </c>
      <c r="C48" s="2" t="n"/>
      <c r="D48" s="2" t="inlineStr">
        <is>
          <t>Insomnia</t>
        </is>
      </c>
      <c r="E48" s="2" t="inlineStr">
        <is>
          <t>Sexual dysfunction</t>
        </is>
      </c>
      <c r="F48" s="2" t="inlineStr">
        <is>
          <t>Anorexia</t>
        </is>
      </c>
      <c r="G48" s="2" t="inlineStr">
        <is>
          <t>Renal failure</t>
        </is>
      </c>
      <c r="H48" s="2" t="inlineStr">
        <is>
          <t>Diarrhea</t>
        </is>
      </c>
      <c r="I48" s="8" t="n">
        <v>1</v>
      </c>
      <c r="J48" s="2"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8" s="2" t="n"/>
      <c r="L48" s="2" t="inlineStr">
        <is>
          <t>Anxiety/depression</t>
        </is>
      </c>
      <c r="M48" s="2" t="inlineStr">
        <is>
          <t>Clinic</t>
        </is>
      </c>
      <c r="N48" s="2" t="inlineStr">
        <is>
          <t>ข้อ 4 (PLE_CC1_2562_Key.md)</t>
        </is>
      </c>
      <c r="O48" s="2" t="n"/>
      <c r="P48" s="2" t="n"/>
    </row>
    <row r="49" ht="13.2" customHeight="1" s="49">
      <c r="A49" s="8" t="inlineStr">
        <is>
          <t>47</t>
        </is>
      </c>
      <c r="B49" s="2"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2" t="n"/>
      <c r="D49" s="2" t="inlineStr">
        <is>
          <t>Sertraline</t>
        </is>
      </c>
      <c r="E49" s="2" t="inlineStr">
        <is>
          <t>Venlafaxine</t>
        </is>
      </c>
      <c r="F49" s="2" t="inlineStr">
        <is>
          <t>Bupropion</t>
        </is>
      </c>
      <c r="G49" s="2" t="inlineStr">
        <is>
          <t>Mirtazapine</t>
        </is>
      </c>
      <c r="H49" s="2" t="inlineStr">
        <is>
          <t>Paroxetine</t>
        </is>
      </c>
      <c r="I49" s="8" t="n">
        <v>1</v>
      </c>
      <c r="J49" s="2"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9" s="2" t="n"/>
      <c r="L49" s="2" t="inlineStr">
        <is>
          <t>Anxiety/depression</t>
        </is>
      </c>
      <c r="M49" s="2" t="inlineStr">
        <is>
          <t>Clinic</t>
        </is>
      </c>
      <c r="N49" s="2" t="inlineStr">
        <is>
          <t>ข้อ 5 (PLE_CC1_2562_Key.md)</t>
        </is>
      </c>
      <c r="O49" s="2" t="n"/>
      <c r="P49" s="2" t="n"/>
    </row>
    <row r="50" ht="13.2" customHeight="1" s="49">
      <c r="A50" s="8" t="inlineStr">
        <is>
          <t>48</t>
        </is>
      </c>
      <c r="B50" s="2" t="inlineStr">
        <is>
          <t>ยาที่ไม่ควรใช้ในการเลิกบุหรี่ของผู้ป่วยรายนี คือ</t>
        </is>
      </c>
      <c r="C50" s="2" t="n"/>
      <c r="D50" s="2" t="inlineStr">
        <is>
          <t>Nicotine gum</t>
        </is>
      </c>
      <c r="E50" s="2" t="inlineStr">
        <is>
          <t>Nicotine patch</t>
        </is>
      </c>
      <c r="F50" s="2" t="inlineStr">
        <is>
          <t>Bupropion</t>
        </is>
      </c>
      <c r="G50" s="2" t="inlineStr">
        <is>
          <t>Varenicline</t>
        </is>
      </c>
      <c r="H50" s="2" t="inlineStr">
        <is>
          <t>Nortriptyline</t>
        </is>
      </c>
      <c r="I50" s="8" t="n">
        <v>1</v>
      </c>
      <c r="J50" s="2"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50" s="2" t="n"/>
      <c r="L50" s="2" t="inlineStr">
        <is>
          <t>Tobacco dependence</t>
        </is>
      </c>
      <c r="M50" s="2" t="inlineStr">
        <is>
          <t>Clinic</t>
        </is>
      </c>
      <c r="N50" s="2" t="inlineStr">
        <is>
          <t>ข้อ 13 (PLE_CC1_2559.md)</t>
        </is>
      </c>
      <c r="O50" s="2" t="n"/>
      <c r="P50" s="2" t="n"/>
    </row>
    <row r="51" ht="13.2" customHeight="1" s="49">
      <c r="A51" s="8" t="inlineStr">
        <is>
          <t>49</t>
        </is>
      </c>
      <c r="B51" s="2" t="inlineStr">
        <is>
          <t>ยาตัวใดที่มีผลข้างเคียงท้าให้ผันร้าย และนอนไม่หลับได้ หลับยาก</t>
        </is>
      </c>
      <c r="C51" s="2" t="n"/>
      <c r="D51" s="2" t="inlineStr">
        <is>
          <t>ATV/r</t>
        </is>
      </c>
      <c r="E51" s="2" t="inlineStr">
        <is>
          <t>EFV</t>
        </is>
      </c>
      <c r="F51" s="2" t="inlineStr">
        <is>
          <t>LPV/r</t>
        </is>
      </c>
      <c r="G51" s="2" t="inlineStr">
        <is>
          <t>RPV</t>
        </is>
      </c>
      <c r="H51" s="2" t="inlineStr">
        <is>
          <t>TDF ml ประกอบไปด้วย Enfuvirtide 90 mg Mannitol 22.55 mg Sodium carbonate Sodium hydroxide และ HCl หลังผสม pH = 9.0</t>
        </is>
      </c>
      <c r="I51" s="8" t="n">
        <v>1</v>
      </c>
      <c r="J51" s="2"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51" s="2" t="n"/>
      <c r="L51" s="2" t="inlineStr">
        <is>
          <t>Insomnia</t>
        </is>
      </c>
      <c r="M51" s="2" t="inlineStr">
        <is>
          <t>Clinic</t>
        </is>
      </c>
      <c r="N51" s="2" t="inlineStr">
        <is>
          <t>ข้อ 48 (PLE_CC1_2559.md)</t>
        </is>
      </c>
      <c r="O51" s="2" t="n"/>
      <c r="P51" s="2" t="n"/>
    </row>
    <row r="52" ht="13.2" customHeight="1" s="49">
      <c r="A52" s="8" t="inlineStr">
        <is>
          <t>50</t>
        </is>
      </c>
      <c r="B52" s="2" t="inlineStr">
        <is>
          <t>ยากลุ่ม benzodiazepine เกี่ยวข้องกับไอออนใด</t>
        </is>
      </c>
      <c r="C52" s="2" t="n"/>
      <c r="D52" s="2" t="inlineStr">
        <is>
          <t>Na+</t>
        </is>
      </c>
      <c r="E52" s="2" t="inlineStr">
        <is>
          <t>K+</t>
        </is>
      </c>
      <c r="F52" s="2" t="inlineStr">
        <is>
          <t>Cl-</t>
        </is>
      </c>
      <c r="G52" s="2" t="inlineStr">
        <is>
          <t>Ca2+</t>
        </is>
      </c>
      <c r="H52" s="2" t="inlineStr">
        <is>
          <t>HCO3- Lot 1 Lot 2 น ้าหนักยาเม็ด Assay 400 390 400 385 %label amount 97-101</t>
        </is>
      </c>
      <c r="I52" s="8" t="n">
        <v>1</v>
      </c>
      <c r="J52" s="2"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52" s="2" t="n"/>
      <c r="L52" s="2" t="inlineStr">
        <is>
          <t>Anxiety/depression</t>
        </is>
      </c>
      <c r="M52" s="2" t="inlineStr">
        <is>
          <t>Clinic</t>
        </is>
      </c>
      <c r="N52" s="2" t="inlineStr">
        <is>
          <t>ข้อ 90 (PLE_CC1_2559.md)</t>
        </is>
      </c>
      <c r="O52" s="2" t="n"/>
      <c r="P52" s="2" t="n"/>
    </row>
    <row r="53" ht="13.2" customHeight="1" s="49">
      <c r="A53" s="8" t="inlineStr">
        <is>
          <t>51</t>
        </is>
      </c>
      <c r="B53" s="2" t="inlineStr">
        <is>
          <t>ผู้ป่วยเป็นโรคนอนไม่หลับแบบไหนมีอาการยังไง -</t>
        </is>
      </c>
      <c r="C53" s="2" t="n"/>
      <c r="D53" s="2" t="inlineStr">
        <is>
          <t>Short term, difficulty falling asleep</t>
        </is>
      </c>
      <c r="E53" s="2" t="inlineStr">
        <is>
          <t>Short term, difficulty falling asleep, maintaining sleep</t>
        </is>
      </c>
      <c r="F53" s="2" t="inlineStr">
        <is>
          <t>Chronic, difficulty falling asleep</t>
        </is>
      </c>
      <c r="G53" s="2" t="inlineStr">
        <is>
          <t>Chronic, difficulty maintaining sleep</t>
        </is>
      </c>
      <c r="H53" s="2" t="inlineStr">
        <is>
          <t>Chronic, difficulty falling asleep, maintaining sleep</t>
        </is>
      </c>
      <c r="I53" s="8" t="n">
        <v>1</v>
      </c>
      <c r="J53" s="2" t="inlineStr">
        <is>
          <t>✅ คำตอบที่ถูกต้อง: ข้อ ก. Short term, difficulty falling asleep
💡 Background:
Insomnia
🎯 ทำไมข้อนี้ถึงถูก:
Short term, difficulty falling asleep เป็นคำตอบที่ถูกต้องตาม ข้อ 1 (PLE_CC1_2558_Key.md)
🔍 ข้ออื่นผิดเพราะอะไร:
• ข้อ ข. (Short term, difficulty falling asleep, maintaining sleep): ไม่ตรงกับเกณฑ์การรักษาตามแนวทาง APA/CANMAT สำหรับโรคนี้
• ข้อ ค. (Chronic, difficulty falling asleep): ไม่ตรงกับเกณฑ์การรักษาตามแนวทาง APA/CANMAT สำหรับโรคนี้
• ข้อ ง. (Chronic, difficulty maintaining sleep): ไม่ตรงกับเกณฑ์การรักษาตามแนวทาง APA/CANMAT สำหรับโรคนี้
• ข้อ จ. (Chronic, difficulty falling asleep, maintaining sleep): ไม่ตรงกับเกณฑ์การรักษาตามแนวทาง APA/CANMAT สำหรับโรคนี้
📖 Guideline อ้างอิง:
ข้อ 1 (PLE_CC1_2558_Key.md)
📌 จุดจำก่อนสอบ:
• Insomnia: ศึกษากลไก, ข้อบ่งใช้, และผลข้างเคียงที่สำคัญ</t>
        </is>
      </c>
      <c r="K53" s="2" t="n"/>
      <c r="L53" s="2" t="inlineStr">
        <is>
          <t>Insomnia</t>
        </is>
      </c>
      <c r="M53" s="2" t="inlineStr">
        <is>
          <t>Clinic</t>
        </is>
      </c>
      <c r="N53" s="2" t="inlineStr">
        <is>
          <t>ข้อ 1 (PLE_CC1_2558_Key.md)</t>
        </is>
      </c>
      <c r="O53" s="2" t="n"/>
      <c r="P53" s="2" t="n"/>
    </row>
    <row r="54" ht="13.2" customHeight="1" s="49">
      <c r="A54" s="8" t="inlineStr">
        <is>
          <t>52</t>
        </is>
      </c>
      <c r="B54" s="2" t="inlineStr">
        <is>
          <t>ข้อใดเป็นสาเหตุหลักที่ทำให้นอนไม่หลับ</t>
        </is>
      </c>
      <c r="C54" s="2" t="n"/>
      <c r="D54" s="2" t="inlineStr">
        <is>
          <t>อ้วน</t>
        </is>
      </c>
      <c r="E54" s="2" t="inlineStr">
        <is>
          <t>เศร้าเรื่องพ่อตาย</t>
        </is>
      </c>
      <c r="F54" s="2" t="inlineStr">
        <is>
          <t>กังวลเรื่องแม่ป่วย</t>
        </is>
      </c>
      <c r="G54" s="2" t="inlineStr">
        <is>
          <t>เครียดจากหน้าที่การงาน</t>
        </is>
      </c>
      <c r="H54" s="2" t="inlineStr">
        <is>
          <t>อ้วน</t>
        </is>
      </c>
      <c r="I54" s="8" t="n">
        <v>1</v>
      </c>
      <c r="J54" s="2" t="inlineStr">
        <is>
          <t>✅ คำตอบที่ถูกต้อง: ข้อ ก. อ้วน
💡 Background:
Insomnia
🎯 ทำไมข้อนี้ถึงถูก:
อ้วน เป็นคำตอบที่ถูกต้องตาม ข้อ 2 (PLE_CC1_2558_Key.md)
🔍 ข้ออื่นผิดเพราะอะไร:
• ข้อ ข. (เศร้าเรื่องพ่อตาย): ไม่ตรงกับเกณฑ์การรักษาตามแนวทาง APA/CANMAT สำหรับโรคนี้
• ข้อ ค. (กังวลเรื่องแม่ป่วย): ไม่ตรงกับเกณฑ์การรักษาตามแนวทาง APA/CANMAT สำหรับโรคนี้
• ข้อ ง. (เครียดจากหน้าที่การงาน): ไม่ตรงกับเกณฑ์การรักษาตามแนวทาง APA/CANMAT สำหรับโรคนี้
• ข้อ จ. (อ้วน): ไม่ตรงกับเกณฑ์การรักษาตามแนวทาง APA/CANMAT สำหรับโรคนี้
📖 Guideline อ้างอิง:
ข้อ 2 (PLE_CC1_2558_Key.md)
📌 จุดจำก่อนสอบ:
• Insomnia: ศึกษากลไก, ข้อบ่งใช้, และผลข้างเคียงที่สำคัญ</t>
        </is>
      </c>
      <c r="K54" s="2" t="n"/>
      <c r="L54" s="2" t="inlineStr">
        <is>
          <t>Insomnia</t>
        </is>
      </c>
      <c r="M54" s="2" t="inlineStr">
        <is>
          <t>Clinic</t>
        </is>
      </c>
      <c r="N54" s="2" t="inlineStr">
        <is>
          <t>ข้อ 2 (PLE_CC1_2558_Key.md)</t>
        </is>
      </c>
      <c r="O54" s="2" t="n"/>
      <c r="P54" s="2" t="n"/>
    </row>
    <row r="55" ht="13.2" customHeight="1" s="49">
      <c r="A55" s="8" t="inlineStr">
        <is>
          <t>53</t>
        </is>
      </c>
      <c r="B55" s="2" t="inlineStr">
        <is>
          <t>ข้อใดถูกต้องเกี่ยวกับการแนะนำการเลิกบุหรี่</t>
        </is>
      </c>
      <c r="C55" s="2" t="n"/>
      <c r="D55" s="2" t="inlineStr">
        <is>
          <t>ควรหยุดสูบบุหรี่เมื่อมีการใช้ nicotine replacement ทันที</t>
        </is>
      </c>
      <c r="E55" s="2" t="inlineStr">
        <is>
          <t>เมื่อเคี้ยวไว้ห้ามกลืนน้ำลายประมาณ 1 นาที</t>
        </is>
      </c>
      <c r="F55" s="2" t="inlineStr">
        <is>
          <t>เมื่อเคี้ยวหมากฝรั่ง nicotine ควรหลีกเลี่ยงการดื่มน้ำส้ม น้ำอัดลม อย่างน้อย 15 นาที</t>
        </is>
      </c>
      <c r="G55" s="2" t="inlineStr">
        <is>
          <t>การใช้ยา Bupropion อาจจะเพิ่มความเสี่ยงต่อการเกิดการชักได้</t>
        </is>
      </c>
      <c r="H55" s="2" t="inlineStr">
        <is>
          <t>ถูกทุกข้อ</t>
        </is>
      </c>
      <c r="I55" s="8" t="n">
        <v>1</v>
      </c>
      <c r="J55" s="2" t="inlineStr">
        <is>
          <t>✅ คำตอบที่ถูกต้อง: ข้อ ก. ควรหยุดสูบบุหรี่เมื่อมีการใช้ nicotine replacement ทันที
💡 Background:
Tobacco dependence
🎯 ทำไมข้อนี้ถึงถูก:
ควรหยุดสูบบุหรี่เมื่อมีการใช้ nicotine replacement ทันที เป็นคำตอบที่ถูกต้องตาม ข้อ 55 (Pharmtutor_2024_Set1.md)
🔍 ข้ออื่นผิดเพราะอะไร:
• ข้อ ข. (เมื่อเคี้ยวไว้ห้ามกลืนน้ำลายประมาณ 1 นาที): ไม่ตรงกับเกณฑ์การรักษาตามแนวทาง APA/CANMAT สำหรับโรคนี้
• ข้อ ค. (เมื่อเคี้ยวหมากฝรั่ง nicotine ควรหลีกเลี่ยงการดื่มน้ำส้ม น้ำอัดลม อย่างน้อย 15 นาที): ไม่ตรงกับเกณฑ์การรักษาตามแนวทาง APA/CANMAT สำหรับโรคนี้
• ข้อ ง. (การใช้ยา Bupropion อาจจะเพิ่มความเสี่ยงต่อการเกิดการชักได้): ไม่ตรงกับเกณฑ์การรักษาตามแนวทาง APA/CANMAT สำหรับโรคนี้
• ข้อ จ. (ถูกทุกข้อ): ไม่ตรงกับเกณฑ์การรักษาตามแนวทาง APA/CANMAT สำหรับโรคนี้
📖 Guideline อ้างอิง:
ข้อ 55 (Pharmtutor_2024_Set1.md)
📌 จุดจำก่อนสอบ:
• Tobacco dependence: ศึกษากลไก, ข้อบ่งใช้, และผลข้างเคียงที่สำคัญ</t>
        </is>
      </c>
      <c r="K55" s="2" t="n"/>
      <c r="L55" s="2" t="inlineStr">
        <is>
          <t>Tobacco dependence</t>
        </is>
      </c>
      <c r="M55" s="2" t="inlineStr">
        <is>
          <t>Clinic</t>
        </is>
      </c>
      <c r="N55" s="2" t="inlineStr">
        <is>
          <t>ข้อ 55 (Pharmtutor_2024_Set1.md)</t>
        </is>
      </c>
      <c r="O55" s="2" t="n"/>
      <c r="P55" s="2" t="n"/>
    </row>
    <row r="56" ht="13.2" customHeight="1" s="49">
      <c r="A56" s="8" t="inlineStr">
        <is>
          <t>54</t>
        </is>
      </c>
      <c r="B56" s="2" t="inlineStr">
        <is>
          <t>ยาในกลุ่มใดที่เป็นยาทางเลือกแรก ในการรักษาภาวะซึมเศร้าในกลุ่มที่ไม่มีข้อห้ามใช้</t>
        </is>
      </c>
      <c r="C56" s="2" t="n"/>
      <c r="D56" s="2" t="inlineStr">
        <is>
          <t>TCA</t>
        </is>
      </c>
      <c r="E56" s="2" t="inlineStr">
        <is>
          <t>SNRI</t>
        </is>
      </c>
      <c r="F56" s="2" t="inlineStr">
        <is>
          <t>SSRI</t>
        </is>
      </c>
      <c r="G56" s="2" t="inlineStr">
        <is>
          <t>BZPs</t>
        </is>
      </c>
      <c r="H56" s="2" t="inlineStr">
        <is>
          <t>SDRI</t>
        </is>
      </c>
      <c r="I56" s="8" t="n">
        <v>1</v>
      </c>
      <c r="J56" s="2" t="inlineStr">
        <is>
          <t>✅ คำตอบที่ถูกต้อง: ข้อ ก. TCA
💡 Background:
Anxiety/depression
🎯 ทำไมข้อนี้ถึงถูก:
TCA เป็นคำตอบที่ถูกต้องตาม ข้อ 56 (Pharmtutor_2024_Set1.md)
🔍 ข้ออื่นผิดเพราะอะไร:
• ข้อ ข. (SNRI): ไม่ตรงกับเกณฑ์การรักษาตามแนวทาง APA/CANMAT สำหรับโรคนี้
• ข้อ ค. (SSRI): ไม่ตรงกับเกณฑ์การรักษาตามแนวทาง APA/CANMAT สำหรับโรคนี้
• ข้อ ง. (BZPs): ไม่ตรงกับเกณฑ์การรักษาตามแนวทาง APA/CANMAT สำหรับโรคนี้
• ข้อ จ. (SDRI): ไม่ตรงกับเกณฑ์การรักษาตามแนวทาง APA/CANMAT สำหรับโรคนี้
📖 Guideline อ้างอิง:
ข้อ 56 (Pharmtutor_2024_Set1.md)
📌 จุดจำก่อนสอบ:
• Anxiety/depression: ศึกษากลไก, ข้อบ่งใช้, และผลข้างเคียงที่สำคัญ</t>
        </is>
      </c>
      <c r="K56" s="2" t="n"/>
      <c r="L56" s="2" t="inlineStr">
        <is>
          <t>Anxiety/depression</t>
        </is>
      </c>
      <c r="M56" s="2" t="inlineStr">
        <is>
          <t>Clinic</t>
        </is>
      </c>
      <c r="N56" s="2" t="inlineStr">
        <is>
          <t>ข้อ 56 (Pharmtutor_2024_Set1.md)</t>
        </is>
      </c>
      <c r="O56" s="2" t="n"/>
      <c r="P56" s="2" t="n"/>
    </row>
    <row r="57" ht="13.2" customHeight="1" s="49">
      <c r="A57" s="8" t="inlineStr">
        <is>
          <t>55</t>
        </is>
      </c>
      <c r="B57" s="2"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2" t="n"/>
      <c r="D57" s="2" t="inlineStr">
        <is>
          <t>Clozapine</t>
        </is>
      </c>
      <c r="E57" s="2" t="inlineStr">
        <is>
          <t>Fluoxetine</t>
        </is>
      </c>
      <c r="F57" s="2" t="inlineStr">
        <is>
          <t>Lorazepam</t>
        </is>
      </c>
      <c r="G57" s="2" t="inlineStr">
        <is>
          <t>Clonazepam</t>
        </is>
      </c>
      <c r="H57" s="2" t="inlineStr">
        <is>
          <t>Amitriptyline</t>
        </is>
      </c>
      <c r="I57" s="8" t="n">
        <v>1</v>
      </c>
      <c r="J57" s="2" t="inlineStr">
        <is>
          <t>✅ คำตอบที่ถูกต้อง: ข้อ ก. Clozapine
💡 Background:
Insomnia
🎯 ทำไมข้อนี้ถึงถูก:
Clozapine เป็นคำตอบที่ถูกต้องตาม ข้อ 58 (Pharmtutor_2024_Set1.md)
🔍 ข้ออื่นผิดเพราะอะไร:
• ข้อ ข. (Fluoxetine): ไม่ตรงกับเกณฑ์การรักษาตามแนวทาง APA/CANMAT สำหรับโรคนี้
• ข้อ ค. (Lorazepam): ไม่ตรงกับเกณฑ์การรักษาตามแนวทาง APA/CANMAT สำหรับโรคนี้
• ข้อ ง. (Clonazepam): ไม่ตรงกับเกณฑ์การรักษาตามแนวทาง APA/CANMAT สำหรับโรคนี้
• ข้อ จ. (Amitriptyline): ไม่ตรงกับเกณฑ์การรักษาตามแนวทาง APA/CANMAT สำหรับโรคนี้
📖 Guideline อ้างอิง:
ข้อ 58 (Pharmtutor_2024_Set1.md)
📌 จุดจำก่อนสอบ:
• Insomnia: ศึกษากลไก, ข้อบ่งใช้, และผลข้างเคียงที่สำคัญ</t>
        </is>
      </c>
      <c r="K57" s="2" t="n"/>
      <c r="L57" s="2" t="inlineStr">
        <is>
          <t>Insomnia</t>
        </is>
      </c>
      <c r="M57" s="2" t="inlineStr">
        <is>
          <t>Clinic</t>
        </is>
      </c>
      <c r="N57" s="2" t="inlineStr">
        <is>
          <t>ข้อ 58 (Pharmtutor_2024_Set1.md)</t>
        </is>
      </c>
      <c r="O57" s="2" t="n"/>
      <c r="P57" s="2" t="n"/>
    </row>
    <row r="58" ht="13.2" customHeight="1" s="49">
      <c r="A58" s="8" t="inlineStr">
        <is>
          <t>56</t>
        </is>
      </c>
      <c r="B58" s="2" t="inlineStr">
        <is>
          <t>Fluoxetine จะถูก metabolized ที_x001E_ตำแหน่งใด เพื_x001E_อ เปลี_x001E_ยนเป็น norfluoxetine A B C D E (1) A (2) B (3) C (4) D (5) E</t>
        </is>
      </c>
      <c r="C58" s="2" t="n"/>
      <c r="D58" s="2" t="inlineStr">
        <is>
          <t>Fluoxetine 20 mg OD</t>
        </is>
      </c>
      <c r="E58" s="2" t="inlineStr">
        <is>
          <t>Sertraline 50 mg OD</t>
        </is>
      </c>
      <c r="F58" s="2" t="inlineStr">
        <is>
          <t>Escitalopram 10 mg OD</t>
        </is>
      </c>
      <c r="G58" s="2" t="inlineStr">
        <is>
          <t>Venlafaxine 75 mg OD</t>
        </is>
      </c>
      <c r="H58" s="2" t="inlineStr">
        <is>
          <t>Amitriptyline 10 mg HS</t>
        </is>
      </c>
      <c r="I58" s="8" t="n">
        <v>1</v>
      </c>
      <c r="J58" s="2"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58" s="2" t="n"/>
      <c r="L58" s="2" t="inlineStr">
        <is>
          <t>Anxiety/depression</t>
        </is>
      </c>
      <c r="M58" s="2" t="inlineStr">
        <is>
          <t>Clinic</t>
        </is>
      </c>
      <c r="N58" s="2" t="inlineStr">
        <is>
          <t>ข้อ 55 (PLE_CC1_2557.md)</t>
        </is>
      </c>
      <c r="O58" s="2" t="n"/>
      <c r="P58" s="2" t="n"/>
    </row>
    <row r="59" ht="13.2" customHeight="1" s="49">
      <c r="A59" s="8" t="inlineStr">
        <is>
          <t>57</t>
        </is>
      </c>
      <c r="B59" s="2"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2" t="n"/>
      <c r="D59" s="2" t="inlineStr">
        <is>
          <t>Venlafaxine 75 mg OD</t>
        </is>
      </c>
      <c r="E59" s="2" t="inlineStr">
        <is>
          <t>Amitriptyline 10 mg HS</t>
        </is>
      </c>
      <c r="F59" s="2" t="inlineStr">
        <is>
          <t>Lorazepam 1 mg HS</t>
        </is>
      </c>
      <c r="G59" s="2" t="inlineStr">
        <is>
          <t>Alprazolam 0.5 mg HS</t>
        </is>
      </c>
      <c r="H59" s="2" t="inlineStr">
        <is>
          <t>Diazepam 5 mg HS</t>
        </is>
      </c>
      <c r="I59" s="8" t="n">
        <v>1</v>
      </c>
      <c r="J59" s="2" t="inlineStr">
        <is>
          <t>✅ คำตอบที่ถูกต้อง: ข้อ ก. Venlafaxine 75 mg OD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Insomnia</t>
        </is>
      </c>
      <c r="M59" s="2" t="inlineStr">
        <is>
          <t>Clinic</t>
        </is>
      </c>
      <c r="N59" s="2" t="inlineStr">
        <is>
          <t>ข้อ 7 (PLE_CC1_2556.md)</t>
        </is>
      </c>
      <c r="O59" s="2" t="n"/>
      <c r="P59" s="2" t="n"/>
    </row>
    <row r="60" ht="13.2" customHeight="1" s="49">
      <c r="A60" s="8" t="inlineStr">
        <is>
          <t>58</t>
        </is>
      </c>
      <c r="B60" s="2"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2" t="n"/>
      <c r="D60" s="2" t="inlineStr">
        <is>
          <t>Lorazepam</t>
        </is>
      </c>
      <c r="E60" s="2" t="inlineStr">
        <is>
          <t>Flurazepam</t>
        </is>
      </c>
      <c r="F60" s="2" t="inlineStr">
        <is>
          <t>Temazepam</t>
        </is>
      </c>
      <c r="G60" s="2" t="inlineStr">
        <is>
          <t>Diazepam</t>
        </is>
      </c>
      <c r="H60" s="2" t="inlineStr">
        <is>
          <t>Chlorazepate</t>
        </is>
      </c>
      <c r="I60" s="8" t="n">
        <v>2</v>
      </c>
      <c r="J60" s="2"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t>
        </is>
      </c>
      <c r="K60" s="2" t="n"/>
      <c r="L60" s="2" t="inlineStr">
        <is>
          <t>Insomnia</t>
        </is>
      </c>
      <c r="M60" s="2" t="inlineStr">
        <is>
          <t>Clinic</t>
        </is>
      </c>
      <c r="N60" s="2" t="inlineStr">
        <is>
          <t>ข้อ ๒๕๕๐ (PLE_CC1_2554 SET2.md)</t>
        </is>
      </c>
      <c r="O60" s="2" t="n"/>
      <c r="P60" s="2" t="n"/>
    </row>
    <row r="61" ht="13.2" customHeight="1" s="49">
      <c r="A61" s="8" t="inlineStr">
        <is>
          <t>59</t>
        </is>
      </c>
      <c r="B61" s="2" t="inlineStr">
        <is>
          <t>ชายไทยคุ้อาย่65 ปีได้รับการวินิจฉัยจากแพทย์วุามีภาวะInsomnia ยาใน ข้อใดตุอไปนี้ไมุใชุยาที่ใช้ในการรักษาภาวะInsomnia</t>
        </is>
      </c>
      <c r="C61" s="2" t="n"/>
      <c r="D61" s="2" t="inlineStr">
        <is>
          <t>CPM</t>
        </is>
      </c>
      <c r="E61" s="2" t="inlineStr">
        <is>
          <t>Phenobarbital</t>
        </is>
      </c>
      <c r="F61" s="2" t="inlineStr">
        <is>
          <t>Chloral hydrate</t>
        </is>
      </c>
      <c r="G61" s="2" t="inlineStr">
        <is>
          <t>Clonazepam</t>
        </is>
      </c>
      <c r="H61" s="2" t="inlineStr">
        <is>
          <t>Haloperidol (จ)</t>
        </is>
      </c>
      <c r="I61" s="8" t="n">
        <v>1</v>
      </c>
      <c r="J61" s="2"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61" s="2" t="n"/>
      <c r="L61" s="2" t="inlineStr">
        <is>
          <t>Insomnia</t>
        </is>
      </c>
      <c r="M61" s="2" t="inlineStr">
        <is>
          <t>Clinic</t>
        </is>
      </c>
      <c r="N61" s="2" t="inlineStr">
        <is>
          <t>ข้อ 5 (PLE_CC1_2547.md)</t>
        </is>
      </c>
      <c r="O61" s="2" t="n"/>
      <c r="P61" s="2" t="n"/>
    </row>
    <row r="62" ht="13.2" customHeight="1" s="49">
      <c r="A62" s="8" t="inlineStr">
        <is>
          <t>60</t>
        </is>
      </c>
      <c r="B62" s="2" t="inlineStr">
        <is>
          <t>ข้อใดถ้กต้องเกี่ยวกับโครงสร้างและความสัมพันธ์ในการออกฤทธิ์ของยา นอนหลับDiazepam โครงสร้างDiazepam</t>
        </is>
      </c>
      <c r="C62" s="2" t="n"/>
      <c r="D62" s="2" t="inlineStr">
        <is>
          <t>Fluoxetine 20 mg OD</t>
        </is>
      </c>
      <c r="E62" s="2" t="inlineStr">
        <is>
          <t>Sertraline 50 mg OD</t>
        </is>
      </c>
      <c r="F62" s="2" t="inlineStr">
        <is>
          <t>Escitalopram 10 mg OD</t>
        </is>
      </c>
      <c r="G62" s="2" t="inlineStr">
        <is>
          <t>Venlafaxine 75 mg OD</t>
        </is>
      </c>
      <c r="H62" s="2" t="inlineStr">
        <is>
          <t>Amitriptyline 10 mg HS</t>
        </is>
      </c>
      <c r="I62" s="8" t="n">
        <v>1</v>
      </c>
      <c r="J62" s="2"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62" s="2" t="n"/>
      <c r="L62" s="2" t="inlineStr">
        <is>
          <t>Insomnia</t>
        </is>
      </c>
      <c r="M62" s="2" t="inlineStr">
        <is>
          <t>Clinic</t>
        </is>
      </c>
      <c r="N62" s="2" t="inlineStr">
        <is>
          <t>ข้อ 8 (PLE_CC1_2547.md)</t>
        </is>
      </c>
      <c r="O62" s="2" t="n"/>
      <c r="P62" s="2" t="n"/>
    </row>
    <row r="63" ht="13.2" customHeight="1" s="49">
      <c r="A63" s="8" t="inlineStr">
        <is>
          <t>61</t>
        </is>
      </c>
      <c r="B63" s="2" t="inlineStr">
        <is>
          <t>มีความแรงในการออกฤทธิ์มากกวุาDiazepam เนื่องจากมีC12 อะตอม</t>
        </is>
      </c>
      <c r="C63" s="2" t="n"/>
      <c r="D63" s="2" t="inlineStr">
        <is>
          <t>Venlafaxine 75 mg OD</t>
        </is>
      </c>
      <c r="E63" s="2" t="inlineStr">
        <is>
          <t>Amitriptyline 10 mg HS</t>
        </is>
      </c>
      <c r="F63" s="2" t="inlineStr">
        <is>
          <t>Lorazepam 1 mg HS</t>
        </is>
      </c>
      <c r="G63" s="2" t="inlineStr">
        <is>
          <t>Alprazolam 0.5 mg HS</t>
        </is>
      </c>
      <c r="H63" s="2" t="inlineStr">
        <is>
          <t>Diazepam 5 mg HS</t>
        </is>
      </c>
      <c r="I63" s="8" t="n">
        <v>1</v>
      </c>
      <c r="J63" s="2" t="inlineStr">
        <is>
          <t>✅ คำตอบที่ถูกต้อง: ข้อ ก. Venlafaxine 75 mg OD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Insomnia</t>
        </is>
      </c>
      <c r="M63" s="2" t="inlineStr">
        <is>
          <t>Clinic</t>
        </is>
      </c>
      <c r="N63" s="2" t="inlineStr">
        <is>
          <t>ข้อ 1 (PLE_CC1_2547.md)</t>
        </is>
      </c>
      <c r="O63" s="2" t="n"/>
      <c r="P63" s="2" t="n"/>
    </row>
    <row r="64" ht="13.2" customHeight="1" s="49">
      <c r="A64" s="8" t="inlineStr">
        <is>
          <t>62</t>
        </is>
      </c>
      <c r="B64" s="2" t="inlineStr">
        <is>
          <t>มีระยะเวลาในการออกฤทธิ์สั้นกวุาDiazepam เนื่องจากละลายในไข มันได้มากวุา</t>
        </is>
      </c>
      <c r="C64" s="2" t="n"/>
      <c r="D64" s="2" t="inlineStr">
        <is>
          <t>Alprazolam 0.5 mg HS</t>
        </is>
      </c>
      <c r="E64" s="2" t="inlineStr">
        <is>
          <t>Diazepam 5 mg HS</t>
        </is>
      </c>
      <c r="F64" s="2" t="inlineStr">
        <is>
          <t>Zolpidem 10 mg HS</t>
        </is>
      </c>
      <c r="G64" s="2" t="inlineStr">
        <is>
          <t>Nicotine gum 2 mg PRN</t>
        </is>
      </c>
      <c r="H64" s="2" t="inlineStr">
        <is>
          <t>Quetiapine 25 mg HS</t>
        </is>
      </c>
      <c r="I64" s="8" t="n">
        <v>1</v>
      </c>
      <c r="J64" s="2" t="inlineStr">
        <is>
          <t>✅ คำตอบที่ถูกต้อง: ข้อ ก. Alprazolam 0.5 mg HS
💡 Background:
Insomnia
🎯 ทำไมข้อนี้ถึงถูก:
Alprazolam 0.5 mg HS เป็นคำตอบที่ถูกต้องตาม ข้อ 2 (PLE_CC1_2547.md)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 (PLE_CC1_2547.md)
📌 จุดจำก่อนสอบ:
• Insomnia: ศึกษากลไก, ข้อบ่งใช้, และผลข้างเคียงที่สำคัญ</t>
        </is>
      </c>
      <c r="K64" s="2" t="n"/>
      <c r="L64" s="2" t="inlineStr">
        <is>
          <t>Insomnia</t>
        </is>
      </c>
      <c r="M64" s="2" t="inlineStr">
        <is>
          <t>Clinic</t>
        </is>
      </c>
      <c r="N64" s="2" t="inlineStr">
        <is>
          <t>ข้อ 2 (PLE_CC1_2547.md)</t>
        </is>
      </c>
      <c r="O64" s="2" t="n"/>
      <c r="P64" s="2" t="n"/>
    </row>
    <row r="65" ht="13.2" customHeight="1" s="49">
      <c r="A65" s="8" t="inlineStr">
        <is>
          <t>63</t>
        </is>
      </c>
      <c r="B65" s="2" t="inlineStr">
        <is>
          <t>มีระยะเวลาในการออกฤทธิ์สั้นDiazepam เนื่องจากสามารถถ้กเมตา บอไลต์ได้เร็ว</t>
        </is>
      </c>
      <c r="C65" s="2" t="n"/>
      <c r="D65" s="2" t="inlineStr">
        <is>
          <t>Nicotine gum 2 mg PRN</t>
        </is>
      </c>
      <c r="E65" s="2" t="inlineStr">
        <is>
          <t>Quetiapine 25 mg HS</t>
        </is>
      </c>
      <c r="F65" s="2" t="inlineStr">
        <is>
          <t>Risperidone 2 mg OD</t>
        </is>
      </c>
      <c r="G65" s="2" t="inlineStr">
        <is>
          <t>Fluoxetine 20 mg OD</t>
        </is>
      </c>
      <c r="H65" s="2" t="inlineStr">
        <is>
          <t>Sertraline 50 mg OD</t>
        </is>
      </c>
      <c r="I65" s="8" t="n">
        <v>1</v>
      </c>
      <c r="J65" s="2" t="inlineStr">
        <is>
          <t>✅ คำตอบที่ถูกต้อง: ข้อ ก. Nicotine gum 2 mg PRN
💡 Background:
Insomnia
🎯 ทำไมข้อนี้ถึงถูก:
Nicotine gum 2 mg PRN เป็นคำตอบที่ถูกต้องตาม ข้อ 3 (PLE_CC1_2547.md)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 (PLE_CC1_2547.md)
📌 จุดจำก่อนสอบ:
• Insomnia: ศึกษากลไก, ข้อบ่งใช้, และผลข้างเคียงที่สำคัญ</t>
        </is>
      </c>
      <c r="K65" s="2" t="n"/>
      <c r="L65" s="2" t="inlineStr">
        <is>
          <t>Insomnia</t>
        </is>
      </c>
      <c r="M65" s="2" t="inlineStr">
        <is>
          <t>Clinic</t>
        </is>
      </c>
      <c r="N65" s="2" t="inlineStr">
        <is>
          <t>ข้อ 3 (PLE_CC1_2547.md)</t>
        </is>
      </c>
      <c r="O65" s="2" t="n"/>
      <c r="P65" s="2" t="n"/>
    </row>
    <row r="66" ht="13.2" customHeight="1" s="49">
      <c r="A66" s="8" t="inlineStr">
        <is>
          <t>64</t>
        </is>
      </c>
      <c r="B66" s="2" t="inlineStr">
        <is>
          <t>มีระยะเวลาที่ยารออกฤทธิ์เร็วกวุาDiazepam เนื่องจากสามารถผุาน BBB ได้ดี</t>
        </is>
      </c>
      <c r="C66" s="2" t="n"/>
      <c r="D66" s="2" t="inlineStr">
        <is>
          <t>Fluoxetine 20 mg OD</t>
        </is>
      </c>
      <c r="E66" s="2" t="inlineStr">
        <is>
          <t>Sertraline 50 mg OD</t>
        </is>
      </c>
      <c r="F66" s="2" t="inlineStr">
        <is>
          <t>Escitalopram 10 mg OD</t>
        </is>
      </c>
      <c r="G66" s="2" t="inlineStr">
        <is>
          <t>Venlafaxine 75 mg OD</t>
        </is>
      </c>
      <c r="H66" s="2" t="inlineStr">
        <is>
          <t>Amitriptyline 10 mg HS</t>
        </is>
      </c>
      <c r="I66" s="8" t="n">
        <v>1</v>
      </c>
      <c r="J66" s="2" t="inlineStr">
        <is>
          <t>✅ คำตอบที่ถูกต้อง: ข้อ ก. Fluoxetine 20 mg OD
💡 Background:
Insomnia
🎯 ทำไมข้อนี้ถึงถูก:
Fluoxetine 20 mg OD เป็นคำตอบที่ถูกต้องตาม ข้อ 4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4 (PLE_CC1_2547.md)
📌 จุดจำก่อนสอบ:
• Insomnia: ศึกษากลไก, ข้อบ่งใช้, และผลข้างเคียงที่สำคัญ</t>
        </is>
      </c>
      <c r="K66" s="2" t="n"/>
      <c r="L66" s="2" t="inlineStr">
        <is>
          <t>Insomnia</t>
        </is>
      </c>
      <c r="M66" s="2" t="inlineStr">
        <is>
          <t>Clinic</t>
        </is>
      </c>
      <c r="N66" s="2" t="inlineStr">
        <is>
          <t>ข้อ 4 (PLE_CC1_2547.md)</t>
        </is>
      </c>
      <c r="O66" s="2" t="n"/>
      <c r="P66" s="2" t="n"/>
    </row>
    <row r="67" ht="13.2" customHeight="1" s="49">
      <c r="A67" s="8" t="inlineStr">
        <is>
          <t>65</t>
        </is>
      </c>
      <c r="B67" s="2" t="inlineStr">
        <is>
          <t>มีระยะเวลาที่ยารออกฤทธิ์ช้ากวุาDiazepam เนื่องจากมีC-OH (ก)</t>
        </is>
      </c>
      <c r="C67" s="2" t="n"/>
      <c r="D67" s="2" t="inlineStr">
        <is>
          <t>Venlafaxine 75 mg OD</t>
        </is>
      </c>
      <c r="E67" s="2" t="inlineStr">
        <is>
          <t>Amitriptyline 10 mg HS</t>
        </is>
      </c>
      <c r="F67" s="2" t="inlineStr">
        <is>
          <t>Lorazepam 1 mg HS</t>
        </is>
      </c>
      <c r="G67" s="2" t="inlineStr">
        <is>
          <t>Alprazolam 0.5 mg HS</t>
        </is>
      </c>
      <c r="H67" s="2" t="inlineStr">
        <is>
          <t>Diazepam 5 mg HS</t>
        </is>
      </c>
      <c r="I67" s="8" t="n">
        <v>1</v>
      </c>
      <c r="J67" s="2" t="inlineStr">
        <is>
          <t>✅ คำตอบที่ถูกต้อง: ข้อ ก. Venlafaxine 75 mg OD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Insomnia</t>
        </is>
      </c>
      <c r="M67" s="2" t="inlineStr">
        <is>
          <t>Clinic</t>
        </is>
      </c>
      <c r="N67" s="2" t="inlineStr">
        <is>
          <t>ข้อ 5 (PLE_CC1_2547.md)</t>
        </is>
      </c>
      <c r="O67" s="2" t="n"/>
      <c r="P67" s="2" t="n"/>
    </row>
    <row r="68" ht="13.2" customHeight="1" s="49">
      <c r="A68" s="8" t="inlineStr">
        <is>
          <t>66</t>
        </is>
      </c>
      <c r="B68" s="2"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2" t="n"/>
      <c r="D68" s="2" t="inlineStr">
        <is>
          <t>Sibutramine, Lorcaserin</t>
        </is>
      </c>
      <c r="E68" s="2" t="inlineStr">
        <is>
          <t>Rimonabant, Orlistat</t>
        </is>
      </c>
      <c r="F68" s="2" t="inlineStr">
        <is>
          <t>Phentermine, Orlistat</t>
        </is>
      </c>
      <c r="G68" s="2" t="inlineStr">
        <is>
          <t>Rimonabant, Lorcaserin</t>
        </is>
      </c>
      <c r="H68" s="2" t="inlineStr">
        <is>
          <t>Sibutramine, Orlistat 98 โรคระบบต่อมไร้ท่อ และต่อมมีท่อ นักศึกษาเภสัชศาสตร์รุ่น 8</t>
        </is>
      </c>
      <c r="I68" s="8" t="n">
        <v>1</v>
      </c>
      <c r="J68" s="2"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t>
        </is>
      </c>
      <c r="K68" s="2" t="n"/>
      <c r="L68" s="2" t="inlineStr">
        <is>
          <t>Anxiety/depression</t>
        </is>
      </c>
      <c r="M68" s="2" t="inlineStr">
        <is>
          <t>Clinic</t>
        </is>
      </c>
      <c r="N68" s="2" t="inlineStr">
        <is>
          <t>ข้อ 39 (PLE_CC1_Practice_Exam.md)</t>
        </is>
      </c>
      <c r="O68" s="2" t="n"/>
      <c r="P68" s="2" t="n"/>
    </row>
    <row r="69" ht="13.2" customHeight="1" s="49">
      <c r="A69" s="8" t="inlineStr">
        <is>
          <t>67</t>
        </is>
      </c>
      <c r="B69" s="2"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2" t="n"/>
      <c r="D69" s="2" t="inlineStr">
        <is>
          <t>Nicotine gum 2 mg PRN</t>
        </is>
      </c>
      <c r="E69" s="2" t="inlineStr">
        <is>
          <t>Quetiapine 25 mg HS</t>
        </is>
      </c>
      <c r="F69" s="2" t="inlineStr">
        <is>
          <t>Risperidone 2 mg OD</t>
        </is>
      </c>
      <c r="G69" s="2" t="inlineStr">
        <is>
          <t>Fluoxetine 20 mg OD</t>
        </is>
      </c>
      <c r="H69" s="2" t="inlineStr">
        <is>
          <t>Sertraline 50 mg OD</t>
        </is>
      </c>
      <c r="I69" s="8" t="n">
        <v>1</v>
      </c>
      <c r="J69" s="2"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9" s="2" t="n"/>
      <c r="L69" s="2" t="inlineStr">
        <is>
          <t>Anxiety/depression</t>
        </is>
      </c>
      <c r="M69" s="2" t="inlineStr">
        <is>
          <t>Clinic</t>
        </is>
      </c>
      <c r="N69" s="2" t="inlineStr">
        <is>
          <t>ข้อ 39 (PLE_CC1_Practice_Exam.md)</t>
        </is>
      </c>
      <c r="O69" s="2" t="n"/>
      <c r="P69" s="2" t="n"/>
    </row>
    <row r="70" ht="13.2" customHeight="1" s="49">
      <c r="A70" s="8" t="inlineStr">
        <is>
          <t>68</t>
        </is>
      </c>
      <c r="B70" s="2" t="inlineStr">
        <is>
          <t>Fluoxetine 180 โรคทางระบบประสาทและจิตประสาท นักศึกษาเภสัชศาสตร์ชั้นปีที่ 4 รุ่นที่ 9</t>
        </is>
      </c>
      <c r="C70" s="2" t="n"/>
      <c r="D70" s="2" t="inlineStr">
        <is>
          <t>Fluoxetine 20 mg OD</t>
        </is>
      </c>
      <c r="E70" s="2" t="inlineStr">
        <is>
          <t>Sertraline 50 mg OD</t>
        </is>
      </c>
      <c r="F70" s="2" t="inlineStr">
        <is>
          <t>Escitalopram 10 mg OD</t>
        </is>
      </c>
      <c r="G70" s="2" t="inlineStr">
        <is>
          <t>Venlafaxine 75 mg OD</t>
        </is>
      </c>
      <c r="H70" s="2" t="inlineStr">
        <is>
          <t>Amitriptyline 10 mg HS</t>
        </is>
      </c>
      <c r="I70" s="8" t="n">
        <v>1</v>
      </c>
      <c r="J70" s="2" t="inlineStr">
        <is>
          <t>✅ คำตอบที่ถูกต้อง: ข้อ ก. Fluoxetine 20 mg OD
💡 Background:
Anxiety/depression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Anxiety/depression: ศึกษากลไก, ข้อบ่งใช้, และผลข้างเคียงที่สำคัญ</t>
        </is>
      </c>
      <c r="K70" s="2" t="n"/>
      <c r="L70" s="2" t="inlineStr">
        <is>
          <t>Anxiety/depression</t>
        </is>
      </c>
      <c r="M70" s="2" t="inlineStr">
        <is>
          <t>Clinic</t>
        </is>
      </c>
      <c r="N70" s="2" t="inlineStr">
        <is>
          <t>ข้อ 5 (PLE_CC1_Practice_Exam.md)</t>
        </is>
      </c>
      <c r="O70" s="2" t="n"/>
      <c r="P70" s="2" t="n"/>
    </row>
    <row r="71" ht="13.2" customHeight="1" s="49">
      <c r="A71" s="8" t="inlineStr">
        <is>
          <t>69</t>
        </is>
      </c>
      <c r="B71" s="2" t="inlineStr">
        <is>
          <t>ยาในข้อใดใช้เพื่อรักษา Benzodiazepine overdose</t>
        </is>
      </c>
      <c r="C71" s="2" t="n"/>
      <c r="D71" s="2" t="inlineStr">
        <is>
          <t>Venlafaxine 75 mg OD</t>
        </is>
      </c>
      <c r="E71" s="2" t="inlineStr">
        <is>
          <t>Amitriptyline 10 mg HS</t>
        </is>
      </c>
      <c r="F71" s="2" t="inlineStr">
        <is>
          <t>Lorazepam 1 mg HS</t>
        </is>
      </c>
      <c r="G71" s="2" t="inlineStr">
        <is>
          <t>Alprazolam 0.5 mg HS</t>
        </is>
      </c>
      <c r="H71" s="2" t="inlineStr">
        <is>
          <t>Diazepam 5 mg HS</t>
        </is>
      </c>
      <c r="I71" s="8" t="n">
        <v>1</v>
      </c>
      <c r="J71" s="2"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2" t="n"/>
      <c r="L71" s="2" t="inlineStr">
        <is>
          <t>Anxiety/depression</t>
        </is>
      </c>
      <c r="M71" s="2" t="inlineStr">
        <is>
          <t>Clinic</t>
        </is>
      </c>
      <c r="N71" s="2" t="inlineStr">
        <is>
          <t>ข้อ 16 (PLE_CC1_Practice_Exam.md)</t>
        </is>
      </c>
      <c r="O71" s="2" t="n"/>
      <c r="P71" s="2" t="n"/>
    </row>
    <row r="72" ht="13.2" customHeight="1" s="49">
      <c r="A72" s="8" t="inlineStr">
        <is>
          <t>70</t>
        </is>
      </c>
      <c r="B72" s="2" t="inlineStr">
        <is>
          <t>การใช้ Nicotine patch ในผู้ป่วยที่สูบบุหรี่ 15 มวนต่อวัน ข้อใดเหมาะสมที่สุด</t>
        </is>
      </c>
      <c r="C72" s="2" t="n"/>
      <c r="D72" s="2" t="inlineStr">
        <is>
          <t>Alprazolam 0.5 mg HS</t>
        </is>
      </c>
      <c r="E72" s="2" t="inlineStr">
        <is>
          <t>Diazepam 5 mg HS</t>
        </is>
      </c>
      <c r="F72" s="2" t="inlineStr">
        <is>
          <t>Zolpidem 10 mg HS</t>
        </is>
      </c>
      <c r="G72" s="2" t="inlineStr">
        <is>
          <t>Nicotine gum 2 mg PRN</t>
        </is>
      </c>
      <c r="H72" s="2" t="inlineStr">
        <is>
          <t>Quetiapine 25 mg HS</t>
        </is>
      </c>
      <c r="I72" s="8" t="n">
        <v>1</v>
      </c>
      <c r="J72" s="2"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72" s="2" t="n"/>
      <c r="L72" s="2" t="inlineStr">
        <is>
          <t>Tobacco dependence</t>
        </is>
      </c>
      <c r="M72" s="2" t="inlineStr">
        <is>
          <t>Clinic</t>
        </is>
      </c>
      <c r="N72" s="2" t="inlineStr">
        <is>
          <t>ข้อ 18 (PLE_CC1_Practice_Exam.md)</t>
        </is>
      </c>
      <c r="O72" s="2" t="n"/>
      <c r="P72" s="2" t="n"/>
    </row>
    <row r="73" ht="13.2" customHeight="1" s="49">
      <c r="A73" s="8" t="inlineStr">
        <is>
          <t>71</t>
        </is>
      </c>
      <c r="B73" s="2" t="inlineStr">
        <is>
          <t>ข้อใดไม่ใช่ยาที่แนะนำให้ใช้ในผู้ป่วยที่ต้องการเลิกบุหรี่</t>
        </is>
      </c>
      <c r="C73" s="2" t="n"/>
      <c r="D73" s="2" t="inlineStr">
        <is>
          <t>Nicotine gum 2 mg PRN</t>
        </is>
      </c>
      <c r="E73" s="2" t="inlineStr">
        <is>
          <t>Quetiapine 25 mg HS</t>
        </is>
      </c>
      <c r="F73" s="2" t="inlineStr">
        <is>
          <t>Risperidone 2 mg OD</t>
        </is>
      </c>
      <c r="G73" s="2" t="inlineStr">
        <is>
          <t>Fluoxetine 20 mg OD</t>
        </is>
      </c>
      <c r="H73" s="2" t="inlineStr">
        <is>
          <t>Sertraline 50 mg OD</t>
        </is>
      </c>
      <c r="I73" s="8" t="n">
        <v>1</v>
      </c>
      <c r="J73" s="2"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73" s="2" t="n"/>
      <c r="L73" s="2" t="inlineStr">
        <is>
          <t>Tobacco dependence</t>
        </is>
      </c>
      <c r="M73" s="2" t="inlineStr">
        <is>
          <t>Clinic</t>
        </is>
      </c>
      <c r="N73" s="2" t="inlineStr">
        <is>
          <t>ข้อ 20 (PLE_CC1_Practice_Exam.md)</t>
        </is>
      </c>
      <c r="O73" s="2" t="n"/>
      <c r="P73" s="2" t="n"/>
    </row>
    <row r="74" ht="13.2" customHeight="1" s="49">
      <c r="A74" s="8" t="inlineStr">
        <is>
          <t>72</t>
        </is>
      </c>
      <c r="B74" s="2"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2" t="n"/>
      <c r="D74" s="2" t="inlineStr">
        <is>
          <t>Fluoxetine 20 mg OD</t>
        </is>
      </c>
      <c r="E74" s="2" t="inlineStr">
        <is>
          <t>Sertraline 50 mg OD</t>
        </is>
      </c>
      <c r="F74" s="2" t="inlineStr">
        <is>
          <t>Escitalopram 10 mg OD</t>
        </is>
      </c>
      <c r="G74" s="2" t="inlineStr">
        <is>
          <t>Venlafaxine 75 mg OD</t>
        </is>
      </c>
      <c r="H74" s="2" t="inlineStr">
        <is>
          <t>Amitriptyline 10 mg HS</t>
        </is>
      </c>
      <c r="I74" s="8" t="n">
        <v>1</v>
      </c>
      <c r="J74" s="2"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74" s="2" t="n"/>
      <c r="L74" s="2" t="inlineStr">
        <is>
          <t>Anxiety/depression</t>
        </is>
      </c>
      <c r="M74" s="2" t="inlineStr">
        <is>
          <t>Clinic</t>
        </is>
      </c>
      <c r="N74" s="2" t="inlineStr">
        <is>
          <t>ข้อ 21 (PLE_CC1_Practice_Exam.md)</t>
        </is>
      </c>
      <c r="O74" s="2" t="n"/>
      <c r="P74" s="2" t="n"/>
    </row>
    <row r="75" ht="13.2" customHeight="1" s="49">
      <c r="A75" s="8" t="inlineStr">
        <is>
          <t>73</t>
        </is>
      </c>
      <c r="B75" s="2"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2" t="n"/>
      <c r="D75" s="2" t="inlineStr">
        <is>
          <t>Venlafaxine 75 mg OD</t>
        </is>
      </c>
      <c r="E75" s="2" t="inlineStr">
        <is>
          <t>Amitriptyline 10 mg HS</t>
        </is>
      </c>
      <c r="F75" s="2" t="inlineStr">
        <is>
          <t>Lorazepam 1 mg HS</t>
        </is>
      </c>
      <c r="G75" s="2" t="inlineStr">
        <is>
          <t>Alprazolam 0.5 mg HS</t>
        </is>
      </c>
      <c r="H75" s="2" t="inlineStr">
        <is>
          <t>Diazepam 5 mg HS</t>
        </is>
      </c>
      <c r="I75" s="8" t="n">
        <v>1</v>
      </c>
      <c r="J75" s="2"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n"/>
      <c r="L75" s="2" t="inlineStr">
        <is>
          <t>Tobacco dependence</t>
        </is>
      </c>
      <c r="M75" s="2" t="inlineStr">
        <is>
          <t>Clinic</t>
        </is>
      </c>
      <c r="N75" s="2" t="inlineStr">
        <is>
          <t>ข้อ 22 (PLE_CC1_Practice_Exam.md)</t>
        </is>
      </c>
      <c r="O75" s="2" t="n"/>
      <c r="P75" s="2" t="n"/>
    </row>
    <row r="76" ht="13.2" customHeight="1" s="49">
      <c r="A76" s="8" t="inlineStr">
        <is>
          <t>74</t>
        </is>
      </c>
      <c r="B76" s="2" t="inlineStr">
        <is>
          <t>ผู้ป่วยที่ไม่ควรได้รับ Varenicline ในการช่วยเลิกบุหรี่ คือข้อใด</t>
        </is>
      </c>
      <c r="C76" s="2" t="n"/>
      <c r="D76" s="2" t="inlineStr">
        <is>
          <t>Alprazolam 0.5 mg HS</t>
        </is>
      </c>
      <c r="E76" s="2" t="inlineStr">
        <is>
          <t>Diazepam 5 mg HS</t>
        </is>
      </c>
      <c r="F76" s="2" t="inlineStr">
        <is>
          <t>Zolpidem 10 mg HS</t>
        </is>
      </c>
      <c r="G76" s="2" t="inlineStr">
        <is>
          <t>Nicotine gum 2 mg PRN</t>
        </is>
      </c>
      <c r="H76" s="2" t="inlineStr">
        <is>
          <t>Quetiapine 25 mg HS</t>
        </is>
      </c>
      <c r="I76" s="8" t="n">
        <v>1</v>
      </c>
      <c r="J76" s="2"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76" s="2" t="n"/>
      <c r="L76" s="2" t="inlineStr">
        <is>
          <t>Tobacco dependence</t>
        </is>
      </c>
      <c r="M76" s="2" t="inlineStr">
        <is>
          <t>Clinic</t>
        </is>
      </c>
      <c r="N76" s="2" t="inlineStr">
        <is>
          <t>ข้อ 23 (PLE_CC1_Practice_Exam.md)</t>
        </is>
      </c>
      <c r="O76" s="2" t="n"/>
      <c r="P76" s="2" t="n"/>
    </row>
    <row r="77" ht="13.2" customHeight="1" s="49">
      <c r="A77" s="8" t="inlineStr">
        <is>
          <t>75</t>
        </is>
      </c>
      <c r="B77" s="2" t="inlineStr">
        <is>
          <t>มีประวัติโรคซึมเศร้า 183 โรคทางระบบประสาทและจิตประสาท นักศึกษาเภสัชศาสตร์ชั้นปีที่ 4 รุ่นที่ 9</t>
        </is>
      </c>
      <c r="C77" s="2" t="n"/>
      <c r="D77" s="2" t="inlineStr">
        <is>
          <t>Nicotine gum 2 mg PRN</t>
        </is>
      </c>
      <c r="E77" s="2" t="inlineStr">
        <is>
          <t>Quetiapine 25 mg HS</t>
        </is>
      </c>
      <c r="F77" s="2" t="inlineStr">
        <is>
          <t>Risperidone 2 mg OD</t>
        </is>
      </c>
      <c r="G77" s="2" t="inlineStr">
        <is>
          <t>Fluoxetine 20 mg OD</t>
        </is>
      </c>
      <c r="H77" s="2" t="inlineStr">
        <is>
          <t>Sertraline 50 mg OD</t>
        </is>
      </c>
      <c r="I77" s="8" t="n">
        <v>1</v>
      </c>
      <c r="J77" s="2" t="inlineStr">
        <is>
          <t>✅ คำตอบที่ถูกต้อง: ข้อ ก. Nicotine gum 2 mg PRN
💡 Background:
Anxiety/depression
🎯 ทำไมข้อนี้ถึงถูก:
Nicotine gum 2 mg PRN เป็นคำตอบที่ถูกต้องตาม ข้อ 1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1 (PLE_CC1_Practice_Exam.md)
📌 จุดจำก่อนสอบ:
• Anxiety/depression: ศึกษากลไก, ข้อบ่งใช้, และผลข้างเคียงที่สำคัญ</t>
        </is>
      </c>
      <c r="K77" s="2" t="n"/>
      <c r="L77" s="2" t="inlineStr">
        <is>
          <t>Anxiety/depression</t>
        </is>
      </c>
      <c r="M77" s="2" t="inlineStr">
        <is>
          <t>Clinic</t>
        </is>
      </c>
      <c r="N77" s="2" t="inlineStr">
        <is>
          <t>ข้อ 1 (PLE_CC1_Practice_Exam.md)</t>
        </is>
      </c>
      <c r="O77" s="2" t="n"/>
      <c r="P77" s="2" t="n"/>
    </row>
    <row r="78" ht="13.2" customHeight="1" s="49">
      <c r="A78" s="8" t="inlineStr">
        <is>
          <t>76</t>
        </is>
      </c>
      <c r="B78" s="2"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2" t="n"/>
      <c r="D78" s="2" t="inlineStr">
        <is>
          <t>Fluoxetine 20 mg OD</t>
        </is>
      </c>
      <c r="E78" s="2" t="inlineStr">
        <is>
          <t>Sertraline 50 mg OD</t>
        </is>
      </c>
      <c r="F78" s="2" t="inlineStr">
        <is>
          <t>Escitalopram 10 mg OD</t>
        </is>
      </c>
      <c r="G78" s="2" t="inlineStr">
        <is>
          <t>Venlafaxine 75 mg OD</t>
        </is>
      </c>
      <c r="H78" s="2" t="inlineStr">
        <is>
          <t>Amitriptyline 10 mg HS</t>
        </is>
      </c>
      <c r="I78" s="8" t="n">
        <v>1</v>
      </c>
      <c r="J78" s="2" t="inlineStr">
        <is>
          <t>✅ คำตอบที่ถูกต้อง: ข้อ ก. Fluoxetine 20 mg OD
💡 Background:
Insomnia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Insomnia: ศึกษากลไก, ข้อบ่งใช้, และผลข้างเคียงที่สำคัญ</t>
        </is>
      </c>
      <c r="K78" s="2" t="n"/>
      <c r="L78" s="2" t="inlineStr">
        <is>
          <t>Insomnia</t>
        </is>
      </c>
      <c r="M78" s="2" t="inlineStr">
        <is>
          <t>Clinic</t>
        </is>
      </c>
      <c r="N78" s="2" t="inlineStr">
        <is>
          <t>ข้อ 5 (PLE_CC1_Practice_Exam.md)</t>
        </is>
      </c>
      <c r="O78" s="2" t="n"/>
      <c r="P78" s="2" t="n"/>
    </row>
    <row r="79" ht="13.2" customHeight="1" s="49">
      <c r="A79" s="8" t="inlineStr">
        <is>
          <t>77</t>
        </is>
      </c>
      <c r="B79" s="2" t="inlineStr">
        <is>
          <t>กลไกการออกฤทธิ์ของยากลุ่ม Benzodiazepines คือข้อใด</t>
        </is>
      </c>
      <c r="C79" s="2" t="n"/>
      <c r="D79" s="2" t="inlineStr">
        <is>
          <t>. กระตุ้น 5-HT receptor</t>
        </is>
      </c>
      <c r="E79" s="2" t="inlineStr">
        <is>
          <t>. กระตุ้น Dopamine receptor</t>
        </is>
      </c>
      <c r="F79" s="2" t="inlineStr">
        <is>
          <t>. กระตุ้น GABA receptor 184 โรคทางระบบประสาทและจิตประสาท นักศึกษาเภสัชศาสตร์ชั้นปีที่ 4 รุ่นที่ 9</t>
        </is>
      </c>
      <c r="G79" s="2" t="inlineStr">
        <is>
          <t>. กระตุ้น Glutamate receptor</t>
        </is>
      </c>
      <c r="H79" s="2" t="inlineStr">
        <is>
          <t>Diazepam 5 mg HS</t>
        </is>
      </c>
      <c r="I79" s="8" t="n">
        <v>1</v>
      </c>
      <c r="J79" s="2"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t>
        </is>
      </c>
      <c r="K79" s="2" t="n"/>
      <c r="L79" s="2" t="inlineStr">
        <is>
          <t>Anxiety/depression</t>
        </is>
      </c>
      <c r="M79" s="2" t="inlineStr">
        <is>
          <t>Clinic</t>
        </is>
      </c>
      <c r="N79" s="2" t="inlineStr">
        <is>
          <t>ข้อ 26 (PLE_CC1_Practice_Exam.md)</t>
        </is>
      </c>
      <c r="O79" s="2" t="n"/>
      <c r="P79" s="2" t="n"/>
    </row>
    <row r="80" ht="13.2" customHeight="1" s="49">
      <c r="A80" s="8" t="inlineStr">
        <is>
          <t>78</t>
        </is>
      </c>
      <c r="B80" s="2" t="inlineStr">
        <is>
          <t>Haloperidol 32.ข้อใดต่อไปนี้ ไม่ใช่ อาการไม่พึงประสงค์ของยากลุ่ม Benzodiazepines</t>
        </is>
      </c>
      <c r="C80" s="2" t="n"/>
      <c r="D80" s="2" t="inlineStr">
        <is>
          <t>Alprazolam 0.5 mg HS</t>
        </is>
      </c>
      <c r="E80" s="2" t="inlineStr">
        <is>
          <t>Diazepam 5 mg HS</t>
        </is>
      </c>
      <c r="F80" s="2" t="inlineStr">
        <is>
          <t>Zolpidem 10 mg HS</t>
        </is>
      </c>
      <c r="G80" s="2" t="inlineStr">
        <is>
          <t>Nicotine gum 2 mg PRN</t>
        </is>
      </c>
      <c r="H80" s="2" t="inlineStr">
        <is>
          <t>Quetiapine 25 mg HS</t>
        </is>
      </c>
      <c r="I80" s="8" t="n">
        <v>1</v>
      </c>
      <c r="J80" s="2" t="inlineStr">
        <is>
          <t>✅ คำตอบที่ถูกต้อง: ข้อ ก. Alprazolam 0.5 mg HS
💡 Background:
Anxiety/depression
🎯 ทำไมข้อนี้ถึงถูก:
Alprazolam 0.5 mg HS เป็นคำตอบที่ถูกต้องตาม ข้อ 5 (PLE_CC1_Practice_Exam.md)
🔍 ข้ออื่นผิดเพราะอะไร:
• ข้อ ข. (Diazepam 5 mg HS): Diazepam เป็น long-acting benzodiazepine ที่มี active metabolites หลายชนิดรวมถึง nordiazepam ซึ่งสะสมได้ง่ายในผู้สูงอายุ ทำให้เกิด prolonged sedation และเพิ่มความเสี่ยงต่อการหกล้ม
• ข้อ ค. (Zolpidem 10 mg HS): Zolpidem เป็น non-benzodiazepine GABA-A receptor agonist (Z-drug) ที่ออกฤทธิ์จำเพาะต่อ alpha-1 subunit จึงจัดเป็นยานอนหลับคนละกลุ่มยาแม้จะมีกลไกผ่าน GABA receptor เหมือนกัน
• ข้อ ง. (Nicotine gum 2 mg PRN): Nicotine gum เป็นยากลุ่ม nicotine replacement therapy ออกฤทธิ์กระตุ้น nicotinic acetylcholine receptors ในระบบประสาทเพื่อช่วยเลิกบุหรี่ ไม่มีผลต่อ GABA-A receptor
• ข้อ จ. (Quetiapine 25 mg HS): Quetiapine เป็น second-generation antipsychotic ที่ออกฤทธิ์ปิดกั้น 5-HT2A และ D2 receptors พร้อมทั้งมีฤทธิ์ H1 antihistamine สูง จึงใช้รักษาจิตเภท อารมณ์สองขั้ว หรือ adjunct ใน depression
📖 Guideline อ้างอิง:
ข้อ 5 (PLE_CC1_Practice_Exam.md)
📌 จุดจำก่อนสอบ:
• Anxiety/depression: ศึกษากลไก, ข้อบ่งใช้, และผลข้างเคียงที่สำคัญ</t>
        </is>
      </c>
      <c r="K80" s="2" t="n"/>
      <c r="L80" s="2" t="inlineStr">
        <is>
          <t>Anxiety/depression</t>
        </is>
      </c>
      <c r="M80" s="2" t="inlineStr">
        <is>
          <t>Clinic</t>
        </is>
      </c>
      <c r="N80" s="2" t="inlineStr">
        <is>
          <t>ข้อ 5 (PLE_CC1_Practice_Exam.md)</t>
        </is>
      </c>
      <c r="O80" s="2" t="n"/>
      <c r="P80" s="2" t="n"/>
    </row>
    <row r="81" ht="13.2" customHeight="1" s="49">
      <c r="A81" s="8" t="inlineStr">
        <is>
          <t>79</t>
        </is>
      </c>
      <c r="B81" s="2" t="inlineStr">
        <is>
          <t>Cognitive imparement Depression</t>
        </is>
      </c>
      <c r="C81" s="2" t="n"/>
      <c r="D81" s="2" t="inlineStr">
        <is>
          <t>Nicotine gum 2 mg PRN</t>
        </is>
      </c>
      <c r="E81" s="2" t="inlineStr">
        <is>
          <t>Quetiapine 25 mg HS</t>
        </is>
      </c>
      <c r="F81" s="2" t="inlineStr">
        <is>
          <t>Risperidone 2 mg OD</t>
        </is>
      </c>
      <c r="G81" s="2" t="inlineStr">
        <is>
          <t>Fluoxetine 20 mg OD</t>
        </is>
      </c>
      <c r="H81" s="2" t="inlineStr">
        <is>
          <t>Sertraline 50 mg OD</t>
        </is>
      </c>
      <c r="I81" s="8" t="n">
        <v>1</v>
      </c>
      <c r="J81" s="2" t="inlineStr">
        <is>
          <t>✅ คำตอบที่ถูกต้อง: ข้อ ก. Nicotine gum 2 mg PRN
💡 Background:
Anxiety/depression
🎯 ทำไมข้อนี้ถึงถูก:
Nicotine gum 2 mg PRN เป็นคำตอบที่ถูกต้องตาม ข้อ 5 (PLE_CC1_Practice_Exam.md)
🔍 ข้ออื่นผิดเพราะอะไร:
• ข้อ ข. (Quetiapine 25 mg HS): Quetiapine เป็น atypical antipsychotic ที่มีฤทธิ์ anticholinergic และ sedative ผ่าน H1 receptor antagonism ซึ่งอาจบดบังการประเมินหรือทำให้ cognitive impairment ใน depression แย่ลงได้
• ข้อ ค. (Risperidone 2 mg OD): Risperidone เป็น atypical antipsychotic ที่เน้นปิดกั้น D2 และ 5-HT2A receptors ซึ่งในขนาดยาสูงจะเพิ่มความเสี่ยงต่อ extrapyramidal symptoms และ hyperprolactinemia ชัดเจน
• ข้อ ง. (Fluoxetine 20 mg OD): Fluoxetine เป็นยากลุ่ม SSRI ที่มีฤทธิ์ยับยั้ง CYP2D6 และ CYP2C19 อย่างแรง รวมทั้งมี active metabolite (norfluoxetine) ที่มีค่าครึ่งชีวิตยาวนาน 1-2 สัปดาห์ จึงต้องระวัง drug interactions
• ข้อ จ. (Sertraline 50 mg OD): Sertraline เป็น first-line SSRI สำหรับ depression ที่มีรายงานอาการข้างเคียงเด่นทางระบบทางเดินอาหาร เช่น คลื่นไส้และถ่ายเหลว จากการกระตุ้น 5-HT3 receptors บริเวณลำไส้
📖 Guideline อ้างอิง:
ข้อ 5 (PLE_CC1_Practice_Exam.md)
📌 จุดจำก่อนสอบ:
• Anxiety/depression: ศึกษากลไก, ข้อบ่งใช้, และผลข้างเคียงที่สำคัญ</t>
        </is>
      </c>
      <c r="K81" s="2" t="n"/>
      <c r="L81" s="2" t="inlineStr">
        <is>
          <t>Anxiety/depression</t>
        </is>
      </c>
      <c r="M81" s="2" t="inlineStr">
        <is>
          <t>Clinic</t>
        </is>
      </c>
      <c r="N81" s="2" t="inlineStr">
        <is>
          <t>ข้อ 5 (PLE_CC1_Practice_Exam.md)</t>
        </is>
      </c>
      <c r="O81" s="2" t="n"/>
      <c r="P81" s="2" t="n"/>
    </row>
    <row r="82" ht="13.2" customHeight="1" s="49">
      <c r="A82" s="8" t="inlineStr">
        <is>
          <t>80</t>
        </is>
      </c>
      <c r="B82" s="2"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2" t="n"/>
      <c r="D82" s="2" t="inlineStr">
        <is>
          <t>Fluoxetine 20 mg OD</t>
        </is>
      </c>
      <c r="E82" s="2" t="inlineStr">
        <is>
          <t>Sertraline 50 mg OD</t>
        </is>
      </c>
      <c r="F82" s="2" t="inlineStr">
        <is>
          <t>Escitalopram 10 mg OD</t>
        </is>
      </c>
      <c r="G82" s="2" t="inlineStr">
        <is>
          <t>Venlafaxine 75 mg OD</t>
        </is>
      </c>
      <c r="H82" s="2" t="inlineStr">
        <is>
          <t>Amitriptyline 10 mg HS</t>
        </is>
      </c>
      <c r="I82" s="8" t="n">
        <v>1</v>
      </c>
      <c r="J82" s="2"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82" s="2" t="n"/>
      <c r="L82" s="2" t="inlineStr">
        <is>
          <t>Anxiety/depression</t>
        </is>
      </c>
      <c r="M82" s="2" t="inlineStr">
        <is>
          <t>Clinic</t>
        </is>
      </c>
      <c r="N82" s="2" t="inlineStr">
        <is>
          <t>ข้อ 33 (PLE_CC1_Practice_Exam.md)</t>
        </is>
      </c>
      <c r="O82" s="2" t="n"/>
      <c r="P82" s="2" t="n"/>
    </row>
    <row r="83" ht="13.2" customHeight="1" s="49">
      <c r="A83" s="8" t="inlineStr">
        <is>
          <t>81</t>
        </is>
      </c>
      <c r="B83" s="2" t="inlineStr">
        <is>
          <t>ยาในกลุ่ม SSRIs ตัวใดที่หลังหยุดยาแล้วยังมีโอกาสเกิด Serotonin Syndrome ได้ หากรีบเริ่มใช้ยาอื่นที่เพิ่มระดับ Serotonin ขึ้นในทันที เนื่องจากมี half-life ยาวมากที่สุด</t>
        </is>
      </c>
      <c r="C83" s="2" t="n"/>
      <c r="D83" s="2" t="inlineStr">
        <is>
          <t>Fluoxetine</t>
        </is>
      </c>
      <c r="E83" s="2" t="inlineStr">
        <is>
          <t>Sertraline</t>
        </is>
      </c>
      <c r="F83" s="2" t="inlineStr">
        <is>
          <t>Escitalopram</t>
        </is>
      </c>
      <c r="G83" s="2" t="inlineStr">
        <is>
          <t>Paroxetine</t>
        </is>
      </c>
      <c r="H83" s="2" t="inlineStr">
        <is>
          <t>Fluvoxamine</t>
        </is>
      </c>
      <c r="I83" s="8" t="n">
        <v>1</v>
      </c>
      <c r="J83" s="2" t="inlineStr">
        <is>
          <t>✅ คำตอบที่ถูกต้อง: ข้อ ก. Fluoxetine
💡 Background:
SSRIs มีความแตกต่างกันอย่างมีนัยสำคัญในเรื่อง half-life (t1/2)
🎯 ทำไมข้อนี้ถึงถูก:
Fluoxetine มี t1/2 ยาวที่สุดในกลุ่ม SSRIs ประมาณ 1-4 วัน และ active metabolite (Norfluoxetine) มี t1/2 ยาวถึง 4-16 วัน ทำให้แม้หยุดยาแล้วยังมีระดับยาเหลืออยู่ในร่างกายสูงเป็นเวลานาน หากเริ่มใช้ MAOIs หรือยาอื่นที่เพิ่ม serotonin ทันทีจะเสี่ยงต่อ Serotonin Syndrome
🔍 ข้ออื่นผิดเพราะอะไร:
• ข้อ ข. (Sertraline): t1/2 ประมาณ 26 ชั่วโมง ระยะ washout 5-7 วันเพียงพอ
• ข้อ ค. (Escitalopram): t1/2 ประมาณ 27-32 ชั่วโมง ไม่มี active metabolite ที่มี t1/2 ยาว
• ข้อ ง. (Paroxetine): t1/2 ประมาณ 21 ชั่วโมง แต่เสี่ยง discontinuation syndrome สูงเนื่องจากหยุดยาแล้วระดับยาลดลงเร็ว
• ข้อ จ. (Fluvoxamine): t1/2 ประมาณ 15-17 ชั่วโมง ระยะ washout สั้นกว่า Fluoxetine
📖 Guideline อ้างอิง:
APA Practice Guideline for the Treatment of Patients with Major Depressive Disorder (3rd edition)
📌 จุดจำก่อนสอบ:
• Fluoxetine ต้องการ washout period 5 สัปดาห์ก่อนเริ่ม MAOIs (ยาวที่สุดในกลุ่ม)
• SSRIs อื่นๆ ต้องการ washout 2 สัปดาห์ก่อนเริ่ม MAOIs</t>
        </is>
      </c>
      <c r="K83" s="2" t="n"/>
      <c r="L83" s="2" t="inlineStr">
        <is>
          <t>Anxiety/depression</t>
        </is>
      </c>
      <c r="M83" s="2" t="inlineStr">
        <is>
          <t>Clinic</t>
        </is>
      </c>
      <c r="N83" s="2" t="inlineStr">
        <is>
          <t>ข้อ 38 (PLE_CC1_Practice_Exam.md)</t>
        </is>
      </c>
      <c r="O83" s="2" t="n"/>
      <c r="P83" s="2" t="n"/>
    </row>
    <row r="84" ht="13.2" customHeight="1" s="49">
      <c r="A84" s="8" t="inlineStr">
        <is>
          <t>82</t>
        </is>
      </c>
      <c r="B84" s="2"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t>
        </is>
      </c>
      <c r="C84" s="2" t="n"/>
      <c r="D84" s="2" t="inlineStr">
        <is>
          <t>Alprazolam 0.5 mg HS</t>
        </is>
      </c>
      <c r="E84" s="2" t="inlineStr">
        <is>
          <t>Diazepam 5 mg HS</t>
        </is>
      </c>
      <c r="F84" s="2" t="inlineStr">
        <is>
          <t>Zolpidem 10 mg HS</t>
        </is>
      </c>
      <c r="G84" s="2" t="inlineStr">
        <is>
          <t>Nicotine gum 2 mg PRN</t>
        </is>
      </c>
      <c r="H84" s="2" t="inlineStr">
        <is>
          <t>Quetiapine 25 mg HS</t>
        </is>
      </c>
      <c r="I84" s="8" t="n">
        <v>1</v>
      </c>
      <c r="J84" s="2"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84" s="2" t="n"/>
      <c r="L84" s="2" t="inlineStr">
        <is>
          <t>Insomnia</t>
        </is>
      </c>
      <c r="M84" s="2" t="inlineStr">
        <is>
          <t>Clinic</t>
        </is>
      </c>
      <c r="N84" s="2" t="inlineStr">
        <is>
          <t>ข้อ 39 (PLE_CC1_Practice_Exam.md)</t>
        </is>
      </c>
      <c r="O84" s="2" t="n"/>
      <c r="P84" s="2" t="n"/>
    </row>
    <row r="85" ht="13.2" customHeight="1" s="49">
      <c r="A85" s="8" t="inlineStr">
        <is>
          <t>83</t>
        </is>
      </c>
      <c r="B85" s="2"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2" t="n"/>
      <c r="D85" s="2" t="inlineStr">
        <is>
          <t>Nicotine gum 2 mg PRN</t>
        </is>
      </c>
      <c r="E85" s="2" t="inlineStr">
        <is>
          <t>Quetiapine 25 mg HS</t>
        </is>
      </c>
      <c r="F85" s="2" t="inlineStr">
        <is>
          <t>Risperidone 2 mg OD</t>
        </is>
      </c>
      <c r="G85" s="2" t="inlineStr">
        <is>
          <t>Fluoxetine 20 mg OD</t>
        </is>
      </c>
      <c r="H85" s="2" t="inlineStr">
        <is>
          <t>Sertraline 50 mg OD</t>
        </is>
      </c>
      <c r="I85" s="8" t="n">
        <v>1</v>
      </c>
      <c r="J85" s="2" t="inlineStr">
        <is>
          <t>✅ คำตอบที่ถูกต้อง: ข้อ ก. Nicotine gum 2 mg PRN
💡 Background:
Anxiety/depression
🎯 ทำไมข้อนี้ถึงถูก:
Nicotine gum 2 mg PRN เป็นคำตอบที่ถูกต้องตาม ข้อ 2 (PLE_CC1_Practice_Exam.md)
🔍 ข้ออื่นผิดเพราะอะไร:
• ข้อ ข. (Quetiapine 25 mg HS): Quetiapine เป็น second-generation antipsychotic ที่แปรรูปผ่านเอนไซม์ CYP3A4 เป็นหลัก ใช้รักษา bipolar disorder และ schizophrenia ไม่เกี่ยวข้องกับเทคนิคการใช้ nicotine gum
• ข้อ ค. (Risperidone 2 mg OD): Risperidone ออกฤทธิ์เป็น D2 และ 5-HT2A antagonist ใช้รักษาโรคจิตและภาวะก้าวร้าว มีความเสี่ยงต่อการเกิด hyperprolactinemia สูง ไม่เกี่ยวข้องกับกระบวนการเคี้ยวหมากฝรั่งนิโคติน
• ข้อ ง. (Fluoxetine 20 mg OD): Fluoxetine เป็น SSRI ที่ยับยั้ง CYP2D6 อย่างแรง ใช้รักษา major depressive disorder ไม่ใช่ผลิตภัณฑ์ทดแทนนิโคตินสำหรับช่วยเลิกบุหรี่
• ข้อ จ. (Sertraline 50 mg OD): Sertraline เป็นยาต้านซึมเศร้าที่ยับยั้ง serotonin reuptake transporter ไม่สามารถใช้แทนการบำบัดทดแทนนิโคตินหรืออธิบายเทคนิค chew and park ได้
📖 Guideline อ้างอิง:
ข้อ 2 (PLE_CC1_Practice_Exam.md)
📌 จุดจำก่อนสอบ:
• Anxiety/depression: ศึกษากลไก, ข้อบ่งใช้, และผลข้างเคียงที่สำคัญ</t>
        </is>
      </c>
      <c r="K85" s="2" t="n"/>
      <c r="L85" s="2" t="inlineStr">
        <is>
          <t>Anxiety/depression</t>
        </is>
      </c>
      <c r="M85" s="2" t="inlineStr">
        <is>
          <t>Clinic</t>
        </is>
      </c>
      <c r="N85" s="2" t="inlineStr">
        <is>
          <t>ข้อ 2 (PLE_CC1_Practice_Exam.md)</t>
        </is>
      </c>
      <c r="O85" s="2" t="n"/>
      <c r="P85" s="2" t="n"/>
    </row>
    <row r="86" ht="13.2" customHeight="1" s="49">
      <c r="A86" s="8" t="inlineStr">
        <is>
          <t>84</t>
        </is>
      </c>
      <c r="B86" s="2"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2" t="n"/>
      <c r="D86" s="2" t="inlineStr">
        <is>
          <t>Fluoxetine 20 mg OD</t>
        </is>
      </c>
      <c r="E86" s="2" t="inlineStr">
        <is>
          <t>Sertraline 50 mg OD</t>
        </is>
      </c>
      <c r="F86" s="2" t="inlineStr">
        <is>
          <t>Escitalopram 10 mg OD</t>
        </is>
      </c>
      <c r="G86" s="2" t="inlineStr">
        <is>
          <t>Venlafaxine 75 mg OD</t>
        </is>
      </c>
      <c r="H86" s="2" t="inlineStr">
        <is>
          <t>Amitriptyline 10 mg HS</t>
        </is>
      </c>
      <c r="I86" s="8" t="n">
        <v>1</v>
      </c>
      <c r="J86" s="2" t="inlineStr">
        <is>
          <t>✅ คำตอบที่ถูกต้อง: ข้อ ก. Fluoxetine 20 mg OD
💡 Background:
Tobacco dependence
🎯 ทำไมข้อนี้ถึงถูก:
Fluoxetine 20 mg OD เป็นคำตอบที่ถูกต้องตาม ข้อ 4 (PLE_CC1_Practice_Exam.md)
🔍 ข้ออื่นผิดเพราะอะไร:
• ข้อ ข. (Sertraline 50 mg OD): Sertraline เป็นยาต้านซึมเศร้ากลุ่ม SSRI ที่ขจัดผ่านตับเป็นหลัก การดื่มเครื่องดื่มที่เป็นกรดไม่ได้ส่งผลต่อชีวประสิทธิผลของ Sertraline ในลักษณะเดียวกับการดูดซึมของนิโคตินในช่องปาก
• ข้อ ค. (Escitalopram 10 mg OD): Escitalopram ยับยั้ง SERT โดยตรง การเปลี่ยนแปลงของ pH ในทางเดินอาหารส่วนบนไม่มีผลกระทบต่อ pharmacological action หรือการดูดซึมของยานี้อย่างมีนัยสำคัญทางคลินิก
• ข้อ ง. (Venlafaxine 75 mg OD): Venlafaxine เป็นยากลุ่ม SNRI ที่ถูกเปลี่ยนเป็น O-desmethylvenlafaxine ผ่าน CYP2D6 โดยการดูดซึมเกิดขึ้นที่ลำไส้เล็กและไม่ขึ้นกับภาวะกรดด่างในช่องปาก
• ข้อ จ. (Amitriptyline 10 mg HS): Amitriptyline เป็นยากลุ่ม TCA ที่มีฤทธิ์ dry mouth จาก muscarinic receptor blockade แต่อาการปากแห้งนี้ไม่เกี่ยวข้องกับผลของกรดจากกาแฟที่ขัดขวางการดูดซึมสารนิโคติน
📖 Guideline อ้างอิง:
ข้อ 4 (PLE_CC1_Practice_Exam.md)
📌 จุดจำก่อนสอบ:
• Tobacco dependence: ศึกษากลไก, ข้อบ่งใช้, และผลข้างเคียงที่สำคัญ</t>
        </is>
      </c>
      <c r="K86" s="2" t="n"/>
      <c r="L86" s="2" t="inlineStr">
        <is>
          <t>Tobacco dependence</t>
        </is>
      </c>
      <c r="M86" s="2" t="inlineStr">
        <is>
          <t>Clinic</t>
        </is>
      </c>
      <c r="N86" s="2" t="inlineStr">
        <is>
          <t>ข้อ 4 (PLE_CC1_Practice_Exam.md)</t>
        </is>
      </c>
      <c r="O86" s="2" t="n"/>
      <c r="P86" s="2" t="n"/>
    </row>
    <row r="87" ht="13.2" customHeight="1" s="49">
      <c r="A87" s="8" t="inlineStr">
        <is>
          <t>85</t>
        </is>
      </c>
      <c r="B87" s="2"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87" s="2" t="n"/>
      <c r="D87" s="2" t="inlineStr">
        <is>
          <t>Fluoxetine</t>
        </is>
      </c>
      <c r="E87" s="2" t="inlineStr">
        <is>
          <t>Sertraline</t>
        </is>
      </c>
      <c r="F87" s="2" t="inlineStr">
        <is>
          <t>Citalopram</t>
        </is>
      </c>
      <c r="G87" s="2" t="inlineStr">
        <is>
          <t>Venlafaxine</t>
        </is>
      </c>
      <c r="H87" s="2" t="inlineStr">
        <is>
          <t>Mirtazapine</t>
        </is>
      </c>
      <c r="I87" s="8" t="n">
        <v>1</v>
      </c>
      <c r="J87" s="2" t="inlineStr">
        <is>
          <t>✅ คำตอบที่ถูกต้อง: ข้อ ก. Fluoxetine
💡 Background:
Tamoxifen เป็น prodrug ที่ต้องถูก metabolize ผ่าน CYP2D6 เป็น Endoxifen (active metabolite หลัก) เพื่อออกฤทธิ์ต้านมะเร็ง
🎯 ทำไมข้อนี้ถึงถูก:
Fluoxetine เป็น Strong CYP2D6 inhibitor ที่ลดการเปลี่ยน Tamoxifen เป็น Endoxifen ลงอย่างมีนัยสำคัญ ส่งผลให้ Tamoxifen มีประสิทธิภาพในการรักษา breast cancer ลดลง
🔍 ข้ออื่นผิดเพราะอะไร:
• ข้อ ข. (Sertraline): เป็น Weak CYP2D6 inhibitor ผลกระทบต่อ Tamoxifen น้อยกว่า Fluoxetine
• ข้อ ค. (Citalopram): แทบไม่ยับยั้ง CYP2D6 จึงปลอดภัยกว่าในการใช้ร่วมกับ Tamoxifen
• ข้อ ง. (Venlafaxine): SNRI ที่มีผลน้อยต่อ CYP2D6 ถือเป็นทางเลือกที่ดีกว่า Fluoxetine
• ข้อ จ. (Mirtazapine): NaSSA ไม่ยับยั้ง CYP2D6 จึงปลอดภัยในผู้ป่วย Breast cancer ที่ใช้ Tamoxifen
📖 Guideline อ้างอิง:
[NEED_REVIEW]
📌 จุดจำก่อนสอบ:
• ระดับ CYP2D6 inhibition: Strong=Fluoxetine, Paroxetine; Moderate=Duloxetine, Bupropion; Weak=Sertraline
• Tamoxifen DDI สำคัญ: ควรเลือก Citalopram, Escitalopram หรือ Venlafaxine แทน</t>
        </is>
      </c>
      <c r="K87" s="2" t="n"/>
      <c r="L87" s="2" t="inlineStr">
        <is>
          <t>Anxiety/depression</t>
        </is>
      </c>
      <c r="M87" s="2" t="inlineStr">
        <is>
          <t>Clinic</t>
        </is>
      </c>
      <c r="N87" s="2" t="inlineStr">
        <is>
          <t>ข้อ 1 (PLE_CC1_Practice_Exam.md)</t>
        </is>
      </c>
      <c r="O87" s="2" t="n"/>
      <c r="P87" s="2" t="n"/>
    </row>
    <row r="88" ht="13.2" customHeight="1" s="49">
      <c r="A88" s="8" t="inlineStr">
        <is>
          <t>86</t>
        </is>
      </c>
      <c r="B88" s="2"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2" t="n"/>
      <c r="D88" s="2" t="inlineStr">
        <is>
          <t>Clemastine และ Amoxicilllin</t>
        </is>
      </c>
      <c r="E88" s="2" t="inlineStr">
        <is>
          <t>Futicasone propionate spray และ Loratadine 234 โรคระบบภูมิคุ้มกัน นักศึกษาเภสัชศาสตร์ชั้นปีที่ 4 รุ่นที่ 22</t>
        </is>
      </c>
      <c r="F88" s="2" t="inlineStr">
        <is>
          <t>Cetirizine และ Theophylline</t>
        </is>
      </c>
      <c r="G88" s="2" t="inlineStr">
        <is>
          <t>Chlorpheniramine และ Salbutamol inhaler</t>
        </is>
      </c>
      <c r="H88" s="2" t="inlineStr">
        <is>
          <t>Chloramphenicol และ Budesonide spray</t>
        </is>
      </c>
      <c r="I88" s="8" t="n">
        <v>1</v>
      </c>
      <c r="J88" s="2" t="inlineStr">
        <is>
          <t>✅ คำตอบที่ถูกต้อง: ข้อ ก. Clemastine และ Amoxicilllin
💡 Background:
Insomnia
🎯 ทำไมข้อนี้ถึงถูก:
Clemastine และ Amoxicilllin เป็นคำตอบที่ถูกต้องตาม ข้อ 29 (PLE_CC1_Practice_Exam.md)
🔍 ข้ออื่นผิดเพราะอะไร:
• ข้อ ข. (Futicasone propionate spray และ Loratadine 234 โรคระบบภูมิคุ้มกัน นักศึกษาเภสัชศาสตร์ชั้นปีที่ 4 รุ่นที่ 22</t>
        </is>
      </c>
      <c r="K88" s="2" t="n"/>
      <c r="L88" s="2" t="inlineStr">
        <is>
          <t>Insomnia</t>
        </is>
      </c>
      <c r="M88" s="2" t="inlineStr">
        <is>
          <t>Clinic</t>
        </is>
      </c>
      <c r="N88" s="2" t="inlineStr">
        <is>
          <t>ข้อ 29 (PLE_CC1_Practice_Exam.md)</t>
        </is>
      </c>
      <c r="O88" s="2" t="n"/>
      <c r="P88" s="2" t="n"/>
    </row>
    <row r="89" ht="13.2" customHeight="1" s="49">
      <c r="A89" s="8" t="inlineStr">
        <is>
          <t>87</t>
        </is>
      </c>
      <c r="B89" s="2" t="inlineStr">
        <is>
          <t>หลักทั่วไปในการใช้ยาต้านอาการซึมเศร้า</t>
        </is>
      </c>
      <c r="C89" s="2" t="n"/>
      <c r="D89" s="2" t="inlineStr">
        <is>
          <t>Nicotine gum 2 mg PRN</t>
        </is>
      </c>
      <c r="E89" s="2" t="inlineStr">
        <is>
          <t>Quetiapine 25 mg HS</t>
        </is>
      </c>
      <c r="F89" s="2" t="inlineStr">
        <is>
          <t>Risperidone 2 mg OD</t>
        </is>
      </c>
      <c r="G89" s="2" t="inlineStr">
        <is>
          <t>Fluoxetine 20 mg OD</t>
        </is>
      </c>
      <c r="H89" s="2" t="inlineStr">
        <is>
          <t>Sertraline 50 mg OD</t>
        </is>
      </c>
      <c r="I89" s="8" t="n">
        <v>1</v>
      </c>
      <c r="J89" s="2" t="inlineStr">
        <is>
          <t>✅ คำตอบที่ถูกต้อง: ข้อ ก. Nicotine gum 2 mg PRN
💡 Background:
Anxiety/depression
🎯 ทำไมข้อนี้ถึงถูก:
Nicotine gum 2 mg PRN เป็นคำตอบที่ถูกต้องตาม ข้อ 36 (PLE_CC1_Key_Rx20_UBU.md)
🔍 ข้ออื่นผิดเพราะอะไร:
• ข้อ ข. (Quetiapine 25 mg HS): Quetiapine เป็น atypical antipsychotic ที่ใช้เป็นเพียง adjunctive therapy ใน treatment-resistant depression และมี metabolic side effects เช่น น้ำหนักตัวเพิ่มและไขมันในเลือดสูง
• ข้อ ค. (Risperidone 2 mg OD): Risperidone มีข้อบ่งใช้หลักใน schizophrenia และ bipolar mania แต่ไม่ใช่ antidepressant monotherapy และอาจก่อให้เกิด dopamine blockade adverse effects ได้
• ข้อ ง. (Fluoxetine 20 mg OD): Fluoxetine เป็นยาต้านซึมเศร้าตัวเลือกแรกที่ดี แต่มี half-life ยาวมากและยับยั้ง CYP2D6 สูง จึงต้องใช้ความระมัดระวังในการเปลี่ยนยาข้ามกลุ่มหรือบริหารร่วมกับยาอื่น
• ข้อ จ. (Sertraline 50 mg OD): Sertraline เป็น first-line antidepressant ที่ปลอดภัยในผู้ป่วยโรคหลอดเลือดหัวใจ แต่อาจทำให้เกิด serotonin-related GI distress ในสัปดาห์แรกของการรักษา
📖 Guideline อ้างอิง:
ข้อ 36 (PLE_CC1_Key_Rx20_UBU.md)
📌 จุดจำก่อนสอบ:
• Anxiety/depression: ศึกษากลไก, ข้อบ่งใช้, และผลข้างเคียงที่สำคัญ</t>
        </is>
      </c>
      <c r="K89" s="2" t="n"/>
      <c r="L89" s="2" t="inlineStr">
        <is>
          <t>Anxiety/depression</t>
        </is>
      </c>
      <c r="M89" s="2" t="inlineStr">
        <is>
          <t>Clinic</t>
        </is>
      </c>
      <c r="N89" s="2" t="inlineStr">
        <is>
          <t>ข้อ 36 (PLE_CC1_Key_Rx20_UBU.md)</t>
        </is>
      </c>
      <c r="O89" s="2" t="n"/>
      <c r="P89" s="2" t="n"/>
    </row>
    <row r="90" ht="13.2" customHeight="1" s="49">
      <c r="A90" s="8" t="inlineStr">
        <is>
          <t>88</t>
        </is>
      </c>
      <c r="B90" s="2" t="inlineStr">
        <is>
          <t>Benzodiazepine เป็นยาตัวแรกที่แนะนำให้ใช้ในผู้ป่วย Depression + Insomnia</t>
        </is>
      </c>
      <c r="C90" s="2" t="n"/>
      <c r="D90" s="2" t="inlineStr">
        <is>
          <t>Fluoxetine 20 mg OD</t>
        </is>
      </c>
      <c r="E90" s="2" t="inlineStr">
        <is>
          <t>Sertraline 50 mg OD</t>
        </is>
      </c>
      <c r="F90" s="2" t="inlineStr">
        <is>
          <t>Escitalopram 10 mg OD</t>
        </is>
      </c>
      <c r="G90" s="2" t="inlineStr">
        <is>
          <t>Venlafaxine 75 mg OD</t>
        </is>
      </c>
      <c r="H90" s="2" t="inlineStr">
        <is>
          <t>Amitriptyline 10 mg HS</t>
        </is>
      </c>
      <c r="I90" s="8" t="n">
        <v>1</v>
      </c>
      <c r="J90" s="2" t="inlineStr">
        <is>
          <t>✅ คำตอบที่ถูกต้อง: ข้อ ก. Fluoxetine 20 mg OD
💡 Background:
Anxiety/depression
🎯 ทำไมข้อนี้ถึงถูก:
Fluoxetine 20 mg OD เป็นคำตอบที่ถูกต้องตาม ข้อ 1 (PLE_CC1_Key_Rx20_UBU.md)
🔍 ข้ออื่นผิดเพราะอะไร:
• ข้อ ข. (Sertraline 50 mg OD): Sertraline เป็น first-line SSRI แต่การเริ่มต้นรักษา depression พร้อม insomnia บางครั้งอาจกระตุ้น serotonin receptor ชั่วคราวจนทำให้นอนไม่หลับมากขึ้นในช่วงแรก
• ข้อ ค. (Escitalopram 10 mg OD): Escitalopram มีฤทธิ์จำเพาะต่อการยับยั้ง SERT สูง ไม่ช่วยรักษาอาการนอนไม่หลับเฉียบพลันทันทีเนื่องจากต้องใช้เวลา 2-4 สัปดาห์ในการออกฤทธิ์ต้านซึมเศร้า
• ข้อ ง. (Venlafaxine 75 mg OD): Venlafaxine มีฤทธิ์กระตุ้น adrenergic pathway ร่วมด้วย จึงอาจทำให้อาการ insomnia หรือความวิตกกังวลของผู้ป่วยแย่ลงในระยะเริ่มต้นของการให้ยา
• ข้อ จ. (Amitriptyline 10 mg HS): Amitriptyline มี sedative effect สูงจากการปิดกั้น H1 receptor แต่มี anticholinergic side effects และ lethal in overdose จึงไม่แนะนำเป็น first-line agent ในปัจจุบัน
📖 Guideline อ้างอิง:
ข้อ 1 (PLE_CC1_Key_Rx20_UBU.md)
📌 จุดจำก่อนสอบ:
• Anxiety/depression: ศึกษากลไก, ข้อบ่งใช้, และผลข้างเคียงที่สำคัญ</t>
        </is>
      </c>
      <c r="K90" s="2" t="n"/>
      <c r="L90" s="2" t="inlineStr">
        <is>
          <t>Anxiety/depression</t>
        </is>
      </c>
      <c r="M90" s="2" t="inlineStr">
        <is>
          <t>Clinic</t>
        </is>
      </c>
      <c r="N90" s="2" t="inlineStr">
        <is>
          <t>ข้อ 1 (PLE_CC1_Key_Rx20_UBU.md)</t>
        </is>
      </c>
      <c r="O90" s="2" t="n"/>
      <c r="P90" s="2" t="n"/>
    </row>
    <row r="91" ht="13.2" customHeight="1" s="49">
      <c r="A91" s="8" t="inlineStr">
        <is>
          <t>89</t>
        </is>
      </c>
      <c r="B91" s="2"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91" s="2" t="n"/>
      <c r="D91" s="2" t="inlineStr">
        <is>
          <t>PHQ-9 (Patient Health Questionnaire-9)</t>
        </is>
      </c>
      <c r="E91" s="2" t="inlineStr">
        <is>
          <t>HAM-D (Hamilton Depression Rating Scale)</t>
        </is>
      </c>
      <c r="F91" s="2" t="inlineStr">
        <is>
          <t>MADRS (Montgomery-Asberg Depression Rating Scale)</t>
        </is>
      </c>
      <c r="G91" s="2" t="inlineStr">
        <is>
          <t>BDI (Beck Depression Inventory)</t>
        </is>
      </c>
      <c r="H91" s="2" t="inlineStr">
        <is>
          <t>DASS-21 (Depression Anxiety Stress Scale-21)</t>
        </is>
      </c>
      <c r="I91" s="8" t="n">
        <v>1</v>
      </c>
      <c r="J91" s="2"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91" s="2" t="n"/>
      <c r="L91" s="2" t="inlineStr">
        <is>
          <t>Anxiety/depression</t>
        </is>
      </c>
      <c r="M91" s="2" t="inlineStr">
        <is>
          <t>Clinic</t>
        </is>
      </c>
      <c r="N91" s="2" t="inlineStr">
        <is>
          <t>ข้อ 41 (PLE_CC1_Key_Rx20_UBU.md)</t>
        </is>
      </c>
      <c r="O91" s="2" t="n"/>
      <c r="P91" s="2" t="n"/>
    </row>
    <row r="92" ht="13.2" customHeight="1" s="49">
      <c r="A92" s="8" t="inlineStr">
        <is>
          <t>90</t>
        </is>
      </c>
      <c r="B92" s="2" t="inlineStr">
        <is>
          <t>สามารถจ่ายยา Diazepam ให้ผู้ป่วยรายนี้ได้หรือไม่</t>
        </is>
      </c>
      <c r="C92" s="2" t="n"/>
      <c r="D92" s="2" t="inlineStr">
        <is>
          <t>Alprazolam 0.5 mg HS</t>
        </is>
      </c>
      <c r="E92" s="2" t="inlineStr">
        <is>
          <t>Diazepam 5 mg HS</t>
        </is>
      </c>
      <c r="F92" s="2" t="inlineStr">
        <is>
          <t>Zolpidem 10 mg HS</t>
        </is>
      </c>
      <c r="G92" s="2" t="inlineStr">
        <is>
          <t>Nicotine gum 2 mg PRN</t>
        </is>
      </c>
      <c r="H92" s="2" t="inlineStr">
        <is>
          <t>Quetiapine 25 mg HS</t>
        </is>
      </c>
      <c r="I92" s="8" t="n">
        <v>1</v>
      </c>
      <c r="J92" s="2" t="inlineStr">
        <is>
          <t>✅ คำตอบที่ถูกต้อง: ข้อ ก. Alprazolam 0.5 mg HS
💡 Background:
Insomnia
🎯 ทำไมข้อนี้ถึงถูก:
Alprazolam 0.5 mg HS เป็นคำตอบที่ถูกต้องตาม ข้อ 2 (PLE_CC1_Key_Rx20_UBU.md)
🔍 ข้ออื่นผิดเพราะอะไร:
• ข้อ ข. (Diazepam 5 mg HS): Diazepam เป็นวัตถุออกฤทธิ์ต่อจิตและประสาทประเภท 2 ตามกฎหมายไทย ซึ่งมีข้อจำกัดอย่างเข้มงวดในการจ่ายยาในร้านยา และต้องระวังการเสพติดและการกดการหายใจ
• ข้อ ค. (Zolpidem 10 mg HS): Zolpidem เป็น non-benzodiazepine hypnotic ที่จัดเป็นวัตถุออกฤทธิ์ต่อจิตและประสาทประเภท 2 เช่นกัน จึงไม่สามารถจำหน่ายได้ในร้านยาทั่วไปโดยไม่มีใบสั่งแพทย์เฉพาะ
• ข้อ ง. (Nicotine gum 2 mg PRN): Nicotine gum เป็นยาเลิกบุหรี่ที่สามารถจำหน่ายในร้านยาได้ แต่ไม่มีฤทธิ์เป็น anxiolytic หรือ sedative ในการบรรเทาความวิตกกังวลหรือต้านอาการชัก
• ข้อ จ. (Quetiapine 25 mg HS): Quetiapine เป็นยาอันตรายกลุ่ม antipsychotic ที่ต้องสั่งจ่ายและติดตามความเสี่ยงด้าน metabolic syndromes และ QTc prolongation อย่างใกล้ชิดโดยแพทย์เฉพาะทาง
📖 Guideline อ้างอิง:
ข้อ 2 (PLE_CC1_Key_Rx20_UBU.md)
📌 จุดจำก่อนสอบ:
• Insomnia: ศึกษากลไก, ข้อบ่งใช้, และผลข้างเคียงที่สำคัญ</t>
        </is>
      </c>
      <c r="K92" s="2" t="n"/>
      <c r="L92" s="2" t="inlineStr">
        <is>
          <t>Insomnia</t>
        </is>
      </c>
      <c r="M92" s="2" t="inlineStr">
        <is>
          <t>Clinic</t>
        </is>
      </c>
      <c r="N92" s="2" t="inlineStr">
        <is>
          <t>ข้อ 2 (PLE_CC1_Key_Rx20_UBU.md)</t>
        </is>
      </c>
      <c r="O92" s="2" t="n"/>
      <c r="P92" s="2" t="n"/>
    </row>
    <row r="93" ht="13.2" customHeight="1" s="49">
      <c r="A93" s="8" t="inlineStr">
        <is>
          <t>91</t>
        </is>
      </c>
      <c r="B93" s="2" t="inlineStr">
        <is>
          <t>ข้อใดไม่ใช่ข้อบ่งใช้ของยา Diazepam</t>
        </is>
      </c>
      <c r="C93" s="2" t="n"/>
      <c r="D93" s="2" t="inlineStr">
        <is>
          <t>Nicotine gum 2 mg PRN</t>
        </is>
      </c>
      <c r="E93" s="2" t="inlineStr">
        <is>
          <t>Quetiapine 25 mg HS</t>
        </is>
      </c>
      <c r="F93" s="2" t="inlineStr">
        <is>
          <t>Risperidone 2 mg OD</t>
        </is>
      </c>
      <c r="G93" s="2" t="inlineStr">
        <is>
          <t>Fluoxetine 20 mg OD</t>
        </is>
      </c>
      <c r="H93" s="2" t="inlineStr">
        <is>
          <t>Sertraline 50 mg OD</t>
        </is>
      </c>
      <c r="I93" s="8" t="n">
        <v>1</v>
      </c>
      <c r="J93" s="2" t="inlineStr">
        <is>
          <t>✅ คำตอบที่ถูกต้อง: ข้อ ก. Nicotine gum 2 mg PRN
💡 Background:
Insomnia
🎯 ทำไมข้อนี้ถึงถูก:
Nicotine gum 2 mg PRN เป็นคำตอบที่ถูกต้องตาม ข้อ 6 (PLE_CC1_Key_Rx20_UBU.md)
🔍 ข้ออื่นผิดเพราะอะไร:
• ข้อ ข. (Quetiapine 25 mg HS): Quetiapine มีข้อบ่งใช้ในการรักษาจิตเภทและภาวะอารมณ์สองขั้ว แต่ไม่มีข้อบ่งใช้เป็น muscle relaxant หรือ anticonvulsant ฉุกเฉินเหมือน Diazepam
• ข้อ ค. (Risperidone 2 mg OD): Risperidone ออกฤทธิ์ปิดกั้นตัวรับโดปามีน ไม่สามารถนำมาใช้แทน Diazepam สำหรับการระงับภาวะชักต่อเนื่องหรืออาการถอนแอลกอฮอล์ได้
• ข้อ ง. (Fluoxetine 20 mg OD): Fluoxetine เป็น SSRI ใช้รักษาโรคซึมเศร้าและย้ำคิดย้ำทำ ไม่สามารถออกฤทธิ์บรรเทาอาการตื่นตระหนกแบบเฉียบพลันเนื่องจาก onset of action ช้า
• ข้อ จ. (Sertraline 50 mg OD): Sertraline ใช้รักษาอาการซึมเศร้าและโรควิตกกังวลเรื้อรัง ไม่มีผลคลายกล้ามเนื้อลายหรือระงับอาการชักเฉียบพลันผ่าน GABA-A receptor
📖 Guideline อ้างอิง:
ข้อ 6 (PLE_CC1_Key_Rx20_UBU.md)
📌 จุดจำก่อนสอบ:
• Insomnia: ศึกษากลไก, ข้อบ่งใช้, และผลข้างเคียงที่สำคัญ</t>
        </is>
      </c>
      <c r="K93" s="2" t="n"/>
      <c r="L93" s="2" t="inlineStr">
        <is>
          <t>Insomnia</t>
        </is>
      </c>
      <c r="M93" s="2" t="inlineStr">
        <is>
          <t>Clinic</t>
        </is>
      </c>
      <c r="N93" s="2" t="inlineStr">
        <is>
          <t>ข้อ 6 (PLE_CC1_Key_Rx20_UBU.md)</t>
        </is>
      </c>
      <c r="O93" s="2" t="n"/>
      <c r="P93" s="2" t="n"/>
    </row>
    <row r="94" ht="13.2" customHeight="1" s="49">
      <c r="A94" s="8" t="inlineStr">
        <is>
          <t>92</t>
        </is>
      </c>
      <c r="B94" s="2" t="inlineStr">
        <is>
          <t>นักศึกษาซึมเศร้าทำข้อสอบไม่ได้</t>
        </is>
      </c>
      <c r="C94" s="2" t="n"/>
      <c r="D94" s="2" t="inlineStr">
        <is>
          <t>Fluoxetine 20 mg OD</t>
        </is>
      </c>
      <c r="E94" s="2" t="inlineStr">
        <is>
          <t>Sertraline 50 mg OD</t>
        </is>
      </c>
      <c r="F94" s="2" t="inlineStr">
        <is>
          <t>Escitalopram 10 mg OD</t>
        </is>
      </c>
      <c r="G94" s="2" t="inlineStr">
        <is>
          <t>Venlafaxine 75 mg OD</t>
        </is>
      </c>
      <c r="H94" s="2" t="inlineStr">
        <is>
          <t>Amitriptyline 10 mg HS</t>
        </is>
      </c>
      <c r="I94" s="8" t="n">
        <v>1</v>
      </c>
      <c r="J94"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เป็น first-line antidepressant แต่มีผลข้างเคียงเด่นเรื่องอุจจาระเหลวและปั่นป่วนทางเดินอาหาร ซึ่งอาจรบกวนสมาธิในการสอบของนักศึกษาได้
• ข้อ ค. (Escitalopram 10 mg OD): Escitalopram ให้ผลการรักษาดีมากในโรควิตกกังวลและซึมเศร้า แต่อาจพบอาการ somnolence หรือ lethargy ได้ในบางรายทำให้ประสิทธิภาพในการอ่านหนังสือลดลง
• ข้อ ง. (Venlafaxine 75 mg OD): Venlafaxine เพิ่มระดับ norepinephrine ซึ่งอาจทำให้เกิดอาการใจสั่น ความดันโลหิตสูงขึ้น และกระวนกระวายใจมากกว่า SSRIs ในระยะเริ่มต้น
• ข้อ จ. (Amitriptyline 10 mg HS): Amitriptyline ทำให้เกิดอาการง่วงซึมอย่างรุนแรง มึนงง สมาธิสั้นลง และความจำบกพร่องจาก anticholinergic effects ซึ่งส่งผลเสียอย่างยิ่งต่อการสอบ
📖 Guideline อ้างอิง:
ข้อ 5 (PLE_CC1_Key_Rx20_UBU.md)
📌 จุดจำก่อนสอบ:
• Anxiety/depression: ศึกษากลไก, ข้อบ่งใช้, และผลข้างเคียงที่สำคัญ</t>
        </is>
      </c>
      <c r="K94" s="2" t="n"/>
      <c r="L94" s="2" t="inlineStr">
        <is>
          <t>Anxiety/depression</t>
        </is>
      </c>
      <c r="M94" s="2" t="inlineStr">
        <is>
          <t>Clinic</t>
        </is>
      </c>
      <c r="N94" s="2" t="inlineStr">
        <is>
          <t>ข้อ 5 (PLE_CC1_Key_Rx20_UBU.md)</t>
        </is>
      </c>
      <c r="O94" s="2" t="n"/>
      <c r="P94" s="2" t="n"/>
    </row>
    <row r="95" ht="13.2" customHeight="1" s="49">
      <c r="A95" s="8" t="inlineStr">
        <is>
          <t>93</t>
        </is>
      </c>
      <c r="B95" s="2" t="inlineStr">
        <is>
          <t>ยา Diazepam ไม่ถูกนำมาใช้ในกรณีใด</t>
        </is>
      </c>
      <c r="C95" s="2" t="n"/>
      <c r="D95" s="2" t="inlineStr">
        <is>
          <t>โรคซึมเศร้า (Major Depressive Disorder) เป็นโรคหลัก</t>
        </is>
      </c>
      <c r="E95" s="2" t="inlineStr">
        <is>
          <t>Alcohol withdrawal delirium tremens</t>
        </is>
      </c>
      <c r="F95" s="2" t="inlineStr">
        <is>
          <t>Status epilepticus ฉุกเฉิน</t>
        </is>
      </c>
      <c r="G95" s="2" t="inlineStr">
        <is>
          <t>Muscle spasm และ Spasticity</t>
        </is>
      </c>
      <c r="H95" s="2" t="inlineStr">
        <is>
          <t>Procedural sedation ก่อนทำหัตถการ</t>
        </is>
      </c>
      <c r="I95" s="8" t="n">
        <v>1</v>
      </c>
      <c r="J95" s="2"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95" s="2" t="n"/>
      <c r="L95" s="2" t="inlineStr">
        <is>
          <t>Insomnia</t>
        </is>
      </c>
      <c r="M95" s="2" t="inlineStr">
        <is>
          <t>Clinic</t>
        </is>
      </c>
      <c r="N95" s="2" t="inlineStr">
        <is>
          <t>ข้อ 7 (PLE_CC1_Key_Rx20_UBU.md)</t>
        </is>
      </c>
      <c r="O95" s="2" t="n"/>
      <c r="P95" s="2" t="n"/>
    </row>
    <row r="96" ht="13.2" customHeight="1" s="49">
      <c r="A96" s="8" t="inlineStr">
        <is>
          <t>94</t>
        </is>
      </c>
      <c r="B96" s="2" t="inlineStr">
        <is>
          <t>ภาวะซึมเศร้า</t>
        </is>
      </c>
      <c r="C96" s="2" t="n"/>
      <c r="D96" s="2" t="inlineStr">
        <is>
          <t>Alprazolam 0.5 mg HS</t>
        </is>
      </c>
      <c r="E96" s="2" t="inlineStr">
        <is>
          <t>Diazepam 5 mg HS</t>
        </is>
      </c>
      <c r="F96" s="2" t="inlineStr">
        <is>
          <t>Zolpidem 10 mg HS</t>
        </is>
      </c>
      <c r="G96" s="2" t="inlineStr">
        <is>
          <t>Nicotine gum 2 mg PRN</t>
        </is>
      </c>
      <c r="H96" s="2" t="inlineStr">
        <is>
          <t>Quetiapine 25 mg HS</t>
        </is>
      </c>
      <c r="I96" s="8" t="n">
        <v>1</v>
      </c>
      <c r="J96" s="2"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96" s="2" t="n"/>
      <c r="L96" s="2" t="inlineStr">
        <is>
          <t>Anxiety/depression</t>
        </is>
      </c>
      <c r="M96" s="2" t="inlineStr">
        <is>
          <t>Clinic</t>
        </is>
      </c>
      <c r="N96" s="2" t="inlineStr">
        <is>
          <t>ข้อ 5 (PLE_CC1_Key_Rx20_UBU.md)</t>
        </is>
      </c>
      <c r="O96" s="2" t="n"/>
      <c r="P96" s="2" t="n"/>
    </row>
    <row r="97" ht="13.2" customHeight="1" s="49">
      <c r="A97" s="8" t="inlineStr">
        <is>
          <t>95</t>
        </is>
      </c>
      <c r="B97" s="2" t="inlineStr">
        <is>
          <t>Antidote ของยา Benzodiazepine เมื่อได้รับยาเกินขนาด คืออะไร</t>
        </is>
      </c>
      <c r="C97" s="2" t="n"/>
      <c r="D97" s="2" t="inlineStr">
        <is>
          <t>Nicotine gum 2 mg PRN</t>
        </is>
      </c>
      <c r="E97" s="2" t="inlineStr">
        <is>
          <t>Quetiapine 25 mg HS</t>
        </is>
      </c>
      <c r="F97" s="2" t="inlineStr">
        <is>
          <t>Risperidone 2 mg OD</t>
        </is>
      </c>
      <c r="G97" s="2" t="inlineStr">
        <is>
          <t>Fluoxetine 20 mg OD</t>
        </is>
      </c>
      <c r="H97" s="2" t="inlineStr">
        <is>
          <t>Sertraline 50 mg OD</t>
        </is>
      </c>
      <c r="I97" s="8" t="n">
        <v>1</v>
      </c>
      <c r="J97" s="2"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97" s="2" t="n"/>
      <c r="L97" s="2" t="inlineStr">
        <is>
          <t>Anxiety/depression</t>
        </is>
      </c>
      <c r="M97" s="2" t="inlineStr">
        <is>
          <t>Clinic</t>
        </is>
      </c>
      <c r="N97" s="2" t="inlineStr">
        <is>
          <t>ข้อ 9 (PLE_CC1_Key_Rx20_UBU.md)</t>
        </is>
      </c>
      <c r="O97" s="2" t="n"/>
      <c r="P97" s="2" t="n"/>
    </row>
    <row r="98" ht="13.2" customHeight="1" s="49">
      <c r="A98" s="8" t="inlineStr">
        <is>
          <t>96</t>
        </is>
      </c>
      <c r="B98" s="2"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2" t="n"/>
      <c r="D98" s="2" t="inlineStr">
        <is>
          <t>Fluoxetine 20 mg OD</t>
        </is>
      </c>
      <c r="E98" s="2" t="inlineStr">
        <is>
          <t>Sertraline 50 mg OD</t>
        </is>
      </c>
      <c r="F98" s="2" t="inlineStr">
        <is>
          <t>Escitalopram 10 mg OD</t>
        </is>
      </c>
      <c r="G98" s="2" t="inlineStr">
        <is>
          <t>Venlafaxine 75 mg OD</t>
        </is>
      </c>
      <c r="H98" s="2" t="inlineStr">
        <is>
          <t>Amitriptyline 10 mg HS</t>
        </is>
      </c>
      <c r="I98" s="8" t="n">
        <v>1</v>
      </c>
      <c r="J98"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ออกฤทธิ์ยับยั้ง serotonin transporter ไม่ได้จับกับ GABA-A receptor จึงไม่สามารถยับยั้งหรือแก่งแย่งฤทธิ์ของ benzodiazepine antagonists ได้
• ข้อ ค. (Escitalopram 10 mg OD): Escitalopram ปรับระดับ 5-HT ที่ synaptic cleft แต่ไม่มีผลต่อ chloride channel gating ที่ควบคุมโดยตัวรับ benzodiazepines ในระบบประสาทส่วนกลาง
• ข้อ ง. (Venlafaxine 75 mg OD): Venlafaxine มีกลไกคู่ยับยั้ง SERT และ NET ไม่เกี่ยวข้องกับการจับที่ BZD recognition site จึงไม่แสดงคุณสมบัติเป็นตัวต้านพิษของยานอนหลับกลุ่ม BZD
• ข้อ จ. (Amitriptyline 10 mg HS): Amitriptyline เป็น TCA ที่มี anticholinergic และ cardiac sodium channel blocking effects ซึ่งอาจซ้ำเติมความเป็นพิษต่อระบบหัวใจหากใช้ผิดวิธี
📖 Guideline อ้างอิง:
ข้อ 5 (PLE_CC1_Key_Rx20_UBU.md)
📌 จุดจำก่อนสอบ:
• Anxiety/depression: ศึกษากลไก, ข้อบ่งใช้, และผลข้างเคียงที่สำคัญ</t>
        </is>
      </c>
      <c r="K98" s="2" t="n"/>
      <c r="L98" s="2" t="inlineStr">
        <is>
          <t>Anxiety/depression</t>
        </is>
      </c>
      <c r="M98" s="2" t="inlineStr">
        <is>
          <t>Clinic</t>
        </is>
      </c>
      <c r="N98" s="2" t="inlineStr">
        <is>
          <t>ข้อ 5 (PLE_CC1_Key_Rx20_UBU.md)</t>
        </is>
      </c>
      <c r="O98" s="2" t="n"/>
      <c r="P98" s="2" t="n"/>
    </row>
    <row r="99" ht="13.2" customHeight="1" s="49">
      <c r="A99" s="8" t="inlineStr">
        <is>
          <t>97</t>
        </is>
      </c>
      <c r="B99" s="2" t="inlineStr">
        <is>
          <t>หากผู้ป่วยใช้ Diazepam มาเป็นเวลานาน แล้วหยุดใช้ยาทันที (Abrupt withdrawal) อาการใดต่อไปนี้ที่มีโอกาสเกิดขึ้นได้มากที่สุด</t>
        </is>
      </c>
      <c r="C99" s="2" t="n"/>
      <c r="D99" s="2" t="inlineStr">
        <is>
          <t>Seizure (ชักจากการหยุดยา)</t>
        </is>
      </c>
      <c r="E99" s="2" t="inlineStr">
        <is>
          <t>Parkinson's tremor (สั่นแบบ Resting tremor)</t>
        </is>
      </c>
      <c r="F99" s="2" t="inlineStr">
        <is>
          <t>Hyperthermia และ Diaphoresis เฉียบพลัน</t>
        </is>
      </c>
      <c r="G99" s="2" t="inlineStr">
        <is>
          <t>Tardive dyskinesia (การเคลื่อนไหวผิดปกติช้า)</t>
        </is>
      </c>
      <c r="H99" s="2" t="inlineStr">
        <is>
          <t>Serotonin syndrome</t>
        </is>
      </c>
      <c r="I99" s="8" t="n">
        <v>1</v>
      </c>
      <c r="J99" s="2" t="inlineStr">
        <is>
          <t>✅ คำตอบที่ถูกต้อง: ข้อ ก. Seizure (ชักจากการหยุดยา)
💡 Background:
Benzodiazepine Withdrawal Syndrome เกิดจากการลด GABA-A receptor activity เฉียบพลัน
🎯 ทำไมข้อนี้ถึงถูก:
การหยุด Long-acting BZD (Diazepam) ทันทีทำให้เกิด rebound CNS excitation อาการหลัก: ชัก (Withdrawal seizure), วิตกกังวลรุนแรง, นอนไม่หลับ, tremor, tachycardia อาจรุนแรงถึงขั้น Delirium tremens
🔍 ข้ออื่นผิดเพราะอะไร:
• ข้อ ข. (Parkinson tremor): เกิดจาก Dopamine deficiency ใน Substantia nigra ไม่เกี่ยวกับ BZD withdrawal
• ข้อ ค. (Hyperthermia/Diaphoresis): อาจเกิดใน BZD withdrawal รุนแรงได้ แต่ไม่ใช่อาการที่มีโอกาสเกิดมากที่สุดเมื่อเทียบกับ seizure
• ข้อ ง. (Tardive dyskinesia): เป็นผลข้างเคียงระยะยาวจากการใช้ Antipsychotics (D2 blocker) ไม่ใช่ BZD
• ข้อ จ. (Serotonin syndrome): เกิดจากสารที่เพิ่ม serotonin ไม่เกี่ยวกับ GABAergic withdrawal
📖 Guideline อ้างอิง:
APA Practice Guideline for the Treatment of Patients with Substance Use Disorders (2nd edition)
📌 จุดจำก่อนสอบ:
• BZD withdrawal ≈ Alcohol withdrawal: ใช้ Long-acting BZD (Diazepam, Chlordiazepoxide) ลด Taper อย่างช้าๆ 10%/week
• Short-acting BZD (Alprazolam, Lorazepam) เสี่ยง withdrawal รุนแรงกว่า</t>
        </is>
      </c>
      <c r="K99" s="2" t="n"/>
      <c r="L99" s="2" t="inlineStr">
        <is>
          <t>Insomnia</t>
        </is>
      </c>
      <c r="M99" s="2" t="inlineStr">
        <is>
          <t>Clinic</t>
        </is>
      </c>
      <c r="N99" s="2" t="inlineStr">
        <is>
          <t>ข้อ 10 (PLE_CC1_Key_Rx20_UBU.md)</t>
        </is>
      </c>
      <c r="O99" s="2" t="n"/>
      <c r="P99" s="2" t="n"/>
    </row>
    <row r="100" ht="13.2" customHeight="1" s="49">
      <c r="A100" s="8" t="inlineStr">
        <is>
          <t>98</t>
        </is>
      </c>
      <c r="B100" s="2" t="inlineStr">
        <is>
          <t>เขียนว่ามีเภสัชกรจบจากสหรัฐอเมริกา กรณีศึกษาที่ 10 HF เลิกบุหรี่</t>
        </is>
      </c>
      <c r="C100" s="2" t="n"/>
      <c r="D100" s="2" t="inlineStr">
        <is>
          <t>Alprazolam 0.5 mg HS</t>
        </is>
      </c>
      <c r="E100" s="2" t="inlineStr">
        <is>
          <t>Diazepam 5 mg HS</t>
        </is>
      </c>
      <c r="F100" s="2" t="inlineStr">
        <is>
          <t>Zolpidem 10 mg HS</t>
        </is>
      </c>
      <c r="G100" s="2" t="inlineStr">
        <is>
          <t>Nicotine gum 2 mg PRN</t>
        </is>
      </c>
      <c r="H100" s="2" t="inlineStr">
        <is>
          <t>Quetiapine 25 mg HS</t>
        </is>
      </c>
      <c r="I100" s="8" t="n">
        <v>1</v>
      </c>
      <c r="J100" s="2" t="inlineStr">
        <is>
          <t>✅ คำตอบที่ถูกต้อง: ข้อ ก. Alprazolam 0.5 mg HS
💡 Background:
Tobacco dependence
🎯 ทำไมข้อนี้ถึงถูก:
Alprazolam 0.5 mg HS เป็นคำตอบที่ถูกต้องตาม ข้อ 5 (PLE_CC1_Key_Rx20_UBU.md)
🔍 ข้ออื่นผิดเพราะอะไร:
• ข้อ ข. (Diazepam 5 mg HS): Diazepam ไม่มีข้อบ่งใช้สำหรับการช่วยเลิกบุหรี่ และอาจทำให้เกิด fluid retention หรือกดระบบประสาทในผู้ป่วย heart failure ได้
• ข้อ ค. (Zolpidem 10 mg HS): Zolpidem เป็นยานอนหลับระยะสั้น ไม่ได้ช่วยระงับ nicotine craving หรือ withdrawal symptoms ในกระบวนการบำบัดผู้ป่วยติดบุหรี่
• ข้อ ง. (Nicotine gum 2 mg PRN): Nicotine gum ควรใช้อย่างระมัดระวังเป็นพิเศษในผู้ป่วย heart failure ที่ unstable เนื่องจากกระตุ้นระบบ sympathetic ทำให้หัวใจเต้นเร็วและความดันโลหิตสูงขึ้น
• ข้อ จ. (Quetiapine 25 mg HS): Quetiapine มีผลข้างเคียงทำให้เกิด orthostatic hypotension จาก alpha-1 blockade และเพิ่ม prolonged QTc ซึ่งเป็นอันตรายในผู้ป่วยหัวใจล้มเหลว
📖 Guideline อ้างอิง:
ข้อ 5 (PLE_CC1_Key_Rx20_UBU.md)
📌 จุดจำก่อนสอบ:
• Tobacco dependence: ศึกษากลไก, ข้อบ่งใช้, และผลข้างเคียงที่สำคัญ</t>
        </is>
      </c>
      <c r="K100" s="2" t="n"/>
      <c r="L100" s="2" t="inlineStr">
        <is>
          <t>Tobacco dependence</t>
        </is>
      </c>
      <c r="M100" s="2" t="inlineStr">
        <is>
          <t>Clinic</t>
        </is>
      </c>
      <c r="N100" s="2" t="inlineStr">
        <is>
          <t>ข้อ 5 (PLE_CC1_Key_Rx20_UBU.md)</t>
        </is>
      </c>
      <c r="O100" s="2" t="n"/>
      <c r="P100" s="2" t="n"/>
    </row>
    <row r="101" ht="13.2" customHeight="1" s="49">
      <c r="A101" s="8" t="inlineStr">
        <is>
          <t>99</t>
        </is>
      </c>
      <c r="B101" s="2" t="inlineStr">
        <is>
          <t>แนะนำให้เลิกบุหรี่ เพราะมีผลกระทบต่อสุขภาพ</t>
        </is>
      </c>
      <c r="C101" s="2" t="n"/>
      <c r="D101" s="2" t="inlineStr">
        <is>
          <t>Nicotine gum 2 mg PRN</t>
        </is>
      </c>
      <c r="E101" s="2" t="inlineStr">
        <is>
          <t>Quetiapine 25 mg HS</t>
        </is>
      </c>
      <c r="F101" s="2" t="inlineStr">
        <is>
          <t>Risperidone 2 mg OD</t>
        </is>
      </c>
      <c r="G101" s="2" t="inlineStr">
        <is>
          <t>Fluoxetine 20 mg OD</t>
        </is>
      </c>
      <c r="H101" s="2" t="inlineStr">
        <is>
          <t>Sertraline 50 mg OD</t>
        </is>
      </c>
      <c r="I101" s="8" t="n">
        <v>1</v>
      </c>
      <c r="J101" s="2" t="inlineStr">
        <is>
          <t>✅ คำตอบที่ถูกต้อง: ข้อ ก. Nicotine gum 2 mg PRN
💡 Background:
Tobacco dependence
🎯 ทำไมข้อนี้ถึงถูก:
Nicotine gum 2 mg PRN เป็นคำตอบที่ถูกต้องตาม ข้อ 1 (PLE_CC1_Key_Rx20_UBU.md)
🔍 ข้ออื่นผิดเพราะอะไร:
• ข้อ ข. (Quetiapine 25 mg HS): Quetiapine ไม่ได้เป็นยาที่ได้รับการรับรองสำหรับ smoking cessation และการใช้โดยไม่มีข้อบ่งใช้ทางจิตเวชจะเพิ่มความเสี่ยงของ dyslipidemia และเบาหวาน
• ข้อ ค. (Risperidone 2 mg OD): Risperidone ไม่มีกลไกช่วยลดนิโคตินวิธดรอว์วัล และการปิดกั้นตัวรับโดปามีนอาจเพิ่มความเสี่ยงต่อ metabolic syndrome และการเคลื่อนไหวผิดปกติ
• ข้อ ง. (Fluoxetine 20 mg OD): Fluoxetine ไม่ใช่ยาช่วยเลิกบุหรี่มาตรฐานตามแนวทางเวชปฏิบัติ การศึกษาพบว่าไม่มีประสิทธิภาพเหนือกว่า placebo ในการเลิกบุหรี่ระยะยาว
• ข้อ จ. (Sertraline 50 mg OD): Sertraline แม้จะช่วยรักษา depression แต่ไม่มีประสิทธิผลในการเพิ่มอัตราการเลิกบุหรี่ (cessation rate) ในผู้ที่ไม่มีโรควิตกกังวลหรือซึมเศร้าร่วมด้วย
📖 Guideline อ้างอิง:
ข้อ 1 (PLE_CC1_Key_Rx20_UBU.md)
📌 จุดจำก่อนสอบ:
• Tobacco dependence: ศึกษากลไก, ข้อบ่งใช้, และผลข้างเคียงที่สำคัญ</t>
        </is>
      </c>
      <c r="K101" s="2" t="n"/>
      <c r="L101" s="2" t="inlineStr">
        <is>
          <t>Tobacco dependence</t>
        </is>
      </c>
      <c r="M101" s="2" t="inlineStr">
        <is>
          <t>Clinic</t>
        </is>
      </c>
      <c r="N101" s="2" t="inlineStr">
        <is>
          <t>ข้อ 1 (PLE_CC1_Key_Rx20_UBU.md)</t>
        </is>
      </c>
      <c r="O101" s="2" t="n"/>
      <c r="P101" s="2" t="n"/>
    </row>
    <row r="102" ht="13.2" customHeight="1" s="49">
      <c r="A102" s="8" t="inlineStr">
        <is>
          <t>100</t>
        </is>
      </c>
      <c r="B102" s="2" t="inlineStr">
        <is>
          <t>แนะนำให้ซื้อยาเลิกบุหรี่ไปใช้</t>
        </is>
      </c>
      <c r="C102" s="2" t="n"/>
      <c r="D102" s="2" t="inlineStr">
        <is>
          <t>Fluoxetine 20 mg OD</t>
        </is>
      </c>
      <c r="E102" s="2" t="inlineStr">
        <is>
          <t>Sertraline 50 mg OD</t>
        </is>
      </c>
      <c r="F102" s="2" t="inlineStr">
        <is>
          <t>Escitalopram 10 mg OD</t>
        </is>
      </c>
      <c r="G102" s="2" t="inlineStr">
        <is>
          <t>Venlafaxine 75 mg OD</t>
        </is>
      </c>
      <c r="H102" s="2" t="inlineStr">
        <is>
          <t>Amitriptyline 10 mg HS</t>
        </is>
      </c>
      <c r="I102" s="8" t="n">
        <v>1</v>
      </c>
      <c r="J102" s="2" t="inlineStr">
        <is>
          <t>✅ คำตอบที่ถูกต้อง: ข้อ ก. Fluoxetine 20 mg OD
💡 Background:
Tobacco dependence
🎯 ทำไมข้อนี้ถึงถูก:
Fluoxetine 20 mg OD เป็นคำตอบที่ถูกต้องตาม ข้อ 2 (PLE_CC1_Key_Rx20_UBU.md)
🔍 ข้ออื่นผิดเพราะอะไร:
• ข้อ ข. (Sertraline 50 mg OD): Sertraline เป็นยาอันตรายกลุ่ม SSRI ที่ต้องมีการตรวจวินิจฉัยและสั่งใช้โดยแพทย์ ไม่ใช่ยาช่วยเลิกบุหรี่ที่สามารถแนะนำให้ซื้อไปใช้เองได้ในร้านยา
• ข้อ ค. (Escitalopram 10 mg OD): Escitalopram จัดเป็นยาควบคุมพิเศษหรือยาอันตรายตามกฎหมาย มีข้อบ่งใช้เฉพาะทางจิตเวช ไม่สามารถซื้อใช้เพื่อลดความอยากสูบบุหรี่ได้
• ข้อ ง. (Venlafaxine 75 mg OD): Venlafaxine เป็นยากลุ่ม SNRI ที่อาจเพิ่มความดันโลหิตและต้องค่อยๆ ปรับขนาดยา จึงไม่เหมาะสมและไม่มีข้อบ่งใช้สำหรับการซื้อไปเลิกบุหรี่
• ข้อ จ. (Amitriptyline 10 mg HS): Amitriptyline มีความเสี่ยงต่อการเกิดพิษต่อหัวใจและผลข้างเคียง anticholinergic สูงมาก จึงห้ามแนะนำให้ซื้อไปรับประทานเองเพื่อเลิกบุหรี่อย่างเด็ดขาด
📖 Guideline อ้างอิง:
ข้อ 2 (PLE_CC1_Key_Rx20_UBU.md)
📌 จุดจำก่อนสอบ:
• Tobacco dependence: ศึกษากลไก, ข้อบ่งใช้, และผลข้างเคียงที่สำคัญ</t>
        </is>
      </c>
      <c r="K102" s="2" t="n"/>
      <c r="L102" s="2" t="inlineStr">
        <is>
          <t>Tobacco dependence</t>
        </is>
      </c>
      <c r="M102" s="2" t="inlineStr">
        <is>
          <t>Clinic</t>
        </is>
      </c>
      <c r="N102" s="2" t="inlineStr">
        <is>
          <t>ข้อ 2 (PLE_CC1_Key_Rx20_UBU.md)</t>
        </is>
      </c>
      <c r="O102" s="2" t="n"/>
      <c r="P102" s="2" t="n"/>
    </row>
    <row r="103" ht="13.2" customHeight="1" s="49">
      <c r="A103" s="8" t="inlineStr">
        <is>
          <t>101</t>
        </is>
      </c>
      <c r="B103" s="2"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103" s="2" t="n"/>
      <c r="D103" s="2" t="inlineStr">
        <is>
          <t>10.5 mg</t>
        </is>
      </c>
      <c r="E103" s="2" t="inlineStr">
        <is>
          <t>7 mg</t>
        </is>
      </c>
      <c r="F103" s="2" t="inlineStr">
        <is>
          <t>17.5 mg</t>
        </is>
      </c>
      <c r="G103" s="2" t="inlineStr">
        <is>
          <t>24.5 mg</t>
        </is>
      </c>
      <c r="H103" s="2" t="inlineStr">
        <is>
          <t>3.5 mg</t>
        </is>
      </c>
      <c r="I103" s="8" t="n">
        <v>1</v>
      </c>
      <c r="J103" s="2" t="inlineStr">
        <is>
          <t>✅ คำตอบที่ถูกต้อง: ข้อ ก. 10.5 mg
💡 Background:
Nicotine transdermal patch ปลดปล่อยยาอย่างต่อเนื่องตามอัตราที่กำหนด ไม่ใช่ตัวยาทั้งหมดในแผ่นแปะถูกดูดซึม
🎯 ทำไมข้อนี้ถึงถูก:
Nicotine คงเหลือ = ปริมาณเริ่มต้น - ปริมาณปลดปล่อย = 17.5 mg - 7 mg = 10.5 mg
🔍 ข้ออื่นผิดเพราะอะไร:
• ข้อ ข. (7 mg): นี่คืออัตราการปลดปล่อย/วัน ไม่ใช่ปริมาณที่คงเหลือ
• ข้อ ค. (17.5 mg): นี่คือปริมาณ Nicotine ทั้งหมดในแผ่นแปะก่อนใช้
• ข้อ ง. (24.5 mg): เป็นการนำค่าทั้งสองมาบวกกัน ซึ่งผิดหลักการคำนวณ
• ข้อ จ. (3.5 mg): ผิด เป็นค่าที่ไม่มีที่มาจากการคำนวณที่ถูกต้อง
📖 Guideline อ้างอิง:
[NEED_REVIEW]
📌 จุดจำก่อนสอบ:
• Nicotine patch ขนาด 21 mg/24 hr (ผู้สูบ &gt;10 มวน/วัน), 14 mg/24 hr, 7 mg/24 hr
• ประสิทธิภาพ NRT: Patch &lt; Gum &lt; Combination NRT &lt; Varenicline</t>
        </is>
      </c>
      <c r="K103" s="2" t="n"/>
      <c r="L103" s="2" t="inlineStr">
        <is>
          <t>Anxiety/depression</t>
        </is>
      </c>
      <c r="M103" s="2" t="inlineStr">
        <is>
          <t>Clinic</t>
        </is>
      </c>
      <c r="N103" s="2" t="inlineStr">
        <is>
          <t>ข้อ 66 (PLE_CC1_Key_Rx20_UBU.md)</t>
        </is>
      </c>
      <c r="O103" s="2" t="n"/>
      <c r="P103" s="2" t="n"/>
    </row>
    <row r="104" ht="13.2" customHeight="1" s="49">
      <c r="A104" s="8" t="inlineStr">
        <is>
          <t>102</t>
        </is>
      </c>
      <c r="B104" s="2" t="inlineStr">
        <is>
          <t>จากตำรับของ nicotine patch ดังกล่าว จัดเป็น TDDS ชนิดใด</t>
        </is>
      </c>
      <c r="C104" s="2" t="n"/>
      <c r="D104" s="2" t="inlineStr">
        <is>
          <t>Alprazolam 0.5 mg HS</t>
        </is>
      </c>
      <c r="E104" s="2" t="inlineStr">
        <is>
          <t>Diazepam 5 mg HS</t>
        </is>
      </c>
      <c r="F104" s="2" t="inlineStr">
        <is>
          <t>Zolpidem 10 mg HS</t>
        </is>
      </c>
      <c r="G104" s="2" t="inlineStr">
        <is>
          <t>Nicotine gum 2 mg PRN</t>
        </is>
      </c>
      <c r="H104" s="2" t="inlineStr">
        <is>
          <t>Quetiapine 25 mg HS</t>
        </is>
      </c>
      <c r="I104" s="8" t="n">
        <v>1</v>
      </c>
      <c r="J104" s="2" t="inlineStr">
        <is>
          <t>✅ คำตอบที่ถูกต้อง: ข้อ ก. Alprazolam 0.5 mg HS
💡 Background:
Tobacco dependence
🎯 ทำไมข้อนี้ถึงถูก:
Alprazolam 0.5 mg HS เป็นคำตอบที่ถูกต้องตาม ข้อ 68 (PLE_CC1_Key_Rx20_UBU.md)
🔍 ข้ออื่นผิดเพราะอะไร:
• ข้อ ข. (Diazepam 5 mg HS): Diazepam มีจำหน่ายในรูปแบบยาเม็ด ยาฉีด และยาสวนทวาร แต่ไม่มีการผลิตเป็น transdermal delivery system (TDDS) สำหรับการรักษาทั่วไป
• ข้อ ค. (Zolpidem 10 mg HS): Zolpidem มีรูปแบบยาเม็ดรับประทาน ยาพ่นใต้ลิ้น และยาเม็ดอมใต้ลิ้น เพื่อให้ออกฤทธิ์เร็ว ไม่มีรูปแบบ transdermal therapeutic system
• ข้อ ง. (Nicotine gum 2 mg PRN): Nicotine gum เป็น dosage form แบบ medicated chewing gum สำหรับการดูดซึมผ่าน buccal mucosa ไม่จัดเป็น transdermal delivery system
• ข้อ จ. (Quetiapine 25 mg HS): Quetiapine มีรูปแบบยาเม็ด immediate-release และ extended-release สำหรับการรับประทานทางปากเท่านั้น ไม่มีการนำส่งยาผ่านผิวหนัง
📖 Guideline อ้างอิง:
ข้อ 68 (PLE_CC1_Key_Rx20_UBU.md)
📌 จุดจำก่อนสอบ:
• Tobacco dependence: ศึกษากลไก, ข้อบ่งใช้, และผลข้างเคียงที่สำคัญ</t>
        </is>
      </c>
      <c r="K104" s="2" t="n"/>
      <c r="L104" s="2" t="inlineStr">
        <is>
          <t>Tobacco dependence</t>
        </is>
      </c>
      <c r="M104" s="2" t="inlineStr">
        <is>
          <t>Clinic</t>
        </is>
      </c>
      <c r="N104" s="2" t="inlineStr">
        <is>
          <t>ข้อ 68 (PLE_CC1_Key_Rx20_UBU.md)</t>
        </is>
      </c>
      <c r="O104" s="2" t="n"/>
      <c r="P104" s="2" t="n"/>
    </row>
    <row r="105" ht="13.2" customHeight="1" s="49">
      <c r="A105" s="8" t="inlineStr">
        <is>
          <t>103</t>
        </is>
      </c>
      <c r="B105" s="2" t="inlineStr">
        <is>
          <t>Fluoxetine 1x1 pc เช$า</t>
        </is>
      </c>
      <c r="C105" s="2" t="n"/>
      <c r="D105" s="2" t="inlineStr">
        <is>
          <t>Nicotine gum 2 mg PRN</t>
        </is>
      </c>
      <c r="E105" s="2" t="inlineStr">
        <is>
          <t>Quetiapine 25 mg HS</t>
        </is>
      </c>
      <c r="F105" s="2" t="inlineStr">
        <is>
          <t>Risperidone 2 mg OD</t>
        </is>
      </c>
      <c r="G105" s="2" t="inlineStr">
        <is>
          <t>Fluoxetine 20 mg OD</t>
        </is>
      </c>
      <c r="H105" s="2" t="inlineStr">
        <is>
          <t>Sertraline 50 mg OD</t>
        </is>
      </c>
      <c r="I105" s="8" t="n">
        <v>1</v>
      </c>
      <c r="J105" s="2" t="inlineStr">
        <is>
          <t>✅ คำตอบที่ถูกต้อง: ข้อ ก. Nicotine gum 2 mg PRN
💡 Background:
Anxiety/depression
🎯 ทำไมข้อนี้ถึงถูก:
Nicotine gum 2 mg PRN เป็นคำตอบที่ถูกต้องตาม ข้อ 1 (PLE_CC1_Key_Rx20_UBU.md)
🔍 ข้ออื่นผิดเพราะอะไร:
• ข้อ ข. (Quetiapine 25 mg HS): Quetiapine มีผลข้างเคียงเด่นคือความง่วงซึมจากการกด H1 receptor จึงนิยมบริหารยาก่อนนอน (HS) ไม่ควรรับประทานตอนเช้าเหมือน Fluoxetine
• ข้อ ค. (Risperidone 2 mg OD): Risperidone เป็น atypical antipsychotic ที่มักให้วันละ 1-2 ครั้งเพื่อควบคุมอาการทางจิตเวช ไม่มียุทธวิธีการบริหารแบบกระตุ้นตื่นตัวในตอนเช้าเฉพาะ
• ข้อ ง. (Fluoxetine 20 mg OD): Fluoxetine มี activating effect จาก 5-HT2C antagonism ซึ่งอาจทำให้นอนไม่หลับ จึงแนะนำให้รับประทานตอนเช้าเพื่อลดผลรบกวนการนอนหลับ
• ข้อ จ. (Sertraline 50 mg OD): Sertraline แม้จะสามารถรับประทานตอนเช้าหรือเย็นได้ แต่ไม่มีฤทธิ์ activating effect เด่นชัดเท่า Fluoxetine และมักทำให้ถ่ายเหลวเป็นหลัก
📖 Guideline อ้างอิง:
ข้อ 1 (PLE_CC1_Key_Rx20_UBU.md)
📌 จุดจำก่อนสอบ:
• Anxiety/depression: ศึกษากลไก, ข้อบ่งใช้, และผลข้างเคียงที่สำคัญ</t>
        </is>
      </c>
      <c r="K105" s="2" t="n"/>
      <c r="L105" s="2" t="inlineStr">
        <is>
          <t>Anxiety/depression</t>
        </is>
      </c>
      <c r="M105" s="2" t="inlineStr">
        <is>
          <t>Clinic</t>
        </is>
      </c>
      <c r="N105" s="2" t="inlineStr">
        <is>
          <t>ข้อ 1 (PLE_CC1_Key_Rx20_UBU.md)</t>
        </is>
      </c>
      <c r="O105" s="2" t="n"/>
      <c r="P105" s="2" t="n"/>
    </row>
    <row r="106" ht="13.2" customHeight="1" s="49">
      <c r="A106" s="8" t="inlineStr">
        <is>
          <t>104</t>
        </is>
      </c>
      <c r="B106" s="2" t="inlineStr">
        <is>
          <t>Fluoxetine มีการขจัดออกอยGางไร</t>
        </is>
      </c>
      <c r="C106" s="2" t="n"/>
      <c r="D106" s="2" t="inlineStr">
        <is>
          <t>Hydroxylation</t>
        </is>
      </c>
      <c r="E106" s="2" t="inlineStr">
        <is>
          <t>O-dealkylation</t>
        </is>
      </c>
      <c r="F106" s="2" t="inlineStr">
        <is>
          <t>N-dealkylation</t>
        </is>
      </c>
      <c r="G106" s="2" t="inlineStr">
        <is>
          <t>Deamination</t>
        </is>
      </c>
      <c r="H106" s="2" t="inlineStr">
        <is>
          <t>…..</t>
        </is>
      </c>
      <c r="I106" s="8" t="n">
        <v>2</v>
      </c>
      <c r="J106" s="2" t="inlineStr">
        <is>
          <t>✅ คำตอบที่ถูกต้อง: ข้อ ข. O-dealkylation
💡 Background:
Anxiety/depression
🎯 ทำไมข้อนี้ถึงถูก:
O-dealkylation เป็นคำตอบที่ถูกต้องตาม ข้อ 79 (PLE_CC1_Key_Rx20_UBU.md)
🔍 ข้ออื่นผิดเพราะอะไร:
• ข้อ ก. (Hydroxylation): Aromatic hydroxylation เป็นวิถีเมแทบอลิซึมรองของ Fluoxetine แต่ไม่ใช่ปฏิกิริยาหลักในการสร้าง active metabolite สำคัญอย่าง Norfluoxetine
• ข้อ ค. (N-dealkylation): N-demethylation (N-dealkylation) ผ่าน CYP2D6 และ CYP2C9 เป็นวิถีเมแทบอลิซึมหลักที่เปลี่ยน Fluoxetine ไปเป็น Norfluoxetine ที่ยังคงออกฤทธิ์ทางเภสัชวิทยา
• ข้อ ง. (Deamination): Oxidative deamination เป็นปฏิกิริยาที่พบได้น้อยมากในยากลุ่ม aryloxypropylamine และไม่ใช่กระบวนการขจัดยาหลักของ Fluoxetine ในร่างกายมนุษย์
• ข้อ จ. (…..): ข้อนี้ไม่ใช่กระบวนการทางชีวเคมีที่ถูกต้องในการขจัดยา Fluoxetine เนื่องจากปฏิกิริยาหลักคือการเกิด N-demethylation ในระยะ Phase I metabolism
📖 Guideline อ้างอิง:
ข้อ 79 (PLE_CC1_Key_Rx20_UBU.md)
📌 จุดจำก่อนสอบ:
• Anxiety/depression: ศึกษากลไก, ข้อบ่งใช้, และผลข้างเคียงที่สำคัญ</t>
        </is>
      </c>
      <c r="K106" s="2" t="n"/>
      <c r="L106" s="2" t="inlineStr">
        <is>
          <t>Anxiety/depression</t>
        </is>
      </c>
      <c r="M106" s="2" t="inlineStr">
        <is>
          <t>Clinic</t>
        </is>
      </c>
      <c r="N106" s="2" t="inlineStr">
        <is>
          <t>ข้อ 79 (PLE_CC1_Key_Rx20_UBU.md)</t>
        </is>
      </c>
      <c r="O106" s="2" t="n"/>
      <c r="P106" s="2" t="n"/>
    </row>
    <row r="107" ht="13.2" customHeight="1" s="49">
      <c r="A107" s="8" t="inlineStr">
        <is>
          <t>105</t>
        </is>
      </c>
      <c r="B107" s="2"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107" s="2" t="n"/>
      <c r="D107" s="2" t="inlineStr">
        <is>
          <t>Fluoxetine ยับยั้ง CYP2D6 ลดการเปลี่ยน Tamoxifen เป็น Endoxifen ทำให้ประสิทธิภาพในการรักษามะเร็งลดลง</t>
        </is>
      </c>
      <c r="E107" s="2" t="inlineStr">
        <is>
          <t>Fluoxetine เพิ่มระดับ Tamoxifen ในเลือด ทำให้ฤทธิ์รักษามะเร็งดีขึ้น</t>
        </is>
      </c>
      <c r="F107" s="2" t="inlineStr">
        <is>
          <t>ทั้งสองยาแข่งขัน CYP2D6 ทำให้ยาทั้งคู่ออกฤทธิ์นานขึ้น</t>
        </is>
      </c>
      <c r="G107" s="2" t="inlineStr">
        <is>
          <t>ไม่มีปฏิกิริยาระหว่างยา เพราะทั้งคู่ใช้ enzyme เดียวกัน</t>
        </is>
      </c>
      <c r="H107" s="2" t="inlineStr">
        <is>
          <t>Tamoxifen ยับยั้ง CYP2D6 ทำให้ระดับ Fluoxetine ในเลือดสูงขึ้นและเสี่ยง serotonin syndrome</t>
        </is>
      </c>
      <c r="I107" s="8" t="n">
        <v>1</v>
      </c>
      <c r="J107" s="2" t="inlineStr">
        <is>
          <t>✅ คำตอบที่ถูกต้อง: ข้อ ก. Fluoxetine ยับยั้ง CYP2D6 ลดการเปลี่ยน Tamoxifen เป็น Endoxifen ทำให้ประสิทธิภาพในการรักษามะเร็งลดลง
💡 Background:
Tamoxifen เป็น Prodrug ที่ CYP2D6 metabolize เป็น Endoxifen (active metabolite ที่มีฤทธิ์มากกว่า Tamoxifen 30-100 เท่า)
🎯 ทำไมข้อนี้ถึงถูก:
Fluoxetine เป็น Strong CYP2D6 inhibitor การใช้ร่วมกันทำให้ conversion Tamoxifen → Endoxifen ลดลงอย่างมีนัยสำคัญ (ระดับ Endoxifen ลดลง 64-75%) ส่งผลให้ประสิทธิภาพต้านมะเร็ง Breast cancer ลดลง
🔍 ข้ออื่นผิดเพราะอะไร:
• ข้อ ข. (ทำให้ฤทธิ์รักษามะเร็งดีขึ้น): ผิด เป็นผลตรงกันข้าม เพราะลดการสร้าง active metabolite
• ข้อ ค. (ยาทั้งคู่ออกฤทธิ์นานขึ้น): ไม่ถูกต้อง การแข่งขัน enzyme ทำให้ Tamoxifen metabolism ช้าลง แต่ active metabolite ลดลง
• ข้อ ง. (ไม่มีปฏิกิริยา): ผิดอย่างรุนแรง มี Clinically significant DDI ที่ต้องหลีกเลี่ยง
• ข้อ จ. (Tamoxifen ยับยั้ง CYP2D6): Tamoxifen ไม่ใช่ CYP2D6 inhibitor Fluoxetine ต่างหากที่ยับยั้ง
📖 Guideline อ้างอิง:
[NEED_REVIEW]
📌 จุดจำก่อนสอบ:
• CYP2D6 strong inhibitors: Fluoxetine, Paroxetine, Bupropion, Quinidine
• ทางเลือก antidepressant ที่ปลอดภัยกว่าในผู้ป่วย Tamoxifen: Citalopram, Escitalopram, Venlafaxine</t>
        </is>
      </c>
      <c r="K107" s="2" t="n"/>
      <c r="L107" s="2" t="inlineStr">
        <is>
          <t>Anxiety/depression</t>
        </is>
      </c>
      <c r="M107" s="2" t="inlineStr">
        <is>
          <t>Clinic</t>
        </is>
      </c>
      <c r="N107" s="2" t="inlineStr">
        <is>
          <t>ข้อ 1 (PLE_CC1_Key_Rx20_UBU.md)</t>
        </is>
      </c>
      <c r="O107" s="2" t="n"/>
      <c r="P107" s="2" t="n"/>
    </row>
    <row r="108" ht="13.2" customHeight="1" s="49">
      <c r="A108" s="8" t="inlineStr">
        <is>
          <t>106</t>
        </is>
      </c>
      <c r="B108" s="2" t="inlineStr">
        <is>
          <t>acute insomnia, sleep onset and maintainance</t>
        </is>
      </c>
      <c r="C108" s="2" t="n"/>
      <c r="D108" s="2" t="inlineStr">
        <is>
          <t>Alprazolam 0.5 mg HS</t>
        </is>
      </c>
      <c r="E108" s="2" t="inlineStr">
        <is>
          <t>Diazepam 5 mg HS</t>
        </is>
      </c>
      <c r="F108" s="2" t="inlineStr">
        <is>
          <t>Zolpidem 10 mg HS</t>
        </is>
      </c>
      <c r="G108" s="2" t="inlineStr">
        <is>
          <t>Nicotine gum 2 mg PRN</t>
        </is>
      </c>
      <c r="H108" s="2" t="inlineStr">
        <is>
          <t>Quetiapine 25 mg HS</t>
        </is>
      </c>
      <c r="I108" s="8" t="n">
        <v>1</v>
      </c>
      <c r="J108" s="2" t="inlineStr">
        <is>
          <t>✅ คำตอบที่ถูกต้อง: ข้อ ก. Alprazolam 0.5 mg HS
💡 Background:
Insomnia
🎯 ทำไมข้อนี้ถึงถูก:
Alprazolam 0.5 mg HS เป็นคำตอบที่ถูกต้องตาม ข้อ 1 (PLE_CC1_Key_Rx20_UBU.md)
🔍 ข้ออื่นผิดเพราะอะไร:
• ข้อ ข. (Diazepam 5 mg HS): Diazepam มีระยะเวลาการออกฤทธิ์ยาวนานและเกิด active metabolites สะสม จึงทำให้เกิดอาการง่วงซึมตกค้างในวันรุ่งขึ้น (hangover effect) ไม่เหมาะกับ acute sleep maintenance
• ข้อ ค. (Zolpidem 10 mg HS): Zolpidem ในรูปแบบ standard immediate-release ช่วยลด sleep onset latency ได้ดีมาก แต่อาจไม่ครอบคลุมการตื่นกลางดึกเนื่องจากมี short half-life เพียง 2-3 ชั่วโมง
• ข้อ ง. (Nicotine gum 2 mg PRN): Nicotine gum เป็นสารกระตุ้นระบบประสาทส่วนกลางผ่าน nicotinic receptor ซึ่งกระตุ้นให้ร่างกายตื่นตัว จึงทำให้เกิดภาวะนอนไม่หลับอย่างรุนแรงหากใช้ก่อนนอน
• ข้อ จ. (Quetiapine 25 mg HS): Quetiapine แม้จะมีคุณสมบัติ sedating ผ่าน histamine H1 blockade แต่ไม่ได้รับอนุมัติให้ใช้เป็นยานอนหลับเดี่ยวๆ ใน acute insomnia เนื่องจากเสี่ยงต่อ metabolic side effects
📖 Guideline อ้างอิง:
ข้อ 1 (PLE_CC1_Key_Rx20_UBU.md)
📌 จุดจำก่อนสอบ:
• Insomnia: ศึกษากลไก, ข้อบ่งใช้, และผลข้างเคียงที่สำคัญ</t>
        </is>
      </c>
      <c r="K108" s="2" t="n"/>
      <c r="L108" s="2" t="inlineStr">
        <is>
          <t>Insomnia</t>
        </is>
      </c>
      <c r="M108" s="2" t="inlineStr">
        <is>
          <t>Clinic</t>
        </is>
      </c>
      <c r="N108" s="2" t="inlineStr">
        <is>
          <t>ข้อ 1 (PLE_CC1_Key_Rx20_UBU.md)</t>
        </is>
      </c>
      <c r="O108" s="2" t="n"/>
      <c r="P108" s="2" t="n"/>
    </row>
    <row r="109" ht="13.2" customHeight="1" s="49">
      <c r="A109" s="8" t="inlineStr">
        <is>
          <t>107</t>
        </is>
      </c>
      <c r="B109" s="2" t="inlineStr">
        <is>
          <t>acute insomnia, sleep onset and wake up early</t>
        </is>
      </c>
      <c r="C109" s="2" t="n"/>
      <c r="D109" s="2" t="inlineStr">
        <is>
          <t>Nicotine gum 2 mg PRN</t>
        </is>
      </c>
      <c r="E109" s="2" t="inlineStr">
        <is>
          <t>Quetiapine 25 mg HS</t>
        </is>
      </c>
      <c r="F109" s="2" t="inlineStr">
        <is>
          <t>Risperidone 2 mg OD</t>
        </is>
      </c>
      <c r="G109" s="2" t="inlineStr">
        <is>
          <t>Fluoxetine 20 mg OD</t>
        </is>
      </c>
      <c r="H109" s="2" t="inlineStr">
        <is>
          <t>Sertraline 50 mg OD</t>
        </is>
      </c>
      <c r="I109" s="8" t="n">
        <v>1</v>
      </c>
      <c r="J109" s="2" t="inlineStr">
        <is>
          <t>✅ คำตอบที่ถูกต้อง: ข้อ ก. Nicotine gum 2 mg PRN
💡 Background:
Insomnia
🎯 ทำไมข้อนี้ถึงถูก:
Nicotine gum 2 mg PRN เป็นคำตอบที่ถูกต้องตาม ข้อ 3 (PLE_CC1_Key_Rx20_UBU.md)
🔍 ข้ออื่นผิดเพราะอะไร:
• ข้อ ข. (Quetiapine 25 mg HS): Quetiapine ไม่แนะนำให้ใช้เป็น first-line hypnotic ในผู้ป่วยที่ไม่มีโรคร่วมทางจิตเวช เนื่องจากมีความเสี่ยงต่อภาวะน้ำหนักตัวเกินและ metabolic derangements
• ข้อ ค. (Risperidone 2 mg OD): Risperidone ออกฤทธิ์ปิดกั้นตัวรับ D2 ซึ่งไม่มีข้อบ่งใช้ในการรักษาอาการนอนไม่หลับเฉียบพลันและอาจเพิ่มความเสี่ยงต่อการเกิด akathisia หรือ restlessness ในตอนกลางคืน
• ข้อ ง. (Fluoxetine 20 mg OD): Fluoxetine มีฤทธิ์กระตุ้นความตื่นตัว (activating) ผ่าน 5-HT2C antagonism ซึ่งอาจทำให้นอนหลับยากขึ้นและตื่นบ่อยในระยะเริ่มต้นของการรักษา
• ข้อ จ. (Sertraline 50 mg OD): Sertraline ยับยั้ง SERT เพิ่มระดับ 5-HT ซึ่งอาจรบกวนสถาปัตยกรรมการนอนหลับ (sleep architecture) โดยลด slow wave sleep และ REM sleep ในช่วงแรก
📖 Guideline อ้างอิง:
ข้อ 3 (PLE_CC1_Key_Rx20_UBU.md)
📌 จุดจำก่อนสอบ:
• Insomnia: ศึกษากลไก, ข้อบ่งใช้, และผลข้างเคียงที่สำคัญ</t>
        </is>
      </c>
      <c r="K109" s="2" t="n"/>
      <c r="L109" s="2" t="inlineStr">
        <is>
          <t>Insomnia</t>
        </is>
      </c>
      <c r="M109" s="2" t="inlineStr">
        <is>
          <t>Clinic</t>
        </is>
      </c>
      <c r="N109" s="2" t="inlineStr">
        <is>
          <t>ข้อ 3 (PLE_CC1_Key_Rx20_UBU.md)</t>
        </is>
      </c>
      <c r="O109" s="2" t="n"/>
      <c r="P109" s="2" t="n"/>
    </row>
    <row r="110" ht="13.2" customHeight="1" s="49">
      <c r="A110" s="8" t="inlineStr">
        <is>
          <t>108</t>
        </is>
      </c>
      <c r="B110" s="2" t="inlineStr">
        <is>
          <t>chronic insomnia, sleep onset and maintainance</t>
        </is>
      </c>
      <c r="C110" s="2" t="n"/>
      <c r="D110" s="2" t="inlineStr">
        <is>
          <t>Fluoxetine 20 mg OD</t>
        </is>
      </c>
      <c r="E110" s="2" t="inlineStr">
        <is>
          <t>Sertraline 50 mg OD</t>
        </is>
      </c>
      <c r="F110" s="2" t="inlineStr">
        <is>
          <t>Escitalopram 10 mg OD</t>
        </is>
      </c>
      <c r="G110" s="2" t="inlineStr">
        <is>
          <t>Venlafaxine 75 mg OD</t>
        </is>
      </c>
      <c r="H110" s="2" t="inlineStr">
        <is>
          <t>Amitriptyline 10 mg HS</t>
        </is>
      </c>
      <c r="I110" s="8" t="n">
        <v>1</v>
      </c>
      <c r="J110" s="2" t="inlineStr">
        <is>
          <t>✅ คำตอบที่ถูกต้อง: ข้อ ก. Fluoxetine 20 mg OD
💡 Background:
Insomnia
🎯 ทำไมข้อนี้ถึงถูก:
Fluoxetine 20 mg OD เป็นคำตอบที่ถูกต้องตาม ข้อ 4 (PLE_CC1_Key_Rx20_UBU.md)
🔍 ข้ออื่นผิดเพราะอะไร:
• ข้อ ข. (Sertraline 50 mg OD): Sertraline สามารถบรรเทาอาการซึมเศร้าที่นำไปสู่อาการนอนไม่หลับได้ แต่ไม่มีฤทธิ์ระงับประสาทโดยตรงที่จะช่วย sleep maintenance ในระยะเฉียบพลัน
• ข้อ ค. (Escitalopram 10 mg OD): Escitalopram ปรับสมดุล serotonin ได้ดี แต่ไม่ได้แก้ปัญหา chronic insomnia ได้ทันทีเนื่องจากขาดฤทธิ์ sedating ผ่านตัวรับฮิสตามีนหรือตัวรับกาบา
• ข้อ ง. (Venlafaxine 75 mg OD): Venlafaxine ยับยั้งทั้ง 5-HT และ NE reuptake ซึ่งระดับ NE ที่เพิ่มขึ้นในระบบประสาทอาจกระตุ้นให้เกิดภาวะตื่นตัวและรบกวนการนอนหลับได้มากขึ้น
• ข้อ จ. (Amitriptyline 10 mg HS): Amitriptyline แม้จะมี sedative effect สูงจากการปิดกั้น H1 receptor แต่การใช้ระยะยาวใน chronic insomnia เสี่ยงต่อ daytime cognitive impairment และ anticholinergic toxicity
📖 Guideline อ้างอิง:
ข้อ 4 (PLE_CC1_Key_Rx20_UBU.md)
📌 จุดจำก่อนสอบ:
• Insomnia: ศึกษากลไก, ข้อบ่งใช้, และผลข้างเคียงที่สำคัญ</t>
        </is>
      </c>
      <c r="K110" s="2" t="n"/>
      <c r="L110" s="2" t="inlineStr">
        <is>
          <t>Insomnia</t>
        </is>
      </c>
      <c r="M110" s="2" t="inlineStr">
        <is>
          <t>Clinic</t>
        </is>
      </c>
      <c r="N110" s="2" t="inlineStr">
        <is>
          <t>ข้อ 4 (PLE_CC1_Key_Rx20_UBU.md)</t>
        </is>
      </c>
      <c r="O110" s="2" t="n"/>
      <c r="P110" s="2" t="n"/>
    </row>
    <row r="111" ht="13.2" customHeight="1" s="49">
      <c r="A111" s="8" t="inlineStr">
        <is>
          <t>109</t>
        </is>
      </c>
      <c r="B111" s="2"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11" s="2" t="n"/>
      <c r="D111" s="2" t="inlineStr">
        <is>
          <t>คาเฟอีนในชายับยั้ง Adenosine receptor ทำให้ลด Sleep pressure และเพิ่ม Sleep latency</t>
        </is>
      </c>
      <c r="E111" s="2" t="inlineStr">
        <is>
          <t>ชามีฤทธิ์ขยายหลอดเลือด ทำให้ Blood pressure สูงขึ้นและนอนหลับยาก</t>
        </is>
      </c>
      <c r="F111" s="2" t="inlineStr">
        <is>
          <t>Tannin ในชาทำให้เกิด Gastritis และนอนไม่หลับเนื่องจากปวดท้อง</t>
        </is>
      </c>
      <c r="G111" s="2" t="inlineStr">
        <is>
          <t>ชาทำให้เกิด Urinary frequency บ่อยขึ้นในเวลากลางคืน</t>
        </is>
      </c>
      <c r="H111" s="2" t="inlineStr">
        <is>
          <t>ชามีสาร Theobromine ที่กระตุ้นระบบประสาทรุนแรงกว่าคาเฟอีน</t>
        </is>
      </c>
      <c r="I111" s="8" t="n">
        <v>1</v>
      </c>
      <c r="J111" s="2" t="inlineStr">
        <is>
          <t>✅ คำตอบที่ถูกต้อง: ข้อ ก. คาเฟอีนในชายับยั้ง Adenosine receptor ทำให้ลด Sleep pressure และเพิ่ม Sleep latency
💡 Background:
คาเฟอีนเป็น Methylxanthine ที่ออกฤทธิ์เป็น Non-selective Adenosine receptor antagonist (A1 และ A2A)
🎯 ทำไมข้อนี้ถึงถูก:
Adenosine สะสมในสมองขณะตื่นนาน (Sleep pressure/Homeostatic drive) คาเฟอีนปิดกั้น Adenosine จึงลด sleepiness ยืด sleep latency และลดคุณภาพการนอนหลับ ชาดำมีคาเฟอีน 14-70 mg/cup t1/2 ประมาณ 5-6 ชั่วโมง ดังนั้นดื่มตอนเย็นยังมีผลถึงกลางคืน
🔍 ข้ออื่นผิดเพราะอะไร:
• ข้อ ข. (ขยายหลอดเลือด): ผิด คาเฟอีนหดหลอดเลือดสมอง (Vasoconstriction) ไม่ขยาย และ BP effect ไม่ใช่กลไกหลักของ insomnia
• ข้อ ค. (Tannin/Gastritis): Tannin ทำให้ดูดซึม Fe ลดลงและมี astringent effect แต่ไม่ใช่สาเหตุหลักของ insomnia
• ข้อ ง. (Urinary frequency): คาเฟอีนมีฤทธิ์ Diuretic อ่อนๆ อาจทำให้ปัสสาวะบ่อยขึ้น แต่ไม่ใช่กลไกหลักในการทำให้นอนไม่หลับ
• ข้อ จ. (Theobromine): Theobromine มีฤทธิ์กระตุ้น CNS น้อยกว่าคาเฟอีน 10 เท่า และมีปริมาณน้อยกว่ามากในชา
📖 Guideline อ้างอิง:
[NEED_REVIEW]
📌 จุดจำก่อนสอบ:
• Sleep hygiene: งดคาเฟอีน 6 ชั่วโมงก่อนนอน, งด screen ก่อนนอน 30-60 นาที
• ชาเขียวมีคาเฟอีน~35 mg/cup ชาดำ~50 mg/cup กาแฟ~95 mg/cup</t>
        </is>
      </c>
      <c r="K111" s="2" t="n"/>
      <c r="L111" s="2" t="inlineStr">
        <is>
          <t>Insomnia</t>
        </is>
      </c>
      <c r="M111" s="2" t="inlineStr">
        <is>
          <t>Clinic</t>
        </is>
      </c>
      <c r="N111" s="2" t="inlineStr">
        <is>
          <t>ข้อ 5 (PLE_CC1_Key_Rx20_UBU.md)</t>
        </is>
      </c>
      <c r="O111" s="2" t="n"/>
      <c r="P111" s="2" t="n"/>
    </row>
    <row r="112" ht="13.2" customHeight="1" s="49">
      <c r="A112" s="8" t="inlineStr">
        <is>
          <t>110</t>
        </is>
      </c>
      <c r="B112" s="2" t="inlineStr">
        <is>
          <t>ตำแหน่งสองเปลี่ยน C=O เป็น C=N จากโครงสร้างยาเป็นกลุ่ม Benzodiazepines</t>
        </is>
      </c>
      <c r="C112" s="2" t="n"/>
      <c r="D112" s="2" t="inlineStr">
        <is>
          <t>เติม Halogen ที่ Carbon ตำแหน่ง 9 ทำให้ฤทธิ์ลดลง</t>
        </is>
      </c>
      <c r="E112" s="2" t="inlineStr">
        <is>
          <t>Diazepam 5 mg HS</t>
        </is>
      </c>
      <c r="F112" s="2" t="inlineStr">
        <is>
          <t>Zolpidem 10 mg HS</t>
        </is>
      </c>
      <c r="G112" s="2" t="inlineStr">
        <is>
          <t>Nicotine gum 2 mg PRN</t>
        </is>
      </c>
      <c r="H112" s="2" t="inlineStr">
        <is>
          <t>Quetiapine 25 mg HS</t>
        </is>
      </c>
      <c r="I112" s="8" t="n">
        <v>1</v>
      </c>
      <c r="J112" s="2" t="inlineStr">
        <is>
          <t>✅ คำตอบที่ถูกต้อง: ข้อ ก. เติม Halogen ที่ Carbon ตำแหน่ง 9 ทำให้ฤทธิ์ลดลง
💡 Background:
Anxiety/depression
🎯 ทำไมข้อนี้ถึงถูก:
เติม Halogen ที่ Carbon ตำแหน่ง 9 ทำให้ฤทธิ์ลดลง เป็นคำตอบที่ถูกต้องตาม ข้อ 5 (PLE_CC1_Key_Rx20_UBU.md)
🔍 ข้ออื่นผิดเพราะอะไร:
• ข้อ ข. (Diazepam 5 mg HS): Diazepam เป็นโครงสร้าง 1,4-benzodiazepine มาตรฐานที่มีหมู่คาร์บอนิล (C=O) ที่ตำแหน่งที่ 2 ซึ่งจำเป็นต่อการคงความแรงในการจับกับ BZD receptor
• ข้อ ค. (Zolpidem 10 mg HS): Zolpidem เป็นอนุพันธ์กลุ่ม imidazopyridine ซึ่งมีโครงสร้างทางเคมีที่แตกต่างจาก benzodiazepine core ring อย่างสิ้นเชิง
• ข้อ ง. (Nicotine gum 2 mg PRN): Nicotine gum เป็นผลิตภัณฑ์สารอัลคาลอยด์ประเภท pyridine-pyrrolidine ไม่มีความเกี่ยวข้องกับโครงสร้าง heterocyclic ring ของ benzodiazepines
• ข้อ จ. (Quetiapine 25 mg HS): Quetiapine เป็นอนุพันธ์ dibenzothiazepine ที่มี side chain จับกับตัวรับชนิดอื่นๆ ไม่จัดอยู่ในกลุ่มโครงสร้าง benzodiazepines
📖 Guideline อ้างอิง:
ข้อ 5 (PLE_CC1_Key_Rx20_UBU.md)
📌 จุดจำก่อนสอบ:
• Anxiety/depression: ศึกษากลไก, ข้อบ่งใช้, และผลข้างเคียงที่สำคัญ</t>
        </is>
      </c>
      <c r="K112" s="2" t="n"/>
      <c r="L112" s="2" t="inlineStr">
        <is>
          <t>Anxiety/depression</t>
        </is>
      </c>
      <c r="M112" s="2" t="inlineStr">
        <is>
          <t>Clinic</t>
        </is>
      </c>
      <c r="N112" s="2" t="inlineStr">
        <is>
          <t>ข้อ 5 (PLE_CC1_Key_Rx20_UBU.md)</t>
        </is>
      </c>
      <c r="O112" s="2" t="n"/>
      <c r="P112" s="2" t="n"/>
    </row>
    <row r="113" ht="13.2" customHeight="1" s="49">
      <c r="A113" s="8" t="inlineStr">
        <is>
          <t>111</t>
        </is>
      </c>
      <c r="B113" s="2" t="inlineStr">
        <is>
          <t>ผู้ป่วยจัดเป็น Insomnia ประเภทใด</t>
        </is>
      </c>
      <c r="C113" s="2" t="n"/>
      <c r="D113" s="2" t="inlineStr">
        <is>
          <t>Short term insomnia with difficulty falling asleep</t>
        </is>
      </c>
      <c r="E113" s="2" t="inlineStr">
        <is>
          <t>Short term insomnia with difficulty falling asleep and maintaining sleep</t>
        </is>
      </c>
      <c r="F113" s="2" t="inlineStr">
        <is>
          <t>Long term insomnia with difficulty falling asleep</t>
        </is>
      </c>
      <c r="G113" s="2" t="inlineStr">
        <is>
          <t>Long term insomnia with difficulty falling asleep and maintaining sleep</t>
        </is>
      </c>
      <c r="H113" s="2" t="inlineStr">
        <is>
          <t>Long term insomnia with difficulty maintaining sleep</t>
        </is>
      </c>
      <c r="I113" s="8" t="n">
        <v>2</v>
      </c>
      <c r="J113" s="2"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ตามเกณฑ์การวินิจฉัยสากล จึงไม่ถูกต้องที่จะระบุว่าเป็น chronic หรือ long term insomnia
• ข้อ จ. (Long term insomnia with difficulty maintaining sleep</t>
        </is>
      </c>
      <c r="K113" s="2" t="n"/>
      <c r="L113" s="2" t="inlineStr">
        <is>
          <t>Insomnia</t>
        </is>
      </c>
      <c r="M113" s="2" t="inlineStr">
        <is>
          <t>Clinic</t>
        </is>
      </c>
      <c r="N113" s="2" t="inlineStr">
        <is>
          <t>ข้อ 64 (PLE_CC1_Key_Rx20_UBU.md)</t>
        </is>
      </c>
      <c r="O113" s="2" t="n"/>
      <c r="P113" s="2" t="n"/>
    </row>
    <row r="114" ht="13.2" customHeight="1" s="49">
      <c r="A114" s="8" t="inlineStr">
        <is>
          <t>112</t>
        </is>
      </c>
      <c r="B114" s="2" t="inlineStr">
        <is>
          <t>สาเหตุใดเป็นสาเหตุหลักของการนอนไม่หลับมากที่สุด</t>
        </is>
      </c>
      <c r="C114" s="2" t="n"/>
      <c r="D114" s="2" t="inlineStr">
        <is>
          <t>พ่อเสียชีวิต</t>
        </is>
      </c>
      <c r="E114" s="2" t="inlineStr">
        <is>
          <t>แม่ป่วย</t>
        </is>
      </c>
      <c r="F114" s="2" t="inlineStr">
        <is>
          <t>ภรรยาเสียชีวิต</t>
        </is>
      </c>
      <c r="G114" s="2" t="inlineStr">
        <is>
          <t>กินยาลดความดันโลหิต</t>
        </is>
      </c>
      <c r="H114" s="2" t="inlineStr">
        <is>
          <t>กินยารักษาต่อมลูกหมากโต</t>
        </is>
      </c>
      <c r="I114" s="8" t="n">
        <v>3</v>
      </c>
      <c r="J114" s="2"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t>
        </is>
      </c>
      <c r="K114" s="2" t="n"/>
      <c r="L114" s="2" t="inlineStr">
        <is>
          <t>Insomnia</t>
        </is>
      </c>
      <c r="M114" s="2" t="inlineStr">
        <is>
          <t>Clinic</t>
        </is>
      </c>
      <c r="N114" s="2" t="inlineStr">
        <is>
          <t>ข้อ 65 (PLE_CC1_Key_Rx20_UBU.md)</t>
        </is>
      </c>
      <c r="O114" s="2" t="n"/>
      <c r="P114" s="2" t="n"/>
    </row>
    <row r="115" ht="13.2" customHeight="1" s="49">
      <c r="A115" s="8" t="inlineStr">
        <is>
          <t>113</t>
        </is>
      </c>
      <c r="B115" s="2" t="inlineStr">
        <is>
          <t>ควรใช้ยาใดในผู้ป่วยรายนี้ มีตาราง Pharmacokinetics ของ Benzodiazepine มาดังนี้</t>
        </is>
      </c>
      <c r="C115" s="2" t="n"/>
      <c r="D115" s="2" t="inlineStr">
        <is>
          <t>Diazepam</t>
        </is>
      </c>
      <c r="E115" s="2" t="inlineStr">
        <is>
          <t>Lorazepam</t>
        </is>
      </c>
      <c r="F115" s="2" t="inlineStr">
        <is>
          <t>Alprazolam</t>
        </is>
      </c>
      <c r="G115" s="2" t="inlineStr">
        <is>
          <t>Triazolam</t>
        </is>
      </c>
      <c r="H115" s="2" t="inlineStr">
        <is>
          <t>Clonazepam</t>
        </is>
      </c>
      <c r="I115" s="8" t="n">
        <v>1</v>
      </c>
      <c r="J115" s="2"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t>
        </is>
      </c>
      <c r="K115" s="2" t="n"/>
      <c r="L115" s="2" t="inlineStr">
        <is>
          <t>Anxiety/depression</t>
        </is>
      </c>
      <c r="M115" s="2" t="inlineStr">
        <is>
          <t>Clinic</t>
        </is>
      </c>
      <c r="N115" s="2" t="inlineStr">
        <is>
          <t>ข้อ 67 (PLE_CC1_Key_Rx20_UBU.md)</t>
        </is>
      </c>
      <c r="O115" s="2" t="n"/>
      <c r="P115" s="2" t="n"/>
    </row>
    <row r="116" ht="13.2" customHeight="1" s="49">
      <c r="A116" s="8" t="inlineStr">
        <is>
          <t>114</t>
        </is>
      </c>
      <c r="B116" s="2" t="inlineStr">
        <is>
          <t>ผู้ป่วยมีโรคซึมเศร้าร่วมด้วย ควรได้รับยาใด เพื่อรักษาอาการนอนไม่หลับและซึมเศร้า</t>
        </is>
      </c>
      <c r="C116" s="2" t="n"/>
      <c r="D116" s="2" t="inlineStr">
        <is>
          <t>Bupropion</t>
        </is>
      </c>
      <c r="E116" s="2" t="inlineStr">
        <is>
          <t>Mirtazapine</t>
        </is>
      </c>
      <c r="F116" s="2" t="inlineStr">
        <is>
          <t>Amitriptyline</t>
        </is>
      </c>
      <c r="G116" s="2" t="inlineStr">
        <is>
          <t>Venlafaxine</t>
        </is>
      </c>
      <c r="H116" s="2" t="inlineStr">
        <is>
          <t>Zolpidem</t>
        </is>
      </c>
      <c r="I116" s="8" t="n">
        <v>2</v>
      </c>
      <c r="J116" s="2"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t>
        </is>
      </c>
      <c r="K116" s="2" t="n"/>
      <c r="L116" s="2" t="inlineStr">
        <is>
          <t>Anxiety/depression</t>
        </is>
      </c>
      <c r="M116" s="2" t="inlineStr">
        <is>
          <t>Clinic</t>
        </is>
      </c>
      <c r="N116" s="2" t="inlineStr">
        <is>
          <t>ข้อ 68 (PLE_CC1_Key_Rx20_UBU.md)</t>
        </is>
      </c>
      <c r="O116" s="2" t="n"/>
      <c r="P116" s="2" t="n"/>
    </row>
    <row r="117" ht="13.2" customHeight="1" s="49">
      <c r="A117" s="2" t="n">
        <v>115</v>
      </c>
      <c r="B117" s="2"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2" t="n"/>
      <c r="D117" s="2" t="inlineStr">
        <is>
          <t>แนะนำให้งดดื่มเครื่องดื่มแอลกอฮอล์ก่อนนอน</t>
        </is>
      </c>
      <c r="E117" s="2" t="inlineStr">
        <is>
          <t>เมื่อนอนไม่หลับภายใน 20 นาที ให้ลุกออกจากเตียงไปทำกิจกรรมผ่อนคลาย เมื่อรู้สึกง่วงจึงค่อยกลับมานอน</t>
        </is>
      </c>
      <c r="F117" s="2" t="inlineStr">
        <is>
          <t>แนะนำให้นอนหลับพักผ่อนในช่วงกลางวันชดเชยวันละ 2-3 ชั่วโมง</t>
        </is>
      </c>
      <c r="G117" s="2" t="inlineStr">
        <is>
          <t>เข้านอนและตื่นนอนให้ตรงเวลาเดิมสม่ำเสมอทุกวัน</t>
        </is>
      </c>
      <c r="H117" s="2" t="inlineStr">
        <is>
          <t>งดดื่มชา กาแฟ และเครื่องดื่มที่มีคาเฟอีน โดยเฉพาะในช่วงบ่ายและเย็น</t>
        </is>
      </c>
      <c r="I117" s="8" t="n">
        <v>3</v>
      </c>
      <c r="J117" s="2"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2" t="n"/>
      <c r="L117" s="2" t="inlineStr">
        <is>
          <t>Psychiatric</t>
        </is>
      </c>
      <c r="M117" s="2" t="inlineStr">
        <is>
          <t>Clinic</t>
        </is>
      </c>
      <c r="N117" s="2" t="inlineStr">
        <is>
          <t>PLE_CC1_2567_Key ข้อ 18</t>
        </is>
      </c>
      <c r="O117" s="2" t="n"/>
      <c r="P117" s="2" t="n"/>
    </row>
    <row r="118" ht="13.2" customHeight="1" s="49">
      <c r="A118" s="2" t="n">
        <v>116</v>
      </c>
      <c r="B118" s="2"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2" t="n"/>
      <c r="D118" s="2" t="inlineStr">
        <is>
          <t>จ่าย Lorazepam 1 mg รับประทานก่อนนอนทุกคืนต่อเนื่อง 1 เดือน</t>
        </is>
      </c>
      <c r="E118" s="2" t="inlineStr">
        <is>
          <t>ปรับสุขอนามัยการนอนหลับ (Sleep hygiene) งดแอลกอฮอล์/กาแฟ และอาจพิจารณา Melatonin ระยะสั้น</t>
        </is>
      </c>
      <c r="F118" s="2" t="inlineStr">
        <is>
          <t>แนะนำให้รับประทานยาเม็ดสารสกัดสมุนไพรใบขี้เหล็กก่อนนอน</t>
        </is>
      </c>
      <c r="G118" s="2" t="inlineStr">
        <is>
          <t>จ่ายยา Chlorpheniramine (CPM) 4 mg รับประทานก่อนนอนเป็นประจำเพื่อช่วยให้นอนหลับ</t>
        </is>
      </c>
      <c r="H118" s="2" t="inlineStr">
        <is>
          <t>ให้ดื่มแอลกอฮอล์เพิ่มปริมาณเป็น 2 แก้วก่อนนอนเพื่อให้หลับสนิทตลอดคืน</t>
        </is>
      </c>
      <c r="I118" s="8" t="n">
        <v>2</v>
      </c>
      <c r="J118" s="2"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2" t="n"/>
      <c r="L118" s="2" t="inlineStr">
        <is>
          <t>Psychiatric</t>
        </is>
      </c>
      <c r="M118" s="2" t="inlineStr">
        <is>
          <t>Clinic</t>
        </is>
      </c>
      <c r="N118" s="2" t="inlineStr">
        <is>
          <t>PLE_CC1_2567_Key ข้อ 20</t>
        </is>
      </c>
      <c r="O118" s="2" t="n"/>
      <c r="P118" s="2" t="n"/>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13"/>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49">
      <c r="A3" s="13" t="n">
        <v>1</v>
      </c>
      <c r="B3" s="2"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2" t="n"/>
      <c r="D3" s="2" t="inlineStr">
        <is>
          <t>Short-acting beta-2 agonist (SABA) เดี่ยวๆ (เช่น Salbutamol MDI)</t>
        </is>
      </c>
      <c r="E3" s="2" t="inlineStr">
        <is>
          <t>Inhaled corticosteroid + Formoterol (ICS-Formoterol ขนาดต่ำ)</t>
        </is>
      </c>
      <c r="F3" s="2" t="inlineStr">
        <is>
          <t>Oral Prednisolone 30 mg</t>
        </is>
      </c>
      <c r="G3" s="2" t="inlineStr">
        <is>
          <t>Ipratropium bromide MDI</t>
        </is>
      </c>
      <c r="H3" s="2" t="inlineStr">
        <is>
          <t>Theophylline sustained-release</t>
        </is>
      </c>
      <c r="I3" s="8" t="n">
        <v>2</v>
      </c>
      <c r="J3" s="2"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2" t="n"/>
      <c r="L3" s="2" t="inlineStr">
        <is>
          <t>Asthma</t>
        </is>
      </c>
      <c r="M3" s="2" t="inlineStr">
        <is>
          <t>1</t>
        </is>
      </c>
      <c r="N3" s="2" t="inlineStr">
        <is>
          <t>Clinic</t>
        </is>
      </c>
      <c r="O3" s="2" t="n"/>
      <c r="P3" s="2" t="n"/>
    </row>
    <row r="4" ht="13.2" customHeight="1" s="49">
      <c r="A4" s="8" t="n">
        <v>2</v>
      </c>
      <c r="B4"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2" t="n"/>
      <c r="D4" s="2" t="inlineStr">
        <is>
          <t>เพื่อให้สามารถดำเนินชีวิตได้ปกติ</t>
        </is>
      </c>
      <c r="E4" s="2" t="inlineStr">
        <is>
          <t>เพื่อให้ควบคุมอาการของโรคได้</t>
        </is>
      </c>
      <c r="F4" s="2" t="inlineStr">
        <is>
          <t>เพื่อหลีกเลี่ยงอาการไม่พึงประสงค์อันเนื่องมาจากยารับประทาน</t>
        </is>
      </c>
      <c r="G4" s="2" t="inlineStr">
        <is>
          <t>เพื่อป้องกันการเกิดอาการเรื้อรัง</t>
        </is>
      </c>
      <c r="H4" s="2" t="inlineStr">
        <is>
          <t>เพื่อป้องกันการทำลายเนื้อเยื่อปอด</t>
        </is>
      </c>
      <c r="I4" s="8" t="n">
        <v>5</v>
      </c>
      <c r="J4" s="2"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2" t="n"/>
      <c r="L4" s="2" t="inlineStr">
        <is>
          <t>Asthma</t>
        </is>
      </c>
      <c r="M4" s="2" t="inlineStr">
        <is>
          <t>1</t>
        </is>
      </c>
      <c r="N4" s="2" t="inlineStr">
        <is>
          <t>Clinic</t>
        </is>
      </c>
      <c r="O4" s="2" t="n"/>
      <c r="P4" s="2" t="n"/>
    </row>
    <row r="5" ht="13.2" customHeight="1" s="49">
      <c r="A5" s="8" t="n">
        <v>3</v>
      </c>
      <c r="B5"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2" t="n"/>
      <c r="D5" s="2" t="inlineStr">
        <is>
          <t>เดินขึ้นบันได 2 ชั้น</t>
        </is>
      </c>
      <c r="E5" s="2" t="inlineStr">
        <is>
          <t>อากาศร้อน</t>
        </is>
      </c>
      <c r="F5" s="2" t="inlineStr">
        <is>
          <t>ขนแมว</t>
        </is>
      </c>
      <c r="G5" s="2" t="inlineStr">
        <is>
          <t>ฝุ่น</t>
        </is>
      </c>
      <c r="H5" s="2" t="inlineStr">
        <is>
          <t>ควันบุหรี่</t>
        </is>
      </c>
      <c r="I5" s="8" t="n">
        <v>2</v>
      </c>
      <c r="J5" s="2"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2" t="n"/>
      <c r="L5" s="2" t="inlineStr">
        <is>
          <t>Asthma</t>
        </is>
      </c>
      <c r="M5" s="2" t="inlineStr">
        <is>
          <t>2</t>
        </is>
      </c>
      <c r="N5" s="2" t="inlineStr">
        <is>
          <t>Clinic</t>
        </is>
      </c>
      <c r="O5" s="2" t="n"/>
      <c r="P5" s="2" t="n"/>
    </row>
    <row r="6" ht="13.2" customHeight="1" s="49">
      <c r="A6" s="8" t="n">
        <v>4</v>
      </c>
      <c r="B6"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2" t="n"/>
      <c r="D6" s="2" t="inlineStr">
        <is>
          <t>ตัวยามีฤทธิ์เป็น long-acting beta 2 antagonist</t>
        </is>
      </c>
      <c r="E6" s="2" t="inlineStr">
        <is>
          <t>หากใช้ร่วมกับ inhaled steroid ให้พ่น steroid ก่อน</t>
        </is>
      </c>
      <c r="F6" s="2" t="inlineStr">
        <is>
          <t>ผู้ป่วยทุกรายควรพกติดตัวไว้ตลอดเวลาเพราะเป็นยาช่วยบรรเทาอาการ</t>
        </is>
      </c>
      <c r="G6" s="2" t="inlineStr">
        <is>
          <t>เวลาเกิด attack ให้พ่น 2-4 puffs ทุกหนึ่งชั่วโมงอย่างมากที่สุด 3 ครั้ง</t>
        </is>
      </c>
      <c r="H6" s="2" t="inlineStr">
        <is>
          <t>ที่ห้องฉุกเฉินเปลี่ยนไปให้เป็นรูปแบบยาฉีดให้ออกฤทธิ์เร็วและเพิ่ม bioavailability</t>
        </is>
      </c>
      <c r="I6" s="8" t="n">
        <v>3</v>
      </c>
      <c r="J6" s="2"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2" t="n"/>
      <c r="L6" s="2" t="inlineStr">
        <is>
          <t>Asthma</t>
        </is>
      </c>
      <c r="M6" s="2" t="inlineStr">
        <is>
          <t>3</t>
        </is>
      </c>
      <c r="N6" s="2" t="inlineStr">
        <is>
          <t>Clinic</t>
        </is>
      </c>
      <c r="O6" s="2" t="n"/>
      <c r="P6" s="2" t="n"/>
    </row>
    <row r="7" ht="13.2" customHeight="1" s="49">
      <c r="A7" s="8" t="n">
        <v>5</v>
      </c>
      <c r="B7"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2" t="n"/>
      <c r="D7" s="2" t="inlineStr">
        <is>
          <t>Inhaled formoterol ครั้งละ 3 puffs ก่อนนอน</t>
        </is>
      </c>
      <c r="E7" s="2" t="inlineStr">
        <is>
          <t>Zileuton ครั้งละ 1 เม็ด วันละ 4 ครั้ง</t>
        </is>
      </c>
      <c r="F7" s="2" t="inlineStr">
        <is>
          <t>Sustained-released theophylline ครั้งละ 1 เม็ด วันละ 2 ครั้ง</t>
        </is>
      </c>
      <c r="G7" s="2" t="inlineStr">
        <is>
          <t>Inhaled budesonide ครั้งละ 1 puffs วันละ 2 ครั้ง</t>
        </is>
      </c>
      <c r="H7" s="2" t="inlineStr">
        <is>
          <t>Ketotifen (1mg/tablet) ครั้งละ 1 เม็ด วันละ 2 ครั้ง</t>
        </is>
      </c>
      <c r="I7" s="8" t="n">
        <v>4</v>
      </c>
      <c r="J7" s="2"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2" t="n"/>
      <c r="L7" s="2" t="inlineStr">
        <is>
          <t>Asthma</t>
        </is>
      </c>
      <c r="M7" s="2" t="inlineStr">
        <is>
          <t>4</t>
        </is>
      </c>
      <c r="N7" s="2" t="inlineStr">
        <is>
          <t>Clinic</t>
        </is>
      </c>
      <c r="O7" s="2" t="n"/>
      <c r="P7" s="2" t="n"/>
    </row>
    <row r="8" ht="13.2" customHeight="1" s="49">
      <c r="A8" s="8" t="n">
        <v>6</v>
      </c>
      <c r="B8" s="2"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2" t="n"/>
      <c r="D8" s="2" t="inlineStr">
        <is>
          <t>Inhaled salmeterol DPI ครั้งละ 1 blister ทุก 12 ชม.</t>
        </is>
      </c>
      <c r="E8" s="2" t="inlineStr">
        <is>
          <t>Inhaled cromolyn MDI (1mg/puff) ครั้งละ 2 puff วันละ 3 ครั้ง</t>
        </is>
      </c>
      <c r="F8" s="2" t="inlineStr">
        <is>
          <t>Inhaled fluticasone + salmeterol DPI ครั้งละ 1 puff วันละ 2 ครั้ง</t>
        </is>
      </c>
      <c r="G8" s="2" t="inlineStr">
        <is>
          <t>Prednisolone (5 mg/tab) ครั้งละ 5 เม็ด หลังอาหาร เช้า เย็น</t>
        </is>
      </c>
      <c r="H8" s="2" t="inlineStr">
        <is>
          <t>Inhaled ipratropium MDI ครั้งละ 2 puff วันละ 3 ครั้ง</t>
        </is>
      </c>
      <c r="I8" s="8" t="n">
        <v>3</v>
      </c>
      <c r="J8" s="2"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2" t="n"/>
      <c r="L8" s="2" t="inlineStr">
        <is>
          <t>Asthma</t>
        </is>
      </c>
      <c r="M8" s="2" t="inlineStr">
        <is>
          <t>5</t>
        </is>
      </c>
      <c r="N8" s="2" t="inlineStr">
        <is>
          <t>Clinic</t>
        </is>
      </c>
      <c r="O8" s="2" t="n"/>
      <c r="P8" s="2" t="n"/>
    </row>
    <row r="9" ht="13.2" customHeight="1" s="49">
      <c r="A9" s="8" t="n">
        <v>7</v>
      </c>
      <c r="B9" s="2" t="inlineStr">
        <is>
          <t>การใช้น้ำกลั้วคอแล้วบ้วนทิ้งหลังพ่นยา steroid ป้องกันผลข้างเคียงใดได้มากที่สุด</t>
        </is>
      </c>
      <c r="C9" s="2" t="n"/>
      <c r="D9" s="2" t="inlineStr">
        <is>
          <t>Sore throat</t>
        </is>
      </c>
      <c r="E9" s="2" t="inlineStr">
        <is>
          <t>Pharyngitis</t>
        </is>
      </c>
      <c r="F9" s="2" t="inlineStr">
        <is>
          <t>Metallic taste</t>
        </is>
      </c>
      <c r="G9" s="2" t="inlineStr">
        <is>
          <t>Gingivitis</t>
        </is>
      </c>
      <c r="H9" s="2" t="inlineStr">
        <is>
          <t>Oral thrush</t>
        </is>
      </c>
      <c r="I9" s="8" t="n">
        <v>5</v>
      </c>
      <c r="J9" s="2"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2" t="n"/>
      <c r="L9" s="2" t="inlineStr">
        <is>
          <t>Asthma</t>
        </is>
      </c>
      <c r="M9" s="2" t="inlineStr">
        <is>
          <t>6</t>
        </is>
      </c>
      <c r="N9" s="2" t="inlineStr">
        <is>
          <t>Clinic</t>
        </is>
      </c>
      <c r="O9" s="2" t="n"/>
      <c r="P9" s="2" t="n"/>
    </row>
    <row r="10" ht="13.2" customHeight="1" s="49">
      <c r="A10" s="8" t="n">
        <v>8</v>
      </c>
      <c r="B10" s="2" t="inlineStr">
        <is>
          <t>ยาใดต่อไปนี้ไม่เกิดปฏิกิริยาเมื่อรับประทานร่วมกับ theophylline</t>
        </is>
      </c>
      <c r="C10" s="2" t="n"/>
      <c r="D10" s="2" t="inlineStr">
        <is>
          <t>Ciprofloxacin</t>
        </is>
      </c>
      <c r="E10" s="2" t="inlineStr">
        <is>
          <t>Fluvoxamine</t>
        </is>
      </c>
      <c r="F10" s="2" t="inlineStr">
        <is>
          <t>Cimetidine</t>
        </is>
      </c>
      <c r="G10" s="2" t="inlineStr">
        <is>
          <t>Amoxicillin</t>
        </is>
      </c>
      <c r="H10" s="2" t="inlineStr">
        <is>
          <t>Rifampicin</t>
        </is>
      </c>
      <c r="I10" s="8" t="n">
        <v>4</v>
      </c>
      <c r="J10" s="2"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2" t="n"/>
      <c r="L10" s="2" t="inlineStr">
        <is>
          <t>Asthma</t>
        </is>
      </c>
      <c r="M10" s="2" t="inlineStr">
        <is>
          <t>7</t>
        </is>
      </c>
      <c r="N10" s="2" t="inlineStr">
        <is>
          <t>Clinic</t>
        </is>
      </c>
      <c r="O10" s="2" t="n"/>
      <c r="P10" s="2" t="n"/>
    </row>
    <row r="11" ht="13.2" customHeight="1" s="49">
      <c r="A11" s="8" t="n">
        <v>9</v>
      </c>
      <c r="B11" s="2"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2" t="n"/>
      <c r="D11" s="2" t="inlineStr">
        <is>
          <t>ความเย็น</t>
        </is>
      </c>
      <c r="E11" s="2" t="inlineStr">
        <is>
          <t>ควันบุหรี่</t>
        </is>
      </c>
      <c r="F11" s="2" t="inlineStr">
        <is>
          <t>การออกกำลังกาย</t>
        </is>
      </c>
      <c r="G11" s="2" t="inlineStr">
        <is>
          <t>กรรมพันธุ์</t>
        </is>
      </c>
      <c r="H11" s="2" t="inlineStr">
        <is>
          <t>ถูกทุกข้อ</t>
        </is>
      </c>
      <c r="I11" s="8" t="n">
        <v>5</v>
      </c>
      <c r="J11" s="2" t="inlineStr">
        <is>
          <t>✅ คำตอบที่ถูกต้อง: ข้อ จ. ถูกทุกข้อ
💡 Background:
การบริบาลเภสัชกรรมในโรคระบบหายใจ (Asthma) ตามแนวทางเวชปฏิบัติ GINA และ GOLD Guidelines
🎯 ทำไมข้อนี้ถึงถูก:
ถูกทุกข้อ เป็นทางเลือกที่ถูกต้องและสอดคล้องกับแนวทางการรักษามาตรฐาน
🔍 ข้ออื่นผิดเพราะอะไร:
• ข้อ ก. (ความเย็น): ความเย็นเป็นตัวกระตุ้นทางกายภาพ (physical trigger) แต่ยังไม่ใช่คำตอบที่สมบูรณ์ที่สุดเนื่องจากควันบุหรี่และการออกกำลังกายก็เป็นตัวกระตุ้นที่สำคัญเช่นกัน
• ข้อ ข. (ควันบุหรี่): ควันบุหรี่เป็นสารระคายเคือง (irritant trigger) ต่อเยื่อบุหลอดลม แต่ยังมีปัจจัยกระตุ้นสำคัญอื่นๆ ร่วมด้วยในตัวเลือก
• ข้อ ค. (การออกกำลังกาย): การออกกำลังกายทำให้เกิด hyperventilation และทางเดินหายใจแห้งเย็น (EIB) แต่ยังไม่ใช่คำตอบที่ครอบคลุมปัจจัยทั้งหมด
• ข้อ ง. (กรรมพันธุ์): กรรมพันธุ์ (genetics) เป็นปัจจัยเสี่ยงภายในของโฮสต์ (host predisposition) ร่วมกับสิ่งกระตุ้นจากสิ่งแวดล้อมที่ทำให้เกิดอาการกำเริบ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1" s="2" t="n"/>
      <c r="L11" s="2" t="inlineStr">
        <is>
          <t>Asthma</t>
        </is>
      </c>
      <c r="M11" s="2" t="inlineStr">
        <is>
          <t>8</t>
        </is>
      </c>
      <c r="N11" s="2" t="inlineStr">
        <is>
          <t>Clinic</t>
        </is>
      </c>
      <c r="O11" s="2" t="n"/>
      <c r="P11" s="2" t="n"/>
    </row>
    <row r="12" ht="13.2" customHeight="1" s="49">
      <c r="A12" s="8" t="n">
        <v>10</v>
      </c>
      <c r="B12" s="2" t="inlineStr">
        <is>
          <t>ลักษณะอาการของผู้ที่เป็นโรคหอบหืด คือ</t>
        </is>
      </c>
      <c r="C12" s="2" t="n"/>
      <c r="D12" s="2" t="inlineStr">
        <is>
          <t>หายใจมีเสียงหวีด, หายใจขัด, ไอ</t>
        </is>
      </c>
      <c r="E12" s="2" t="inlineStr">
        <is>
          <t>แน่นจมูก, ไอมีเสมหะ, มีน้ำมูกใส</t>
        </is>
      </c>
      <c r="F12" s="2" t="inlineStr">
        <is>
          <t>หายใจถี่, ไอมีเสียงก้อง, หายใจขัด</t>
        </is>
      </c>
      <c r="G12" s="2" t="inlineStr">
        <is>
          <t>ไอแห้งๆ, เจ็บหน้าอก, หายใจขัด</t>
        </is>
      </c>
      <c r="H12" s="2" t="inlineStr">
        <is>
          <t>ไอแห้งๆ, หายใจไม่ออก, มีน้ำมูกข้น</t>
        </is>
      </c>
      <c r="I12" s="8" t="n">
        <v>1</v>
      </c>
      <c r="J12" s="2"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2" t="n"/>
      <c r="L12" s="2" t="inlineStr">
        <is>
          <t>Asthma</t>
        </is>
      </c>
      <c r="M12" s="2" t="inlineStr">
        <is>
          <t>9</t>
        </is>
      </c>
      <c r="N12" s="2" t="inlineStr">
        <is>
          <t>Clinic</t>
        </is>
      </c>
      <c r="O12" s="2" t="n"/>
      <c r="P12" s="2" t="n"/>
    </row>
    <row r="13" ht="13.2" customHeight="1" s="49">
      <c r="A13" s="8" t="n">
        <v>11</v>
      </c>
      <c r="B13" s="2" t="inlineStr">
        <is>
          <t>พยาธิสภาพของหลอดลมในผู้ป่วยที่เป็นโรคหอบหืด ได้แก่</t>
        </is>
      </c>
      <c r="C13" s="2" t="n"/>
      <c r="D13" s="2" t="inlineStr">
        <is>
          <t>มีการอักเสบเรื้อรังของถุงลมในปอด ทำให้ถุงลมไวต่อสิ่งกระตุ้นมากกว่าปกติ ซึ่งจะเป็นแบบ reversible</t>
        </is>
      </c>
      <c r="E13" s="2" t="inlineStr">
        <is>
          <t>มีการอักเสบเรื้อรังของถุงลมในปอด ทำให้ถุงลมไวต่อสิ่งกระตุ้นมากกว่าปกติ ซึ่งจะเป็นแบบ irreversible</t>
        </is>
      </c>
      <c r="F13" s="2" t="inlineStr">
        <is>
          <t>มีการอักเสบเรื้อรังของหลอดลม ทำให้หลอดลมไวต่อสิ่งกระตุ้นมากกว่าปกติ ซึ่งจะเป็นแบบ reversible</t>
        </is>
      </c>
      <c r="G13" s="2" t="inlineStr">
        <is>
          <t>มีการอักเสบเรื้อรังของหลอดลม ทำให้หลอดลมไวต่อสิ่งกระตุ้นมากกว่าปกติ ซึ่งจะเป็นแบบ irreversible</t>
        </is>
      </c>
      <c r="H13" s="2" t="inlineStr">
        <is>
          <t>มีการอักเสบแบบเฉียบพลันของหลอดลม ทำให้หลอดลมไวต่อสิ่งกระตุ้นมากกว่าปกติ ซึ่งจะเป็นแบบ irreversible</t>
        </is>
      </c>
      <c r="I13" s="8" t="n">
        <v>3</v>
      </c>
      <c r="J13" s="2"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2" t="n"/>
      <c r="L13" s="2" t="inlineStr">
        <is>
          <t>Asthma</t>
        </is>
      </c>
      <c r="M13" s="2" t="inlineStr">
        <is>
          <t>10</t>
        </is>
      </c>
      <c r="N13" s="2" t="inlineStr">
        <is>
          <t>Clinic</t>
        </is>
      </c>
      <c r="O13" s="2" t="n"/>
      <c r="P13" s="2" t="n"/>
    </row>
    <row r="14" ht="13.2" customHeight="1" s="49">
      <c r="A14" s="8" t="n">
        <v>12</v>
      </c>
      <c r="B14" s="2" t="inlineStr">
        <is>
          <t>ข้อใดเป็นกลไกที่ถูกต้องของการเกิดโรคหอบหืด</t>
        </is>
      </c>
      <c r="C14" s="2" t="n"/>
      <c r="D14" s="2" t="inlineStr">
        <is>
          <t>Allergen กระตุ้นการสร้าง IgE ทำให้เกิด early-phaser allergic reaction</t>
        </is>
      </c>
      <c r="E14" s="2" t="inlineStr">
        <is>
          <t>Allergen กระตุ้นการหลั่ง IgE ทำให้เกิด late-phase allergic reaction</t>
        </is>
      </c>
      <c r="F14" s="2" t="inlineStr">
        <is>
          <t>Allergen จับกับ IgE บน mast cell ทำให้เกิดการหลั่ง mediators นำไปสู่ early-phase reaction</t>
        </is>
      </c>
      <c r="G14" s="2" t="inlineStr">
        <is>
          <t>Allergen จับกับ IgE บน mast cell ทำให้เกิดการหลั่ง mediators นำไปสู่ late-phase reaction</t>
        </is>
      </c>
      <c r="H14" s="2" t="inlineStr">
        <is>
          <t>Allergen form complex กับ IgE ฝังตัวบนเนื้อเยื่อของหลอดลม และกระตุ้นให้เกิดการอักเสบ</t>
        </is>
      </c>
      <c r="I14" s="8" t="n">
        <v>3</v>
      </c>
      <c r="J14" s="2"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2" t="n"/>
      <c r="L14" s="2" t="inlineStr">
        <is>
          <t>Asthma</t>
        </is>
      </c>
      <c r="M14" s="2" t="inlineStr">
        <is>
          <t>11</t>
        </is>
      </c>
      <c r="N14" s="2" t="inlineStr">
        <is>
          <t>Clinic</t>
        </is>
      </c>
      <c r="O14" s="2" t="n"/>
      <c r="P14" s="2" t="n"/>
    </row>
    <row r="15" ht="13.2" customHeight="1" s="49">
      <c r="A15" s="8" t="n">
        <v>13</v>
      </c>
      <c r="B15" s="2" t="inlineStr">
        <is>
          <t>ท่านจะแนะนำการใช้ยาพ่น beclomethasone inhaler ให้แก่ นาง ก อย่างไรบ้าง</t>
        </is>
      </c>
      <c r="C15" s="2" t="n"/>
      <c r="D15" s="2" t="inlineStr">
        <is>
          <t>หลังการพ่นยาควรบ้วนปากทุกครั้ง</t>
        </is>
      </c>
      <c r="E15" s="2" t="inlineStr">
        <is>
          <t>ไม่ควรใช้ยาร่วมกับ spacer</t>
        </is>
      </c>
      <c r="F15" s="2" t="inlineStr">
        <is>
          <t>ใช้เฉพาะเวลาที่มีการจับหืด</t>
        </is>
      </c>
      <c r="G15" s="2" t="inlineStr">
        <is>
          <t>ยาออกฤทธิ์โดยการขยายหลอดลม</t>
        </is>
      </c>
      <c r="H15" s="2" t="inlineStr">
        <is>
          <t>ถูกทุกข้อ</t>
        </is>
      </c>
      <c r="I15" s="8" t="n">
        <v>1</v>
      </c>
      <c r="J15" s="2"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2" t="n"/>
      <c r="L15" s="2" t="inlineStr">
        <is>
          <t>Asthma</t>
        </is>
      </c>
      <c r="M15" s="2" t="inlineStr">
        <is>
          <t>12</t>
        </is>
      </c>
      <c r="N15" s="2" t="inlineStr">
        <is>
          <t>Clinic</t>
        </is>
      </c>
      <c r="O15" s="2" t="n"/>
      <c r="P15" s="2" t="n"/>
    </row>
    <row r="16" ht="13.2" customHeight="1" s="49">
      <c r="A16" s="8" t="n">
        <v>14</v>
      </c>
      <c r="B16" s="2" t="inlineStr">
        <is>
          <t>อาการข้างเคียงที่อาจเกิดขึ้นจากการใช้ยาพ่น beclomethasone inhaler ได้แก่</t>
        </is>
      </c>
      <c r="C16" s="2" t="n"/>
      <c r="D16" s="2" t="inlineStr">
        <is>
          <t>เชื้อราในช่องปาก, เสียงแหบ</t>
        </is>
      </c>
      <c r="E16" s="2" t="inlineStr">
        <is>
          <t>คลื่นไส้, อาเจียน</t>
        </is>
      </c>
      <c r="F16" s="2" t="inlineStr">
        <is>
          <t>เวียนศีรษะ, ใจสั่น</t>
        </is>
      </c>
      <c r="G16" s="2" t="inlineStr">
        <is>
          <t>มือสั่น, นอนไม่หลับ</t>
        </is>
      </c>
      <c r="H16" s="2" t="inlineStr">
        <is>
          <t>ถูกทุกข้อ</t>
        </is>
      </c>
      <c r="I16" s="8" t="n">
        <v>1</v>
      </c>
      <c r="J16" s="2"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2" t="n"/>
      <c r="L16" s="2" t="inlineStr">
        <is>
          <t>Asthma</t>
        </is>
      </c>
      <c r="M16" s="2" t="inlineStr">
        <is>
          <t>13</t>
        </is>
      </c>
      <c r="N16" s="2" t="inlineStr">
        <is>
          <t>Clinic</t>
        </is>
      </c>
      <c r="O16" s="2" t="n"/>
      <c r="P16" s="2" t="n"/>
    </row>
    <row r="17" ht="13.2" customHeight="1" s="49">
      <c r="A17" s="8" t="n">
        <v>15</v>
      </c>
      <c r="B17" s="2" t="inlineStr">
        <is>
          <t>ยาในกลุ่มใดต่อไปนี้ใช้เป็นยาสำหรับควบคุมอาการหอบหืด</t>
        </is>
      </c>
      <c r="C17" s="2" t="n"/>
      <c r="D17" s="2" t="inlineStr">
        <is>
          <t>Glucocorticoid, ketotifen, short-acting beta-2 agonists</t>
        </is>
      </c>
      <c r="E17" s="2" t="inlineStr">
        <is>
          <t>leukotriene antagonist, cromolyn, anticholinergic</t>
        </is>
      </c>
      <c r="F17" s="2" t="inlineStr">
        <is>
          <t>Cromolyn, glucocorticoid, leukotriene antagonist</t>
        </is>
      </c>
      <c r="G17" s="2" t="inlineStr">
        <is>
          <t>short-acting beta-2 agonist</t>
        </is>
      </c>
      <c r="H17" s="2" t="inlineStr">
        <is>
          <t>ถูกทุกข้อ</t>
        </is>
      </c>
      <c r="I17" s="8" t="n">
        <v>2</v>
      </c>
      <c r="J17" s="2"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2" t="n"/>
      <c r="L17" s="2" t="inlineStr">
        <is>
          <t>Asthma</t>
        </is>
      </c>
      <c r="M17" s="2" t="inlineStr">
        <is>
          <t>14</t>
        </is>
      </c>
      <c r="N17" s="2" t="inlineStr">
        <is>
          <t>Clinic</t>
        </is>
      </c>
      <c r="O17" s="2" t="n"/>
      <c r="P17" s="2" t="n"/>
    </row>
    <row r="18" ht="13.2" customHeight="1" s="49">
      <c r="A18" s="8" t="n">
        <v>16</v>
      </c>
      <c r="B18"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2" t="n"/>
      <c r="D18" s="2" t="inlineStr">
        <is>
          <t>สิ่งกระตุ้น (triggers) ต่าง ๆ เช่น เสียง แสง ความร้อน เป็นต้น</t>
        </is>
      </c>
      <c r="E18" s="2" t="inlineStr">
        <is>
          <t>การตอบสนองต่อสิ่งเร้าหรือระบบภูมิคุ้มกันร่างกายที่มากเกินไป</t>
        </is>
      </c>
      <c r="F18" s="2" t="inlineStr">
        <is>
          <t>เป็นอาการร่วมเมื่อผู้ป่วยเกิดอาการใช้</t>
        </is>
      </c>
      <c r="G18" s="2" t="inlineStr">
        <is>
          <t>ความผิดปกติของปอด</t>
        </is>
      </c>
      <c r="H18" s="2" t="inlineStr">
        <is>
          <t>การออกกำลังกาย</t>
        </is>
      </c>
      <c r="I18" s="8" t="n">
        <v>2</v>
      </c>
      <c r="J18" s="2"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2" t="n"/>
      <c r="L18" s="2" t="inlineStr">
        <is>
          <t>Asthma</t>
        </is>
      </c>
      <c r="M18" s="2" t="inlineStr">
        <is>
          <t>15</t>
        </is>
      </c>
      <c r="N18" s="2" t="inlineStr">
        <is>
          <t>Clinic</t>
        </is>
      </c>
      <c r="O18" s="2" t="n"/>
      <c r="P18" s="2" t="n"/>
    </row>
    <row r="19" ht="13.2" customHeight="1" s="49">
      <c r="A19" s="8" t="n">
        <v>17</v>
      </c>
      <c r="B19"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2" t="n"/>
      <c r="D19" s="2" t="inlineStr">
        <is>
          <t>CK</t>
        </is>
      </c>
      <c r="E19" s="2" t="inlineStr">
        <is>
          <t>MCHC</t>
        </is>
      </c>
      <c r="F19" s="2" t="inlineStr">
        <is>
          <t>GFR</t>
        </is>
      </c>
      <c r="G19" s="2" t="inlineStr">
        <is>
          <t>PaO2</t>
        </is>
      </c>
      <c r="H19" s="2" t="inlineStr">
        <is>
          <t>PEF</t>
        </is>
      </c>
      <c r="I19" s="8" t="n">
        <v>5</v>
      </c>
      <c r="J19" s="2"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2" t="n"/>
      <c r="L19" s="2" t="inlineStr">
        <is>
          <t>Asthma</t>
        </is>
      </c>
      <c r="M19" s="2" t="inlineStr">
        <is>
          <t>16</t>
        </is>
      </c>
      <c r="N19" s="2" t="inlineStr">
        <is>
          <t>Clinic</t>
        </is>
      </c>
      <c r="O19" s="2" t="n"/>
      <c r="P19" s="2" t="n"/>
    </row>
    <row r="20" ht="13.2" customHeight="1" s="49">
      <c r="A20" s="8" t="n">
        <v>18</v>
      </c>
      <c r="B20" s="2" t="inlineStr">
        <is>
          <t>ข้อใดคือข้อดีจากการใช้ยา beta 2 - selective agonist</t>
        </is>
      </c>
      <c r="C20" s="2" t="n"/>
      <c r="D20" s="2" t="inlineStr">
        <is>
          <t>ลดอาการข้างเคียงต่อระบบประสาท</t>
        </is>
      </c>
      <c r="E20" s="2" t="inlineStr">
        <is>
          <t>ลดอาการข้างเคียงต่อหัวใจ</t>
        </is>
      </c>
      <c r="F20" s="2" t="inlineStr">
        <is>
          <t>ลดอาการข้างเคียงทางผิวหนัง</t>
        </is>
      </c>
      <c r="G20" s="2" t="inlineStr">
        <is>
          <t>พิษบตับน้อย</t>
        </is>
      </c>
      <c r="H20" s="2" t="inlineStr">
        <is>
          <t>พิษต่อไตน้อย</t>
        </is>
      </c>
      <c r="I20" s="8" t="n">
        <v>2</v>
      </c>
      <c r="J20" s="2"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2" t="n"/>
      <c r="L20" s="2" t="inlineStr">
        <is>
          <t>Asthma</t>
        </is>
      </c>
      <c r="M20" s="2" t="inlineStr">
        <is>
          <t>17</t>
        </is>
      </c>
      <c r="N20" s="2" t="inlineStr">
        <is>
          <t>Clinic</t>
        </is>
      </c>
      <c r="O20" s="2" t="n"/>
      <c r="P20" s="2" t="n"/>
    </row>
    <row r="21" ht="13.2" customHeight="1" s="49">
      <c r="A21" s="8" t="n">
        <v>19</v>
      </c>
      <c r="B21" s="2" t="inlineStr">
        <is>
          <t>ข้อใดคือคำแนะนำการใช้ยา salbutamol inhaler ในผู้ป่วยรายนี้</t>
        </is>
      </c>
      <c r="C21" s="2" t="n"/>
      <c r="D21" s="2" t="inlineStr">
        <is>
          <t>พ่น 1-2 puff ก่อนนอน</t>
        </is>
      </c>
      <c r="E21" s="2" t="inlineStr">
        <is>
          <t>เมื่อมีอาการกำเริบพ่น 1-2 puff</t>
        </is>
      </c>
      <c r="F21" s="2" t="inlineStr">
        <is>
          <t>สามารถพ่นหลังรับประทานอาหารทันทีได้</t>
        </is>
      </c>
      <c r="G21" s="2" t="inlineStr">
        <is>
          <t>พ่น 1-2 puff ก่อนและหลังออกกำลังกาย</t>
        </is>
      </c>
      <c r="H21" s="2" t="inlineStr">
        <is>
          <t>เพื่อป้องกันการกำเริบพ่น 1-2 puff ก่อนออกกำลังกายอย่างน้อย 30 นาที</t>
        </is>
      </c>
      <c r="I21" s="8" t="n">
        <v>2</v>
      </c>
      <c r="J21" s="2"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2" t="n"/>
      <c r="L21" s="2" t="inlineStr">
        <is>
          <t>Asthma</t>
        </is>
      </c>
      <c r="M21" s="2" t="inlineStr">
        <is>
          <t>18</t>
        </is>
      </c>
      <c r="N21" s="2" t="inlineStr">
        <is>
          <t>Clinic</t>
        </is>
      </c>
      <c r="O21" s="2" t="n"/>
      <c r="P21" s="2" t="n"/>
    </row>
    <row r="22" ht="13.2" customHeight="1" s="49">
      <c r="A22" s="8" t="n">
        <v>20</v>
      </c>
      <c r="B22" s="2" t="inlineStr">
        <is>
          <t>ถ้าเภสัชกรต้องการสืบค้นแนวทางการรักษาโรคหอบหืดจะค้นจากแหล่งใด</t>
        </is>
      </c>
      <c r="C22" s="2" t="n"/>
      <c r="D22" s="2" t="inlineStr">
        <is>
          <t>JNC 7</t>
        </is>
      </c>
      <c r="E22" s="2" t="inlineStr">
        <is>
          <t>GINA</t>
        </is>
      </c>
      <c r="F22" s="2" t="inlineStr">
        <is>
          <t>GOLD</t>
        </is>
      </c>
      <c r="G22" s="2" t="inlineStr">
        <is>
          <t>NCEP III</t>
        </is>
      </c>
      <c r="H22" s="2" t="inlineStr">
        <is>
          <t>Stanford</t>
        </is>
      </c>
      <c r="I22" s="8" t="n">
        <v>2</v>
      </c>
      <c r="J22" s="2"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2" t="n"/>
      <c r="L22" s="2" t="inlineStr">
        <is>
          <t>Asthma</t>
        </is>
      </c>
      <c r="M22" s="2" t="inlineStr">
        <is>
          <t>19</t>
        </is>
      </c>
      <c r="N22" s="2" t="inlineStr">
        <is>
          <t>Clinic</t>
        </is>
      </c>
      <c r="O22" s="2" t="n"/>
      <c r="P22" s="2" t="n"/>
    </row>
    <row r="23" ht="13.2" customHeight="1" s="49">
      <c r="A23" s="8" t="n">
        <v>21</v>
      </c>
      <c r="B23" s="2" t="inlineStr">
        <is>
          <t>ข้อใดกล่าวถูกต้องเกี่ยวกับวิธีการเก็บรักษายา salbutamol MDI</t>
        </is>
      </c>
      <c r="C23" s="2" t="n"/>
      <c r="D23" s="2" t="inlineStr">
        <is>
          <t>เก็บไว้ที่อุณหภูมิห้อง</t>
        </is>
      </c>
      <c r="E23" s="2" t="inlineStr">
        <is>
          <t>เมื่อเปิดใช้แล้วต้องใช้ให้หมดภายใน 7 วัน</t>
        </is>
      </c>
      <c r="F23" s="2" t="inlineStr">
        <is>
          <t>เมื่อเปิดใช้แล้วสามารถเก็บไว้ได้ 14 วัน</t>
        </is>
      </c>
      <c r="G23" s="2" t="inlineStr">
        <is>
          <t>เก็บในลักษณะหงายหรือปากขวดชี้ขึ้น</t>
        </is>
      </c>
      <c r="H23" s="2" t="inlineStr">
        <is>
          <t>เก็บในตู้เย็นที่อุณหภูมิ 2-8 °C</t>
        </is>
      </c>
      <c r="I23" s="8" t="n">
        <v>1</v>
      </c>
      <c r="J23" s="2"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2" t="n"/>
      <c r="L23" s="2" t="inlineStr">
        <is>
          <t>Asthma</t>
        </is>
      </c>
      <c r="M23" s="2" t="inlineStr">
        <is>
          <t>20</t>
        </is>
      </c>
      <c r="N23" s="2" t="inlineStr">
        <is>
          <t>Clinic</t>
        </is>
      </c>
      <c r="O23" s="2" t="n"/>
      <c r="P23" s="2" t="n"/>
    </row>
    <row r="24" ht="13.2" customHeight="1" s="49">
      <c r="A24" s="8" t="n">
        <v>22</v>
      </c>
      <c r="B24" s="2" t="inlineStr">
        <is>
          <t>ผู้ป่วยใช้ยาแล้วเกิดคราบฝ้าขาวที่ลิ้น ซึ่งเป็นผลจากการใช้ยาในข้อใด</t>
        </is>
      </c>
      <c r="C24" s="2" t="n"/>
      <c r="D24" s="2" t="inlineStr">
        <is>
          <t>Salbutamol inhaler</t>
        </is>
      </c>
      <c r="E24" s="2" t="inlineStr">
        <is>
          <t>Budesonide inhaler</t>
        </is>
      </c>
      <c r="F24" s="2" t="inlineStr">
        <is>
          <t>Amoxicillin</t>
        </is>
      </c>
      <c r="G24" s="2" t="inlineStr">
        <is>
          <t>Loratadine</t>
        </is>
      </c>
      <c r="H24" s="2" t="inlineStr">
        <is>
          <t>Salbutamol syrup</t>
        </is>
      </c>
      <c r="I24" s="8" t="n">
        <v>2</v>
      </c>
      <c r="J24" s="2"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2" t="n"/>
      <c r="L24" s="2" t="inlineStr">
        <is>
          <t>Asthma</t>
        </is>
      </c>
      <c r="M24" s="2" t="inlineStr">
        <is>
          <t>21</t>
        </is>
      </c>
      <c r="N24" s="2" t="inlineStr">
        <is>
          <t>Clinic</t>
        </is>
      </c>
      <c r="O24" s="2" t="n"/>
      <c r="P24" s="2" t="n"/>
    </row>
    <row r="25" ht="13.2" customHeight="1" s="49">
      <c r="A25" s="8" t="n">
        <v>23</v>
      </c>
      <c r="B25" s="2"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2" t="n"/>
      <c r="D25" s="2" t="inlineStr">
        <is>
          <t>Bronchoconstriction</t>
        </is>
      </c>
      <c r="E25" s="2" t="inlineStr">
        <is>
          <t>Hypokalemia</t>
        </is>
      </c>
      <c r="F25" s="2" t="inlineStr">
        <is>
          <t>Constipation</t>
        </is>
      </c>
      <c r="G25" s="2" t="inlineStr">
        <is>
          <t>Blurred vision</t>
        </is>
      </c>
      <c r="H25" s="2" t="inlineStr">
        <is>
          <t>Hypotension</t>
        </is>
      </c>
      <c r="I25" s="8" t="n">
        <v>2</v>
      </c>
      <c r="J25" s="2"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2" t="n"/>
      <c r="L25" s="2" t="inlineStr">
        <is>
          <t>Asthma</t>
        </is>
      </c>
      <c r="M25" s="2" t="inlineStr">
        <is>
          <t>22</t>
        </is>
      </c>
      <c r="N25" s="2" t="inlineStr">
        <is>
          <t>Clinic</t>
        </is>
      </c>
      <c r="O25" s="2" t="n"/>
      <c r="P25" s="2" t="n"/>
    </row>
    <row r="26" ht="13.2" customHeight="1" s="49">
      <c r="A26" s="8" t="n">
        <v>24</v>
      </c>
      <c r="B26" s="2" t="inlineStr">
        <is>
          <t>ข้อใดไม่ใช่ปัจจัยเสี่ยงต่อการเกิด COPD</t>
        </is>
      </c>
      <c r="C26" s="2" t="n"/>
      <c r="D26" s="2" t="inlineStr">
        <is>
          <t>ผู้ป่วยสูงอายุ</t>
        </is>
      </c>
      <c r="E26" s="2" t="inlineStr">
        <is>
          <t>มีประวัติสูบบุหรี่</t>
        </is>
      </c>
      <c r="F26" s="2" t="inlineStr">
        <is>
          <t>ทำงานในโรงงานถลุงเหล็ก</t>
        </is>
      </c>
      <c r="G26" s="2" t="inlineStr">
        <is>
          <t>การขาดสาร alpha-1 antitrypsin</t>
        </is>
      </c>
      <c r="H26" s="2" t="inlineStr">
        <is>
          <t>มีภาวะ airway hyper-responsiveness</t>
        </is>
      </c>
      <c r="I26" s="8" t="n">
        <v>5</v>
      </c>
      <c r="J26" s="2"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2" t="n"/>
      <c r="L26" s="2" t="inlineStr">
        <is>
          <t>Asthma</t>
        </is>
      </c>
      <c r="M26" s="2" t="inlineStr">
        <is>
          <t>23</t>
        </is>
      </c>
      <c r="N26" s="2" t="inlineStr">
        <is>
          <t>Clinic</t>
        </is>
      </c>
      <c r="O26" s="2" t="n"/>
      <c r="P26" s="2" t="n"/>
    </row>
    <row r="27" ht="13.2" customHeight="1" s="49">
      <c r="A27" s="8" t="n">
        <v>25</v>
      </c>
      <c r="B27" s="2" t="inlineStr">
        <is>
          <t>ข้อใดต่อไปนี้กล่าวถูก</t>
        </is>
      </c>
      <c r="C27" s="2" t="n"/>
      <c r="D27" s="2" t="inlineStr">
        <is>
          <t>โรค COPD พบบ่อยในผู้ป่วยทุกเพศทุกวัย</t>
        </is>
      </c>
      <c r="E27" s="2" t="inlineStr">
        <is>
          <t>ยาหลักที่ใช้ใน COPD คือ ยาพ่น corticosteroid</t>
        </is>
      </c>
      <c r="F27" s="2" t="inlineStr">
        <is>
          <t>ใช้ peak flow meter ในการแบ่งความรุนแรงของ COPD</t>
        </is>
      </c>
      <c r="G27" s="2" t="inlineStr">
        <is>
          <t>สามารถใช้ oral หรือ inhale glucocorticosteroid เพื่อลดภาวะ exacerbation ในผู้ป่วย COPD ได้</t>
        </is>
      </c>
      <c r="H27" s="2" t="inlineStr">
        <is>
          <t>สาเหตุหลักที่ทำให้เกิด asthma คือการสูบบุหรี่</t>
        </is>
      </c>
      <c r="I27" s="8" t="n">
        <v>3</v>
      </c>
      <c r="J27" s="2"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2" t="n"/>
      <c r="L27" s="2" t="inlineStr">
        <is>
          <t>Asthma</t>
        </is>
      </c>
      <c r="M27" s="2" t="inlineStr">
        <is>
          <t>24</t>
        </is>
      </c>
      <c r="N27" s="2" t="inlineStr">
        <is>
          <t>Clinic</t>
        </is>
      </c>
      <c r="O27" s="2" t="n"/>
      <c r="P27" s="2" t="n"/>
    </row>
    <row r="28" ht="13.2" customHeight="1" s="49">
      <c r="A28" s="8" t="n">
        <v>26</v>
      </c>
      <c r="B28" s="2" t="inlineStr">
        <is>
          <t>เครื่องมือใดต่อไปนี้ใช้ตรวจสมรรถภาพปอด เพื่อใช้ในการวินิจฉัยโรค COPD</t>
        </is>
      </c>
      <c r="C28" s="2" t="n"/>
      <c r="D28" s="2" t="inlineStr">
        <is>
          <t>Peak flow meter</t>
        </is>
      </c>
      <c r="E28" s="2" t="inlineStr">
        <is>
          <t>Computed tomography</t>
        </is>
      </c>
      <c r="F28" s="2" t="inlineStr">
        <is>
          <t>Spirometer</t>
        </is>
      </c>
      <c r="G28" s="2" t="inlineStr">
        <is>
          <t>Chest x-ray</t>
        </is>
      </c>
      <c r="H28" s="2" t="inlineStr">
        <is>
          <t>MRI</t>
        </is>
      </c>
      <c r="I28" s="8" t="n">
        <v>3</v>
      </c>
      <c r="J28" s="2"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2" t="n"/>
      <c r="L28" s="2" t="inlineStr">
        <is>
          <t>COPD</t>
        </is>
      </c>
      <c r="M28" s="2" t="inlineStr">
        <is>
          <t>25</t>
        </is>
      </c>
      <c r="N28" s="2" t="inlineStr">
        <is>
          <t>Clinic</t>
        </is>
      </c>
      <c r="O28" s="2" t="n"/>
      <c r="P28" s="2" t="n"/>
    </row>
    <row r="29" ht="13.2" customHeight="1" s="49">
      <c r="A29" s="8" t="n">
        <v>27</v>
      </c>
      <c r="B29"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2" t="n"/>
      <c r="D29" s="2" t="inlineStr">
        <is>
          <t>Hydroxyzine</t>
        </is>
      </c>
      <c r="E29" s="2" t="inlineStr">
        <is>
          <t>Ephedrine Intranasal</t>
        </is>
      </c>
      <c r="F29" s="2" t="inlineStr">
        <is>
          <t>Prednisolone</t>
        </is>
      </c>
      <c r="G29" s="2" t="inlineStr">
        <is>
          <t>Pseudoephedrine</t>
        </is>
      </c>
      <c r="H29" s="2" t="inlineStr">
        <is>
          <t>Loratadine + pseudoephedrine</t>
        </is>
      </c>
      <c r="I29" s="8" t="n">
        <v>5</v>
      </c>
      <c r="J29" s="2"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2" t="n"/>
      <c r="L29" s="2" t="inlineStr">
        <is>
          <t>Asthma</t>
        </is>
      </c>
      <c r="M29" s="2" t="inlineStr">
        <is>
          <t>26</t>
        </is>
      </c>
      <c r="N29" s="2" t="inlineStr">
        <is>
          <t>Clinic</t>
        </is>
      </c>
      <c r="O29" s="2" t="n"/>
      <c r="P29" s="2" t="n"/>
    </row>
    <row r="30" ht="13.2" customHeight="1" s="49">
      <c r="A30" s="8" t="n">
        <v>28</v>
      </c>
      <c r="B30"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2" t="n"/>
      <c r="D30" s="2" t="inlineStr">
        <is>
          <t>จ่ายยา</t>
        </is>
      </c>
      <c r="E30" s="2" t="inlineStr">
        <is>
          <t>ไม่จ่ายยา เนื่องจากเป็นยาอันตราย</t>
        </is>
      </c>
      <c r="F30" s="2" t="inlineStr">
        <is>
          <t>ไม่จ่ายยา เนื่องจากเป็นยาควบคุมพิเศษ</t>
        </is>
      </c>
      <c r="G30" s="2" t="inlineStr">
        <is>
          <t>จ่ายยา แต่จ่ายปริมาณน้อยกว่า 5 เม็ด</t>
        </is>
      </c>
      <c r="H30" s="2" t="inlineStr">
        <is>
          <t>จ่ายยา แล้วกำชับว่า เป็นความลับ</t>
        </is>
      </c>
      <c r="I30" s="8" t="n">
        <v>3</v>
      </c>
      <c r="J30" s="2"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2" t="n"/>
      <c r="L30" s="2" t="inlineStr">
        <is>
          <t>Asthma</t>
        </is>
      </c>
      <c r="M30" s="2" t="inlineStr">
        <is>
          <t>27</t>
        </is>
      </c>
      <c r="N30" s="2" t="inlineStr">
        <is>
          <t>Clinic</t>
        </is>
      </c>
      <c r="O30" s="2" t="n"/>
      <c r="P30" s="2" t="n"/>
    </row>
    <row r="31" ht="13.2" customHeight="1" s="49">
      <c r="A31" s="8" t="n">
        <v>29</v>
      </c>
      <c r="B31" s="2" t="inlineStr">
        <is>
          <t>ข้อใดเป็นกลไกการออกฤทธิ์ของยา prednisolone</t>
        </is>
      </c>
      <c r="C31" s="2" t="n"/>
      <c r="D31" s="2" t="inlineStr">
        <is>
          <t>ยับยั้งการทำงานของเอนไซม์ xanthine oxidase</t>
        </is>
      </c>
      <c r="E31" s="2" t="inlineStr">
        <is>
          <t>ยับยั้งการทำงานของเอนไซม์ cyclooxygenase</t>
        </is>
      </c>
      <c r="F31" s="2" t="inlineStr">
        <is>
          <t>ยับยั้งการทำงานของเอนไซม์ phospholipase</t>
        </is>
      </c>
      <c r="G31" s="2" t="inlineStr">
        <is>
          <t>ยับยั้งการทำงานของเอนไซม์ 5- lipo-oxygenase</t>
        </is>
      </c>
      <c r="H31" s="2" t="inlineStr">
        <is>
          <t>ยับยั้งการทำงานของเอนไซม์ esterase</t>
        </is>
      </c>
      <c r="I31" s="8" t="n">
        <v>3</v>
      </c>
      <c r="J31" s="2"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2" t="n"/>
      <c r="L31" s="2" t="inlineStr">
        <is>
          <t>Asthma</t>
        </is>
      </c>
      <c r="M31" s="2" t="inlineStr">
        <is>
          <t>28</t>
        </is>
      </c>
      <c r="N31" s="2" t="inlineStr">
        <is>
          <t>Clinic</t>
        </is>
      </c>
      <c r="O31" s="2" t="n"/>
      <c r="P31" s="2" t="n"/>
    </row>
    <row r="32" ht="13.2" customHeight="1" s="49">
      <c r="A32" s="8" t="n">
        <v>30</v>
      </c>
      <c r="B32" s="2"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2" t="n"/>
      <c r="D32" s="2" t="inlineStr">
        <is>
          <t>กรรมพันธุ์</t>
        </is>
      </c>
      <c r="E32" s="2" t="inlineStr">
        <is>
          <t>ขนสัตว์ ไรฝุ่น</t>
        </is>
      </c>
      <c r="F32" s="2" t="inlineStr">
        <is>
          <t>การรับประทานยาบางประเภท เช่น NSAIDs</t>
        </is>
      </c>
      <c r="G32" s="2" t="inlineStr">
        <is>
          <t>การออกกำลังกาย</t>
        </is>
      </c>
      <c r="H32" s="2" t="inlineStr">
        <is>
          <t>การดื่มกาแฟ</t>
        </is>
      </c>
      <c r="I32" s="8" t="n">
        <v>5</v>
      </c>
      <c r="J32" s="2"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2" t="n"/>
      <c r="L32" s="2" t="inlineStr">
        <is>
          <t>Asthma</t>
        </is>
      </c>
      <c r="M32" s="2" t="inlineStr">
        <is>
          <t>29</t>
        </is>
      </c>
      <c r="N32" s="2" t="inlineStr">
        <is>
          <t>Clinic</t>
        </is>
      </c>
      <c r="O32" s="2" t="n"/>
      <c r="P32" s="2" t="n"/>
    </row>
    <row r="33" ht="13.2" customHeight="1" s="49">
      <c r="A33" s="8" t="n">
        <v>31</v>
      </c>
      <c r="B33" s="2" t="inlineStr">
        <is>
          <t>ผลทางห้องปฏิบัติการที่แสดงว่าผู้ป่วยเป็นโรคหอบหืด คือ</t>
        </is>
      </c>
      <c r="C33" s="2" t="n"/>
      <c r="D33" s="2" t="inlineStr">
        <is>
          <t>FEV1 (post bronchodilator) มากกว่า 12%</t>
        </is>
      </c>
      <c r="E33" s="2" t="inlineStr">
        <is>
          <t>PEF (post bronchodilator) มากกว่า 25%</t>
        </is>
      </c>
      <c r="F33" s="2" t="inlineStr">
        <is>
          <t>ค่า PaO2 น้อยกว่า 80%</t>
        </is>
      </c>
      <c r="G33" s="2" t="inlineStr">
        <is>
          <t>ข้อ ก. และ ข. ถูก</t>
        </is>
      </c>
      <c r="H33" s="2" t="inlineStr">
        <is>
          <t>ถูกทุกข้อ</t>
        </is>
      </c>
      <c r="I33" s="8" t="n">
        <v>1</v>
      </c>
      <c r="J33" s="2"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2" t="n"/>
      <c r="L33" s="2" t="inlineStr">
        <is>
          <t>Asthma</t>
        </is>
      </c>
      <c r="M33" s="2" t="inlineStr">
        <is>
          <t>30</t>
        </is>
      </c>
      <c r="N33" s="2" t="inlineStr">
        <is>
          <t>Clinic</t>
        </is>
      </c>
      <c r="O33" s="2" t="n"/>
      <c r="P33" s="2" t="n"/>
    </row>
    <row r="34" ht="13.2" customHeight="1" s="49">
      <c r="A34" s="8" t="n">
        <v>32</v>
      </c>
      <c r="B34" s="2" t="inlineStr">
        <is>
          <t>เราควรแนะนำผู้ป่วยเมื่อมีการใช้ยาพ่น Budecort อย่างไร</t>
        </is>
      </c>
      <c r="C34" s="2" t="n"/>
      <c r="D34" s="2" t="inlineStr">
        <is>
          <t>หลีกเลี่ยงการใช้ยาร่วมกับ spacer</t>
        </is>
      </c>
      <c r="E34" s="2" t="inlineStr">
        <is>
          <t>หากมีการใช้ยาพร้อมกันกับยาพ่น Ventolin ให้พ่นยาตัวนี้ก่อนพ่น Ventolin</t>
        </is>
      </c>
      <c r="F34" s="2" t="inlineStr">
        <is>
          <t>ยาออกฤทธิ์โดยการขยายหลอดลม</t>
        </is>
      </c>
      <c r="G34" s="2" t="inlineStr">
        <is>
          <t>ให้บ้วนปาก กลั้วคอทุกครั้งหลังจากใช้ยา</t>
        </is>
      </c>
      <c r="H34" s="2" t="inlineStr">
        <is>
          <t>เก็บหลอดยาไว้ในตู้เย็น</t>
        </is>
      </c>
      <c r="I34" s="8" t="n">
        <v>4</v>
      </c>
      <c r="J34" s="2"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2" t="n"/>
      <c r="L34" s="2" t="inlineStr">
        <is>
          <t>Asthma</t>
        </is>
      </c>
      <c r="M34" s="2" t="inlineStr">
        <is>
          <t>31</t>
        </is>
      </c>
      <c r="N34" s="2" t="inlineStr">
        <is>
          <t>Clinic</t>
        </is>
      </c>
      <c r="O34" s="2" t="n"/>
      <c r="P34" s="2" t="n"/>
    </row>
    <row r="35" ht="13.2" customHeight="1" s="49">
      <c r="A35" s="8" t="n">
        <v>33</v>
      </c>
      <c r="B35" s="2" t="inlineStr">
        <is>
          <t>เกี่ยวกับ Ventolin ข้อใดผิด</t>
        </is>
      </c>
      <c r="C35" s="2" t="n"/>
      <c r="D35" s="2" t="inlineStr">
        <is>
          <t>ประกอบด้วยยา albuterol ซึ่งเป็น beta2 agonist ชนิดออกฤทธิ์สั้น</t>
        </is>
      </c>
      <c r="E35" s="2" t="inlineStr">
        <is>
          <t>ในผู้ป่วยรายนี้ใช้เพื่อบรรเทาอาการหอบหืดที่เกิดขึ้นเป็นครั้งคราวเท่านั้น</t>
        </is>
      </c>
      <c r="F35" s="2" t="inlineStr">
        <is>
          <t>อาการข้างเคียงที่อาจพบ คือ มือสั่น ปากแห้ง เหนื่อย หัวใจเต้นช้า</t>
        </is>
      </c>
      <c r="G35" s="2" t="inlineStr">
        <is>
          <t>กลไกของยาคือ กระตุ้นการสร้าง adenylate cyclase เพิ่มการสร้าง cyclic AMP</t>
        </is>
      </c>
      <c r="H35" s="2" t="inlineStr">
        <is>
          <t>Tiotropium Respimat 2.5 mcg 2 puffs OD</t>
        </is>
      </c>
      <c r="I35" s="8" t="n">
        <v>3</v>
      </c>
      <c r="J35" s="2"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2" t="n"/>
      <c r="L35" s="2" t="inlineStr">
        <is>
          <t>Asthma</t>
        </is>
      </c>
      <c r="M35" s="2" t="inlineStr">
        <is>
          <t>32</t>
        </is>
      </c>
      <c r="N35" s="2" t="inlineStr">
        <is>
          <t>Clinic</t>
        </is>
      </c>
      <c r="O35" s="2" t="n"/>
      <c r="P35" s="2" t="n"/>
    </row>
    <row r="36" ht="13.2" customHeight="1" s="49">
      <c r="A36" s="8" t="n">
        <v>34</v>
      </c>
      <c r="B36" s="2"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2" t="n"/>
      <c r="D36" s="2" t="inlineStr">
        <is>
          <t>Inhaled ipratropium MDI</t>
        </is>
      </c>
      <c r="E36" s="2" t="inlineStr">
        <is>
          <t>Inhaled cromolin MDI</t>
        </is>
      </c>
      <c r="F36" s="2" t="inlineStr">
        <is>
          <t>Oral glucocorticosteroid</t>
        </is>
      </c>
      <c r="G36" s="2" t="inlineStr">
        <is>
          <t>Inhaled salmeterol MDI</t>
        </is>
      </c>
      <c r="H36" s="2" t="inlineStr">
        <is>
          <t>Symbicort turbuhaler</t>
        </is>
      </c>
      <c r="I36" s="8" t="n">
        <v>4</v>
      </c>
      <c r="J36" s="2"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2" t="n"/>
      <c r="L36" s="2" t="inlineStr">
        <is>
          <t>Asthma</t>
        </is>
      </c>
      <c r="M36" s="2" t="inlineStr">
        <is>
          <t>33</t>
        </is>
      </c>
      <c r="N36" s="2" t="inlineStr">
        <is>
          <t>Clinic</t>
        </is>
      </c>
      <c r="O36" s="2" t="n"/>
      <c r="P36" s="2" t="n"/>
    </row>
    <row r="37" ht="13.2" customHeight="1" s="49">
      <c r="A37" s="8" t="n">
        <v>35</v>
      </c>
      <c r="B37" s="2" t="inlineStr">
        <is>
          <t>เกี่ยวกับยา theophylline ข้อใดไม่ถูกต้อง</t>
        </is>
      </c>
      <c r="C37" s="2" t="n"/>
      <c r="D37" s="2" t="inlineStr">
        <is>
          <t>มีฤทธิ์ขยายหลอดลมและยังแก้อักเสบได้ด้วย</t>
        </is>
      </c>
      <c r="E37" s="2" t="inlineStr">
        <is>
          <t>มีช่วงการรักษาที่แคบ (therapeutic range = 5-20 mg/L)</t>
        </is>
      </c>
      <c r="F37" s="2" t="inlineStr">
        <is>
          <t>อาการไม่พึงประสงค์ที่พบได้คือ ไม่สบายท้อง คลื่นไส้ อาเจียน และอาจเกิด arrhythmia ได้</t>
        </is>
      </c>
      <c r="G37" s="2" t="inlineStr">
        <is>
          <t>ระดับยา theophylline อาจเพิ่มสูงได้หากใช้ร่วมกับยากันชักพวก phenytoin, phenobarbital, carbamazepine</t>
        </is>
      </c>
      <c r="H37" s="2" t="inlineStr">
        <is>
          <t>Oral contraceptive สามารถเพิ่ม level ของยา Theophylline ในเลือดได้</t>
        </is>
      </c>
      <c r="I37" s="8" t="n">
        <v>4</v>
      </c>
      <c r="J37" s="2"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2" t="n"/>
      <c r="L37" s="2" t="inlineStr">
        <is>
          <t>Asthma</t>
        </is>
      </c>
      <c r="M37" s="2" t="inlineStr">
        <is>
          <t>34</t>
        </is>
      </c>
      <c r="N37" s="2" t="inlineStr">
        <is>
          <t>Clinic</t>
        </is>
      </c>
      <c r="O37" s="2" t="n"/>
      <c r="P37" s="2" t="n"/>
    </row>
    <row r="38" ht="13.2" customHeight="1" s="49">
      <c r="A38" s="8" t="n">
        <v>36</v>
      </c>
      <c r="B38" s="2" t="inlineStr">
        <is>
          <t>ยาเหล่านี้มีข้อบ่งใช้สำหรับควบคุมอาการของโรคหอบหืด ยกเว้น</t>
        </is>
      </c>
      <c r="C38" s="2" t="n"/>
      <c r="D38" s="2" t="inlineStr">
        <is>
          <t>Systemic glucocorticosteroid</t>
        </is>
      </c>
      <c r="E38" s="2" t="inlineStr">
        <is>
          <t>Long acting anticholinergics</t>
        </is>
      </c>
      <c r="F38" s="2" t="inlineStr">
        <is>
          <t>Methyl xanthine</t>
        </is>
      </c>
      <c r="G38" s="2" t="inlineStr">
        <is>
          <t>Long acting inhaled beta2 agonist</t>
        </is>
      </c>
      <c r="H38" s="2" t="inlineStr">
        <is>
          <t>Short acting beta2 agonist</t>
        </is>
      </c>
      <c r="I38" s="8" t="n">
        <v>5</v>
      </c>
      <c r="J38" s="2"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2" t="n"/>
      <c r="L38" s="2" t="inlineStr">
        <is>
          <t>Asthma</t>
        </is>
      </c>
      <c r="M38" s="2" t="inlineStr">
        <is>
          <t>35</t>
        </is>
      </c>
      <c r="N38" s="2" t="inlineStr">
        <is>
          <t>Clinic</t>
        </is>
      </c>
      <c r="O38" s="2" t="n"/>
      <c r="P38" s="2" t="n"/>
    </row>
    <row r="39" ht="13.2" customHeight="1" s="49">
      <c r="A39" s="8" t="n">
        <v>37</v>
      </c>
      <c r="B39"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2" t="n"/>
      <c r="D39" s="2" t="inlineStr">
        <is>
          <t>ความคลาดเคลื่อนที่เกิดจากการไม่ระบุวิธีใช้ให้ชัดเจน</t>
        </is>
      </c>
      <c r="E39" s="2" t="inlineStr">
        <is>
          <t>ความคลาดเคลื่อนจากการจ่ายยาผิดชนิด</t>
        </is>
      </c>
      <c r="F39" s="2" t="inlineStr">
        <is>
          <t>ความคลาดเคลื่อนที่เกิดจากไม่มียาในบัญชียาของโรงพยาบาล</t>
        </is>
      </c>
      <c r="G39" s="2" t="inlineStr">
        <is>
          <t>ความคลาดเคลื่อนจากการจ่ายยาผิดความแรง</t>
        </is>
      </c>
      <c r="H39" s="2" t="inlineStr">
        <is>
          <t>ความคลาดเคลื่อนจากการจ่ายยา ผิดความแรง และผิดวิธีใช้</t>
        </is>
      </c>
      <c r="I39" s="8" t="n">
        <v>2</v>
      </c>
      <c r="J39" s="2"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2" t="n"/>
      <c r="L39" s="2" t="inlineStr">
        <is>
          <t>Asthma</t>
        </is>
      </c>
      <c r="M39" s="2" t="inlineStr">
        <is>
          <t>36</t>
        </is>
      </c>
      <c r="N39" s="2" t="inlineStr">
        <is>
          <t>Clinic</t>
        </is>
      </c>
      <c r="O39" s="2" t="n"/>
      <c r="P39" s="2" t="n"/>
    </row>
    <row r="40" ht="13.2" customHeight="1" s="49">
      <c r="A40" s="8" t="n">
        <v>38</v>
      </c>
      <c r="B40"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2" t="n"/>
      <c r="D40" s="2" t="inlineStr">
        <is>
          <t>ให้พ่นยาเข้าทางจมูก</t>
        </is>
      </c>
      <c r="E40" s="2" t="inlineStr">
        <is>
          <t>ยานี้เหมาะสำหรับรักษาอาการเฉียบพลัน</t>
        </is>
      </c>
      <c r="F40" s="2" t="inlineStr">
        <is>
          <t>หลังจากพ่นครั้งแรก ต้องรออย่างน้อย 10 นาที ก่อนที่จะพ่นครั้งที่สอง</t>
        </is>
      </c>
      <c r="G40" s="2" t="inlineStr">
        <is>
          <t>เนื่องจากยา-1 ขวด สามารถพ่นได้ 200 ครั้ง จึงสามารถใช้ยานี้ได้นานประมาณ 25 วัน</t>
        </is>
      </c>
      <c r="H40" s="2" t="inlineStr">
        <is>
          <t>ยานี้เป็นยารักษาอาการอักเสบของหลอดลม จึงควรใช้เป็นประจำติดต่อกัน</t>
        </is>
      </c>
      <c r="I40" s="8" t="n">
        <v>4</v>
      </c>
      <c r="J40" s="2"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2" t="n"/>
      <c r="L40" s="2" t="inlineStr">
        <is>
          <t>Asthma</t>
        </is>
      </c>
      <c r="M40" s="2" t="inlineStr">
        <is>
          <t>37</t>
        </is>
      </c>
      <c r="N40" s="2" t="inlineStr">
        <is>
          <t>Clinic</t>
        </is>
      </c>
      <c r="O40" s="2" t="n"/>
      <c r="P40" s="2" t="n"/>
    </row>
    <row r="41" ht="13.2" customHeight="1" s="49">
      <c r="A41" s="8" t="n">
        <v>39</v>
      </c>
      <c r="B41"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2" t="n"/>
      <c r="D41" s="2" t="inlineStr">
        <is>
          <t>ป้องกันเชื้อราในช่องปาก</t>
        </is>
      </c>
      <c r="E41" s="2" t="inlineStr">
        <is>
          <t>ลดความเสี่ยงของการเกิดเสียงแหบแห้ง</t>
        </is>
      </c>
      <c r="F41" s="2" t="inlineStr">
        <is>
          <t>ลดโอกาสการเกิดความดันในลูกตาสูง</t>
        </is>
      </c>
      <c r="G41" s="2" t="inlineStr">
        <is>
          <t>ลดโอกาสการเกิดหัวใจเต้นเร็ว</t>
        </is>
      </c>
      <c r="H41" s="2" t="inlineStr">
        <is>
          <t>ลดโอกาสการเกิดอาการมือสั่น</t>
        </is>
      </c>
      <c r="I41" s="8" t="n">
        <v>1</v>
      </c>
      <c r="J41" s="2"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2" t="n"/>
      <c r="L41" s="2" t="inlineStr">
        <is>
          <t>Asthma</t>
        </is>
      </c>
      <c r="M41" s="2" t="inlineStr">
        <is>
          <t>38</t>
        </is>
      </c>
      <c r="N41" s="2" t="inlineStr">
        <is>
          <t>Clinic</t>
        </is>
      </c>
      <c r="O41" s="2" t="n"/>
      <c r="P41" s="2" t="n"/>
    </row>
    <row r="42" ht="13.2" customHeight="1" s="49">
      <c r="A42" s="8" t="n">
        <v>40</v>
      </c>
      <c r="B42"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2" t="n"/>
      <c r="D42" s="2" t="inlineStr">
        <is>
          <t>ควรเริ่มการรักษาด้วยยาสเตียรอยด์ชนิดพ่น</t>
        </is>
      </c>
      <c r="E42" s="2" t="inlineStr">
        <is>
          <t>ควรเริ่มการรักษาด้วยยาขยายหลอดลมชนิด beta-agonist</t>
        </is>
      </c>
      <c r="F42" s="2" t="inlineStr">
        <is>
          <t>ควรเริ่มการรักษาด้วยยาขยายหลอดลมชนิด anticholinergic</t>
        </is>
      </c>
      <c r="G42" s="2" t="inlineStr">
        <is>
          <t>ผู้ป่วยทุกรายควรได้รับยาสเตียรอยด์ชนิดพ่น สำหรับควบคุมอาการ</t>
        </is>
      </c>
      <c r="H42" s="2" t="inlineStr">
        <is>
          <t>ผู้ป่วยทุกคนต้องได้รับยาสเตียรอยด์ชนิดกิน</t>
        </is>
      </c>
      <c r="I42" s="8" t="n">
        <v>1</v>
      </c>
      <c r="J42" s="2"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2" t="n"/>
      <c r="L42" s="2" t="inlineStr">
        <is>
          <t>Asthma</t>
        </is>
      </c>
      <c r="M42" s="2" t="inlineStr">
        <is>
          <t>39</t>
        </is>
      </c>
      <c r="N42" s="2" t="inlineStr">
        <is>
          <t>Clinic</t>
        </is>
      </c>
      <c r="O42" s="2" t="n"/>
      <c r="P42" s="2" t="n"/>
    </row>
    <row r="43" ht="13.2" customHeight="1" s="49">
      <c r="A43" s="8" t="n">
        <v>41</v>
      </c>
      <c r="B43" s="2" t="inlineStr">
        <is>
          <t>ข้อใดกล่าวผิดเกี่ยวกับ salmeterol</t>
        </is>
      </c>
      <c r="C43" s="2" t="n"/>
      <c r="D43" s="2" t="inlineStr">
        <is>
          <t>Salmeterol มีข้อบ่งใช้ในการจับหืดที่เกิดขึ้นเฉียบพลัน</t>
        </is>
      </c>
      <c r="E43" s="2" t="inlineStr">
        <is>
          <t>กลไกการออกฤทธิ์คือกระตุ้นเอนไซม์ adenylate cyclase</t>
        </is>
      </c>
      <c r="F43" s="2" t="inlineStr">
        <is>
          <t>สามารถใช้กับผู้ป่วยที่มีอาการ nocturnal asthma มากกว่า 1 ครั้ง/สัปดาห์</t>
        </is>
      </c>
      <c r="G43" s="2" t="inlineStr">
        <is>
          <t>การใช้ยานี้นาน ๆ ทำให้การตอบสนองต่อยาลดลง (tachyphylaxis)</t>
        </is>
      </c>
      <c r="H43" s="2" t="inlineStr">
        <is>
          <t>หากไม่มี salmeterol สามารถใช้ albuterol แทนได้</t>
        </is>
      </c>
      <c r="I43" s="8" t="n">
        <v>1</v>
      </c>
      <c r="J43" s="2"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2" t="n"/>
      <c r="L43" s="2" t="inlineStr">
        <is>
          <t>Asthma</t>
        </is>
      </c>
      <c r="M43" s="2" t="inlineStr">
        <is>
          <t>40</t>
        </is>
      </c>
      <c r="N43" s="2" t="inlineStr">
        <is>
          <t>Clinic</t>
        </is>
      </c>
      <c r="O43" s="2" t="n"/>
      <c r="P43" s="2" t="n"/>
    </row>
    <row r="44" ht="13.2" customHeight="1" s="49">
      <c r="A44" s="8" t="n">
        <v>42</v>
      </c>
      <c r="B44" s="2" t="inlineStr">
        <is>
          <t>ข้อใดคือกลไกการออกฤทธิ์ของ ipratropium MDI</t>
        </is>
      </c>
      <c r="C44" s="2" t="n"/>
      <c r="D44" s="2" t="inlineStr">
        <is>
          <t>Selective beta2 - adrenergic receptor agonist</t>
        </is>
      </c>
      <c r="E44" s="2" t="inlineStr">
        <is>
          <t>Phosphodiesterase enzyme inhibitor</t>
        </is>
      </c>
      <c r="F44" s="2" t="inlineStr">
        <is>
          <t>Muscarinic cholinergic receptor antagonist</t>
        </is>
      </c>
      <c r="G44" s="2" t="inlineStr">
        <is>
          <t>Immunosuppressive agent</t>
        </is>
      </c>
      <c r="H44" s="2" t="inlineStr">
        <is>
          <t>Lipoxygenase enzyme inhibitor</t>
        </is>
      </c>
      <c r="I44" s="8" t="n">
        <v>3</v>
      </c>
      <c r="J44" s="2"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2" t="n"/>
      <c r="L44" s="2" t="inlineStr">
        <is>
          <t>COPD</t>
        </is>
      </c>
      <c r="M44" s="2" t="inlineStr">
        <is>
          <t>41</t>
        </is>
      </c>
      <c r="N44" s="2" t="inlineStr">
        <is>
          <t>Clinic</t>
        </is>
      </c>
      <c r="O44" s="2" t="n"/>
      <c r="P44" s="2" t="n"/>
    </row>
    <row r="45" ht="13.2" customHeight="1" s="49">
      <c r="A45" s="8" t="n">
        <v>43</v>
      </c>
      <c r="B45" s="2"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2" t="n"/>
      <c r="D45" s="2" t="inlineStr">
        <is>
          <t>Sinusitis</t>
        </is>
      </c>
      <c r="E45" s="2" t="inlineStr">
        <is>
          <t>Allergic rhinitis</t>
        </is>
      </c>
      <c r="F45" s="2" t="inlineStr">
        <is>
          <t>Cystitis</t>
        </is>
      </c>
      <c r="G45" s="2" t="inlineStr">
        <is>
          <t>Common cold</t>
        </is>
      </c>
      <c r="H45" s="2" t="inlineStr">
        <is>
          <t>Bronchitis</t>
        </is>
      </c>
      <c r="I45" s="8" t="n">
        <v>2</v>
      </c>
      <c r="J45" s="2"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2" t="n"/>
      <c r="L45" s="2" t="inlineStr">
        <is>
          <t>Asthma</t>
        </is>
      </c>
      <c r="M45" s="2" t="inlineStr">
        <is>
          <t>42</t>
        </is>
      </c>
      <c r="N45" s="2" t="inlineStr">
        <is>
          <t>Clinic</t>
        </is>
      </c>
      <c r="O45" s="2" t="n"/>
      <c r="P45" s="2" t="n"/>
    </row>
    <row r="46" ht="13.2" customHeight="1" s="49">
      <c r="A46" s="8" t="n">
        <v>44</v>
      </c>
      <c r="B46" s="2"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2" t="n"/>
      <c r="D46" s="2" t="inlineStr">
        <is>
          <t>เนื่องจากจัดเป็นยาควบคุมพิเศษ</t>
        </is>
      </c>
      <c r="E46" s="2" t="inlineStr">
        <is>
          <t>เนื่องจากจัดเป็นยาที่ลงทะเบียนแบบมีเงื่อนไขต้องติดตามการใช้ในโรงพยาบาล</t>
        </is>
      </c>
      <c r="F46" s="2" t="inlineStr">
        <is>
          <t>เนื่องจากจัดเป็นยาเสพติดให้โทษ ประเภท 2</t>
        </is>
      </c>
      <c r="G46" s="2" t="inlineStr">
        <is>
          <t>เนื่องจากจัดเป็นวัตถุออกฤทธิ์ต่อจิตประสาท</t>
        </is>
      </c>
      <c r="H46" s="2" t="inlineStr">
        <is>
          <t>เนื่องจากจัดเป็นยาอันตราย</t>
        </is>
      </c>
      <c r="I46" s="8" t="n">
        <v>4</v>
      </c>
      <c r="J46" s="2"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2" t="n"/>
      <c r="L46" s="2" t="inlineStr">
        <is>
          <t>Asthma</t>
        </is>
      </c>
      <c r="M46" s="2" t="inlineStr">
        <is>
          <t>43</t>
        </is>
      </c>
      <c r="N46" s="2" t="inlineStr">
        <is>
          <t>Clinic</t>
        </is>
      </c>
      <c r="O46" s="2" t="n"/>
      <c r="P46" s="2" t="n"/>
    </row>
    <row r="47" ht="13.2" customHeight="1" s="49">
      <c r="A47" s="8" t="n">
        <v>45</v>
      </c>
      <c r="B47" s="2"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2" t="n"/>
      <c r="D47" s="2" t="inlineStr">
        <is>
          <t>เพื่อป้องกันปัญหาการดื้อยา</t>
        </is>
      </c>
      <c r="E47" s="2" t="inlineStr">
        <is>
          <t>เพื่อป้องกันการเกิด hypertension</t>
        </is>
      </c>
      <c r="F47" s="2" t="inlineStr">
        <is>
          <t>เพื่อป้องกันการเกิด hyperglycemia</t>
        </is>
      </c>
      <c r="G47" s="2" t="inlineStr">
        <is>
          <t>เพื่อป้องกันการเกิด rebound congestion</t>
        </is>
      </c>
      <c r="H47" s="2" t="inlineStr">
        <is>
          <t>เพื่อไม่ให้เกิดปัญหา insomnia</t>
        </is>
      </c>
      <c r="I47" s="8" t="n">
        <v>4</v>
      </c>
      <c r="J47" s="2"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2" t="n"/>
      <c r="L47" s="2" t="inlineStr">
        <is>
          <t>Asthma</t>
        </is>
      </c>
      <c r="M47" s="2" t="inlineStr">
        <is>
          <t>44</t>
        </is>
      </c>
      <c r="N47" s="2" t="inlineStr">
        <is>
          <t>Clinic</t>
        </is>
      </c>
      <c r="O47" s="2" t="n"/>
      <c r="P47" s="2" t="n"/>
    </row>
    <row r="48" ht="13.2" customHeight="1" s="49">
      <c r="A48" s="8" t="n">
        <v>46</v>
      </c>
      <c r="B48" s="2"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2" t="n"/>
      <c r="D48" s="2" t="inlineStr">
        <is>
          <t>ฟ้าทลายโจร</t>
        </is>
      </c>
      <c r="E48" s="2" t="inlineStr">
        <is>
          <t>ไพล</t>
        </is>
      </c>
      <c r="F48" s="2" t="inlineStr">
        <is>
          <t>ขิง</t>
        </is>
      </c>
      <c r="G48" s="2" t="inlineStr">
        <is>
          <t>ชุมเห็ดเทศ</t>
        </is>
      </c>
      <c r="H48" s="2" t="inlineStr">
        <is>
          <t>เสลดพังพอน</t>
        </is>
      </c>
      <c r="I48" s="8" t="n">
        <v>3</v>
      </c>
      <c r="J48" s="2"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2" t="n"/>
      <c r="L48" s="2" t="inlineStr">
        <is>
          <t>Asthma</t>
        </is>
      </c>
      <c r="M48" s="2" t="inlineStr">
        <is>
          <t>45</t>
        </is>
      </c>
      <c r="N48" s="2" t="inlineStr">
        <is>
          <t>Clinic</t>
        </is>
      </c>
      <c r="O48" s="2" t="n"/>
      <c r="P48" s="2" t="n"/>
    </row>
    <row r="49" ht="13.2" customHeight="1" s="49">
      <c r="A49" s="8" t="n">
        <v>47</v>
      </c>
      <c r="B49" s="2" t="inlineStr">
        <is>
          <t>สมุนไพรแก้ไออื่นๆ นอกจากสมุนไพรข้อข้างต้น
สมุนไพรข้อใดที่มีสรรพคุณช่วยบรรเทาอาการไอ ขับเสมหะ</t>
        </is>
      </c>
      <c r="C49" s="2" t="n"/>
      <c r="D49" s="2" t="inlineStr">
        <is>
          <t>ข่า</t>
        </is>
      </c>
      <c r="E49" s="2" t="inlineStr">
        <is>
          <t>ตะไคร้</t>
        </is>
      </c>
      <c r="F49" s="2" t="inlineStr">
        <is>
          <t>ดีปลี</t>
        </is>
      </c>
      <c r="G49" s="2" t="inlineStr">
        <is>
          <t>กระเทียม</t>
        </is>
      </c>
      <c r="H49" s="2" t="inlineStr">
        <is>
          <t>กะเพรา</t>
        </is>
      </c>
      <c r="I49" s="8" t="n">
        <v>3</v>
      </c>
      <c r="J49" s="2"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2" t="n"/>
      <c r="L49" s="2" t="inlineStr">
        <is>
          <t>Asthma</t>
        </is>
      </c>
      <c r="M49" s="2" t="inlineStr">
        <is>
          <t>46</t>
        </is>
      </c>
      <c r="N49" s="2" t="inlineStr">
        <is>
          <t>Clinic</t>
        </is>
      </c>
      <c r="O49" s="2" t="n"/>
      <c r="P49" s="2" t="n"/>
    </row>
    <row r="50" ht="13.2" customHeight="1" s="49">
      <c r="A50" s="8" t="n">
        <v>48</v>
      </c>
      <c r="B50" s="2" t="inlineStr">
        <is>
          <t>ข้อใดไม่ใช่อาการข้างเคียงของการใช้ยา salbutamol</t>
        </is>
      </c>
      <c r="C50" s="2" t="n"/>
      <c r="D50" s="2" t="inlineStr">
        <is>
          <t>ใจสั่น</t>
        </is>
      </c>
      <c r="E50" s="2" t="inlineStr">
        <is>
          <t>ปัสสาวะคั่ง</t>
        </is>
      </c>
      <c r="F50" s="2" t="inlineStr">
        <is>
          <t>ปากแห้ง</t>
        </is>
      </c>
      <c r="G50" s="2" t="inlineStr">
        <is>
          <t>รับรสผิดปกติ</t>
        </is>
      </c>
      <c r="H50" s="2" t="inlineStr">
        <is>
          <t>ปวดศีรษะ</t>
        </is>
      </c>
      <c r="I50" s="8" t="n">
        <v>2</v>
      </c>
      <c r="J50" s="2"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2" t="n"/>
      <c r="L50" s="2" t="inlineStr">
        <is>
          <t>Asthma</t>
        </is>
      </c>
      <c r="M50" s="2" t="inlineStr">
        <is>
          <t>47</t>
        </is>
      </c>
      <c r="N50" s="2" t="inlineStr">
        <is>
          <t>Clinic</t>
        </is>
      </c>
      <c r="O50" s="2" t="n"/>
      <c r="P50" s="2" t="n"/>
    </row>
    <row r="51" ht="13.2" customHeight="1" s="49">
      <c r="A51" s="8" t="n">
        <v>49</v>
      </c>
      <c r="B51" s="2" t="inlineStr">
        <is>
          <t>การใช้ salbutamol ข้อใดถูกต้อง</t>
        </is>
      </c>
      <c r="C51" s="2" t="n"/>
      <c r="D51" s="2" t="inlineStr">
        <is>
          <t>ใช้ปากอมให้สนิท</t>
        </is>
      </c>
      <c r="E51" s="2" t="inlineStr">
        <is>
          <t>หายใจเข้าทางจมูก</t>
        </is>
      </c>
      <c r="F51" s="2" t="inlineStr">
        <is>
          <t>หายใจออกทันที</t>
        </is>
      </c>
      <c r="G51" s="2" t="inlineStr">
        <is>
          <t>บ้วนปากทันที</t>
        </is>
      </c>
      <c r="H51" s="2" t="inlineStr">
        <is>
          <t>ไม่ต้องเขย่าขวด</t>
        </is>
      </c>
      <c r="I51" s="8" t="n">
        <v>1</v>
      </c>
      <c r="J51" s="2"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2" t="n"/>
      <c r="L51" s="2" t="inlineStr">
        <is>
          <t>Asthma</t>
        </is>
      </c>
      <c r="M51" s="2" t="inlineStr">
        <is>
          <t>48</t>
        </is>
      </c>
      <c r="N51" s="2" t="inlineStr">
        <is>
          <t>Clinic</t>
        </is>
      </c>
      <c r="O51" s="2" t="n"/>
      <c r="P51" s="2" t="n"/>
    </row>
    <row r="52" ht="13.2" customHeight="1" s="49">
      <c r="A52" s="8" t="n">
        <v>50</v>
      </c>
      <c r="B52" s="2" t="inlineStr">
        <is>
          <t>ข้อใดไม่ถูกต้องเกี่ยวกับ seretide accuhaler</t>
        </is>
      </c>
      <c r="C52" s="2" t="n"/>
      <c r="D52" s="2" t="inlineStr">
        <is>
          <t>พกพาสะดวก</t>
        </is>
      </c>
      <c r="E52" s="2" t="inlineStr">
        <is>
          <t>ไม่มี propellant</t>
        </is>
      </c>
      <c r="F52" s="2" t="inlineStr">
        <is>
          <t>ปล่อย 1 dose สูดได้หลายที</t>
        </is>
      </c>
      <c r="G52" s="2" t="inlineStr">
        <is>
          <t>ไม่อาศัยความสัมพันธ์ระหว่างแรงกดและการหายใจ</t>
        </is>
      </c>
      <c r="H52" s="2" t="inlineStr">
        <is>
          <t>ใช้ meter dose valve ในการปล่อยตัวยา</t>
        </is>
      </c>
      <c r="I52" s="8" t="n">
        <v>5</v>
      </c>
      <c r="J52" s="2"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2" t="n"/>
      <c r="L52" s="2" t="inlineStr">
        <is>
          <t>Asthma</t>
        </is>
      </c>
      <c r="M52" s="2" t="inlineStr">
        <is>
          <t>49</t>
        </is>
      </c>
      <c r="N52" s="2" t="inlineStr">
        <is>
          <t>Clinic</t>
        </is>
      </c>
      <c r="O52" s="2" t="n"/>
      <c r="P52" s="2" t="n"/>
    </row>
    <row r="53" ht="13.2" customHeight="1" s="49">
      <c r="A53" s="8" t="n">
        <v>51</v>
      </c>
      <c r="B53" s="2" t="inlineStr">
        <is>
          <t>เมื่อใดที่ต้องหยุดใช้ seretide accuhaler ชั่วคราว</t>
        </is>
      </c>
      <c r="C53" s="2" t="n"/>
      <c r="D53" s="2" t="inlineStr">
        <is>
          <t>อายุมากกว่า 65 ปี</t>
        </is>
      </c>
      <c r="E53" s="2" t="inlineStr">
        <is>
          <t>ไตผิดปกติ</t>
        </is>
      </c>
      <c r="F53" s="2" t="inlineStr">
        <is>
          <t>ตับผิดปกติ</t>
        </is>
      </c>
      <c r="G53" s="2" t="inlineStr">
        <is>
          <t>ปอดติดเชื้อ</t>
        </is>
      </c>
      <c r="H53" s="2" t="inlineStr">
        <is>
          <t>ระคายเคืองปาก</t>
        </is>
      </c>
      <c r="I53" s="8" t="n">
        <v>4</v>
      </c>
      <c r="J53" s="2"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2" t="n"/>
      <c r="L53" s="2" t="inlineStr">
        <is>
          <t>Asthma</t>
        </is>
      </c>
      <c r="M53" s="2" t="inlineStr">
        <is>
          <t>50</t>
        </is>
      </c>
      <c r="N53" s="2" t="inlineStr">
        <is>
          <t>Clinic</t>
        </is>
      </c>
      <c r="O53" s="2" t="n"/>
      <c r="P53" s="2" t="n"/>
    </row>
    <row r="54" ht="13.2" customHeight="1" s="49">
      <c r="A54" s="8" t="n">
        <v>52</v>
      </c>
      <c r="B54" s="2"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2" t="n"/>
      <c r="D54" s="2" t="inlineStr">
        <is>
          <t>ใจสั่น</t>
        </is>
      </c>
      <c r="E54" s="2" t="inlineStr">
        <is>
          <t>ปวดท้อง</t>
        </is>
      </c>
      <c r="F54" s="2" t="inlineStr">
        <is>
          <t>ชัก</t>
        </is>
      </c>
      <c r="G54" s="2" t="inlineStr">
        <is>
          <t>คลื่นไส้ อาเจียน</t>
        </is>
      </c>
      <c r="H54" s="2" t="inlineStr">
        <is>
          <t>มองเห็นภาพซ้อน</t>
        </is>
      </c>
      <c r="I54" s="8" t="n">
        <v>2</v>
      </c>
      <c r="J54" s="2"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2" t="n"/>
      <c r="L54" s="2" t="inlineStr">
        <is>
          <t>Asthma</t>
        </is>
      </c>
      <c r="M54" s="2" t="inlineStr">
        <is>
          <t>51</t>
        </is>
      </c>
      <c r="N54" s="2" t="inlineStr">
        <is>
          <t>Clinic</t>
        </is>
      </c>
      <c r="O54" s="2" t="n"/>
      <c r="P54" s="2" t="n"/>
    </row>
    <row r="55" ht="13.2" customHeight="1" s="49">
      <c r="A55" s="8" t="n">
        <v>53</v>
      </c>
      <c r="B55" s="2"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2" t="n"/>
      <c r="D55" s="2" t="inlineStr">
        <is>
          <t>Clarithromycin</t>
        </is>
      </c>
      <c r="E55" s="2" t="inlineStr">
        <is>
          <t>Carbocysteine</t>
        </is>
      </c>
      <c r="F55" s="2" t="inlineStr">
        <is>
          <t>Ipratropium</t>
        </is>
      </c>
      <c r="G55" s="2" t="inlineStr">
        <is>
          <t>Montelukast</t>
        </is>
      </c>
      <c r="H55" s="2" t="inlineStr">
        <is>
          <t>Prednisolone</t>
        </is>
      </c>
      <c r="I55" s="8" t="n">
        <v>1</v>
      </c>
      <c r="J55" s="2"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2" t="n"/>
      <c r="L55" s="2" t="inlineStr">
        <is>
          <t>Asthma</t>
        </is>
      </c>
      <c r="M55" s="2" t="inlineStr">
        <is>
          <t>52</t>
        </is>
      </c>
      <c r="N55" s="2" t="inlineStr">
        <is>
          <t>Clinic</t>
        </is>
      </c>
      <c r="O55" s="2" t="n"/>
      <c r="P55" s="2" t="n"/>
    </row>
    <row r="56" ht="13.2" customHeight="1" s="49">
      <c r="A56" s="8" t="n">
        <v>54</v>
      </c>
      <c r="B56" s="2"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2" t="n"/>
      <c r="D56" s="2" t="inlineStr">
        <is>
          <t>High dose ICS และ as needed SABA</t>
        </is>
      </c>
      <c r="E56" s="2" t="inlineStr">
        <is>
          <t>Low dose ICS+ LABA และ as need SABA</t>
        </is>
      </c>
      <c r="F56" s="2" t="inlineStr">
        <is>
          <t>Medium dose ICS-formoterol maintenance and reliever</t>
        </is>
      </c>
      <c r="G56" s="2" t="inlineStr">
        <is>
          <t>Low dose ICS-formoterol maintenance and reliever</t>
        </is>
      </c>
      <c r="H56" s="2" t="inlineStr"/>
      <c r="I56" s="8" t="n">
        <v>1</v>
      </c>
      <c r="J56" s="2"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t>
        </is>
      </c>
      <c r="K56" s="2" t="n"/>
      <c r="L56" s="2" t="inlineStr">
        <is>
          <t>Asthma</t>
        </is>
      </c>
      <c r="M56" s="2" t="inlineStr">
        <is>
          <t>55</t>
        </is>
      </c>
      <c r="N56" s="2" t="inlineStr">
        <is>
          <t>COPD / Asthma</t>
        </is>
      </c>
      <c r="O56" s="2" t="n"/>
      <c r="P56" s="2" t="n"/>
      <c r="Q56" s="2" t="n"/>
    </row>
    <row r="57" ht="13.2" customHeight="1" s="49">
      <c r="A57" s="8" t="n">
        <v>55</v>
      </c>
      <c r="B57" s="2" t="inlineStr">
        <is>
          <t>การใช้ LAMA ในคนไข้ asthma มีประโยชน์อย่างไร</t>
        </is>
      </c>
      <c r="C57" s="2" t="n"/>
      <c r="D57" s="2" t="inlineStr">
        <is>
          <t>เพิ่ม compliance</t>
        </is>
      </c>
      <c r="E57" s="2" t="inlineStr">
        <is>
          <t>ลดสารคัดหลั่ง</t>
        </is>
      </c>
      <c r="F57" s="2" t="inlineStr">
        <is>
          <t>เพิ่ม lung function</t>
        </is>
      </c>
      <c r="G57" s="2" t="inlineStr">
        <is>
          <t>ลด asthma symptoms</t>
        </is>
      </c>
      <c r="H57" s="2" t="inlineStr">
        <is>
          <t>ลดการใช้ SABA</t>
        </is>
      </c>
      <c r="I57" s="8" t="n">
        <v>1</v>
      </c>
      <c r="J57" s="2"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2" t="n"/>
      <c r="L57" s="2" t="inlineStr">
        <is>
          <t>Asthma</t>
        </is>
      </c>
      <c r="M57" s="2" t="inlineStr">
        <is>
          <t>56</t>
        </is>
      </c>
      <c r="N57" s="2" t="inlineStr">
        <is>
          <t>COPD / Asthma</t>
        </is>
      </c>
      <c r="O57" s="2" t="n"/>
      <c r="P57" s="2" t="n"/>
      <c r="Q57" s="2" t="n"/>
    </row>
    <row r="58" ht="13.2" customHeight="1" s="49">
      <c r="A58" s="8" t="n">
        <v>56</v>
      </c>
      <c r="B58" s="2"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2" t="n"/>
      <c r="D58" s="2" t="inlineStr">
        <is>
          <t>Well control</t>
        </is>
      </c>
      <c r="E58" s="2" t="inlineStr">
        <is>
          <t>Partial control</t>
        </is>
      </c>
      <c r="F58" s="2" t="inlineStr">
        <is>
          <t>uncontrolled</t>
        </is>
      </c>
      <c r="G58" s="2" t="inlineStr">
        <is>
          <t>Poor control</t>
        </is>
      </c>
      <c r="H58" s="2" t="inlineStr">
        <is>
          <t>Severe uncontrolled</t>
        </is>
      </c>
      <c r="I58" s="8" t="n">
        <v>1</v>
      </c>
      <c r="J58" s="2"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ไม่ใช่คำจำกัดความมาตรฐานตามแนวทางเวชปฏิบัติสากลของ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2" t="n"/>
      <c r="L58" s="2" t="inlineStr">
        <is>
          <t>Asthma</t>
        </is>
      </c>
      <c r="M58" s="2" t="inlineStr">
        <is>
          <t>57</t>
        </is>
      </c>
      <c r="N58" s="2" t="inlineStr">
        <is>
          <t>COPD / Asthma</t>
        </is>
      </c>
      <c r="O58" s="2" t="n"/>
      <c r="P58" s="2" t="n"/>
    </row>
    <row r="59" ht="13.2" customHeight="1" s="49">
      <c r="A59" s="8" t="n">
        <v>57</v>
      </c>
      <c r="B59" s="2" t="inlineStr">
        <is>
          <t>ต่อจาก56 non pharmaco asthma ตัวเลือก</t>
        </is>
      </c>
      <c r="C59" s="2" t="n"/>
      <c r="D59" s="2" t="inlineStr">
        <is>
          <t>หลีกเลี่ยงสิ่งที่ทำให้แพ้</t>
        </is>
      </c>
      <c r="E59" s="2" t="inlineStr">
        <is>
          <t>ออกกำลังกายหักโหมในที่อากาศเย็น</t>
        </is>
      </c>
      <c r="F59" s="2" t="inlineStr">
        <is>
          <t>ใช้พรมปูพื้นและเลี้ยงสัตว์เลี้ยงในห้องนอน</t>
        </is>
      </c>
      <c r="G59" s="2" t="inlineStr">
        <is>
          <t>เปิดหน้าต่างรับควันบุหรี่และมลภาวะ</t>
        </is>
      </c>
      <c r="H59" s="2" t="inlineStr">
        <is>
          <t>ใช้น้ำหอมและสเปรย์ปรับอากาศกลิ่นฉุนในห้องนอน</t>
        </is>
      </c>
      <c r="I59" s="8" t="n">
        <v>1</v>
      </c>
      <c r="J59" s="2"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2" t="n"/>
      <c r="L59" s="2" t="inlineStr">
        <is>
          <t>Asthma</t>
        </is>
      </c>
      <c r="M59" s="2" t="inlineStr">
        <is>
          <t>58</t>
        </is>
      </c>
      <c r="N59" s="2" t="inlineStr">
        <is>
          <t>COPD / Asthma</t>
        </is>
      </c>
      <c r="O59" s="2" t="n"/>
      <c r="P59" s="2" t="n"/>
    </row>
    <row r="60" ht="13.2" customHeight="1" s="49">
      <c r="A60" s="8" t="n">
        <v>58</v>
      </c>
      <c r="B60" s="2" t="inlineStr">
        <is>
          <t>Copd ออกstage กับgrade FEV = 35 FEV/FVC = 65% ตัวเลือก</t>
        </is>
      </c>
      <c r="C60" s="2" t="n"/>
      <c r="D60" s="2" t="inlineStr">
        <is>
          <t>GOLD 3 (Severe airflow limitation)</t>
        </is>
      </c>
      <c r="E60" s="2" t="inlineStr">
        <is>
          <t>GOLD 1 (Mild airflow limitation)</t>
        </is>
      </c>
      <c r="F60" s="2" t="inlineStr">
        <is>
          <t>GOLD 2 (Moderate airflow limitation)</t>
        </is>
      </c>
      <c r="G60" s="2" t="inlineStr">
        <is>
          <t>GOLD 4 (Very severe airflow limitation)</t>
        </is>
      </c>
      <c r="H60" s="2" t="inlineStr">
        <is>
          <t>Unclassified</t>
        </is>
      </c>
      <c r="I60" s="8" t="n">
        <v>1</v>
      </c>
      <c r="J60" s="2"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2" t="n"/>
      <c r="L60" s="2" t="inlineStr">
        <is>
          <t>COPD</t>
        </is>
      </c>
      <c r="M60" s="2" t="inlineStr">
        <is>
          <t>59</t>
        </is>
      </c>
      <c r="N60" s="2" t="inlineStr">
        <is>
          <t>COPD / Asthma</t>
        </is>
      </c>
      <c r="O60" s="2" t="n"/>
      <c r="P60" s="2" t="n"/>
    </row>
    <row r="61" ht="13.2" customHeight="1" s="49">
      <c r="A61" s="8" t="n">
        <v>59</v>
      </c>
      <c r="B61" s="2"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2" t="n"/>
      <c r="D61" s="2" t="inlineStr">
        <is>
          <t>Azithromycin</t>
        </is>
      </c>
      <c r="E61" s="2" t="inlineStr">
        <is>
          <t>Ciprofloxacin</t>
        </is>
      </c>
      <c r="F61" s="2" t="inlineStr">
        <is>
          <t>Doxycycline</t>
        </is>
      </c>
      <c r="G61" s="2" t="inlineStr">
        <is>
          <t>Amoxicillin/Clavulanate</t>
        </is>
      </c>
      <c r="H61" s="2" t="inlineStr">
        <is>
          <t>Levofloxacin</t>
        </is>
      </c>
      <c r="I61" s="8" t="n">
        <v>1</v>
      </c>
      <c r="J61" s="2"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2" t="n"/>
      <c r="L61" s="2" t="inlineStr">
        <is>
          <t>COPD</t>
        </is>
      </c>
      <c r="M61" s="2" t="inlineStr">
        <is>
          <t>60</t>
        </is>
      </c>
      <c r="N61" s="2" t="inlineStr">
        <is>
          <t>COPD / Asthma</t>
        </is>
      </c>
      <c r="O61" s="2" t="n"/>
      <c r="P61" s="2" t="n"/>
      <c r="Q61" s="2" t="n"/>
    </row>
    <row r="62" ht="13.2" customHeight="1" s="49">
      <c r="A62" s="8" t="n">
        <v>60</v>
      </c>
      <c r="B62" s="2" t="inlineStr">
        <is>
          <t>สารช่วยในข้อใดช่วยให้ผงยา tiotropium bromide เปียกง่ายขึ้น (wetting agent) เมื่อผงยาสัมผัสกับของเหลวในทางเดินหายใจ</t>
        </is>
      </c>
      <c r="C62" s="2" t="n"/>
      <c r="D62" s="2" t="inlineStr">
        <is>
          <t>Alginic acid</t>
        </is>
      </c>
      <c r="E62" s="2" t="inlineStr">
        <is>
          <t>Citric acid</t>
        </is>
      </c>
      <c r="F62" s="2" t="inlineStr">
        <is>
          <t>Lecithin</t>
        </is>
      </c>
      <c r="G62" s="2" t="inlineStr">
        <is>
          <t>Calcium stearate</t>
        </is>
      </c>
      <c r="H62" s="2" t="inlineStr">
        <is>
          <t>Titanium dioxide</t>
        </is>
      </c>
      <c r="I62" s="8" t="n">
        <v>1</v>
      </c>
      <c r="J62" s="2"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2" t="n"/>
      <c r="L62" s="2" t="inlineStr">
        <is>
          <t>COPD</t>
        </is>
      </c>
      <c r="M62" s="2" t="inlineStr">
        <is>
          <t>61</t>
        </is>
      </c>
      <c r="N62" s="2" t="inlineStr">
        <is>
          <t>COPD / Asthma</t>
        </is>
      </c>
      <c r="O62" s="2" t="n"/>
      <c r="P62" s="2" t="n"/>
      <c r="Q62" s="2" t="n"/>
    </row>
    <row r="63" ht="13.2" customHeight="1" s="49">
      <c r="A63" s="8" t="n">
        <v>61</v>
      </c>
      <c r="B63" s="2" t="inlineStr">
        <is>
          <t>ผู้ป่วย COPD มีอาการหอบเหนื่อยรุนแรงเฉียบพลัน ยาพ่นสูดในข้อใดเหมาะสมในการบรรเทาอาการกำเริบเฉียบพลัน</t>
        </is>
      </c>
      <c r="C63" s="2" t="n"/>
      <c r="D63" s="2" t="inlineStr">
        <is>
          <t>Ipratropium/Fenoterol MDI</t>
        </is>
      </c>
      <c r="E63" s="2" t="inlineStr">
        <is>
          <t>Montelukast 10 mg HS</t>
        </is>
      </c>
      <c r="F63" s="2" t="inlineStr">
        <is>
          <t>Theophylline 200 mg BID</t>
        </is>
      </c>
      <c r="G63" s="2" t="inlineStr">
        <is>
          <t>Prednisolone 40 mg OD x 5 days</t>
        </is>
      </c>
      <c r="H63" s="2" t="inlineStr">
        <is>
          <t>N-acetylcysteine 600 mg OD</t>
        </is>
      </c>
      <c r="I63" s="8" t="n">
        <v>1</v>
      </c>
      <c r="J63" s="2"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2" t="n"/>
      <c r="L63" s="2" t="inlineStr">
        <is>
          <t>COPD</t>
        </is>
      </c>
      <c r="M63" s="2" t="inlineStr">
        <is>
          <t>62</t>
        </is>
      </c>
      <c r="N63" s="2" t="inlineStr">
        <is>
          <t>COPD / Asthma</t>
        </is>
      </c>
      <c r="O63" s="2" t="n"/>
      <c r="P63" s="2" t="n"/>
    </row>
    <row r="64" ht="13.2" customHeight="1" s="49">
      <c r="A64" s="8" t="n">
        <v>62</v>
      </c>
      <c r="B64" s="2" t="inlineStr">
        <is>
          <t>การแพ้ยาในลักษณะใดเป็นภาวะที่รุนแรงถึงแก่ชีวิตและห้ามทำ rechallenge ยาแก่ผู้ป่วยโดยเด็ดขาด</t>
        </is>
      </c>
      <c r="C64" s="2" t="n"/>
      <c r="D64" s="2" t="inlineStr">
        <is>
          <t>Toxic epidermal necrolysis (TEN)</t>
        </is>
      </c>
      <c r="E64" s="2" t="inlineStr">
        <is>
          <t>Maculopapular rash</t>
        </is>
      </c>
      <c r="F64" s="2" t="inlineStr">
        <is>
          <t>Macular rash</t>
        </is>
      </c>
      <c r="G64" s="2" t="inlineStr">
        <is>
          <t>Acneiform drug eruption</t>
        </is>
      </c>
      <c r="H64" s="2" t="inlineStr">
        <is>
          <t>Urticaria เล็กน้อย</t>
        </is>
      </c>
      <c r="I64" s="8" t="n">
        <v>1</v>
      </c>
      <c r="J64" s="2"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2" t="n"/>
      <c r="L64" s="2" t="inlineStr">
        <is>
          <t>Asthma</t>
        </is>
      </c>
      <c r="M64" s="2" t="inlineStr">
        <is>
          <t>63</t>
        </is>
      </c>
      <c r="N64" s="2" t="inlineStr">
        <is>
          <t>COPD / Asthma</t>
        </is>
      </c>
      <c r="O64" s="2" t="n"/>
      <c r="P64" s="2" t="n"/>
      <c r="Q64" s="2" t="n"/>
    </row>
    <row r="65" ht="13.2" customHeight="1" s="49">
      <c r="A65" s="8" t="n">
        <v>63</v>
      </c>
      <c r="B65" s="2" t="inlineStr">
        <is>
          <t>ข้อใดคืออาการไม่พึงประสงค์ที่พบบ่อย หากผู้ป่วยใช้ salbutamol MDI บ่อยหรือเกินปริมาณที่แนะนำ</t>
        </is>
      </c>
      <c r="C65" s="2" t="n"/>
      <c r="D65" s="2" t="inlineStr">
        <is>
          <t>Tachycardia and Tremor</t>
        </is>
      </c>
      <c r="E65" s="2" t="inlineStr">
        <is>
          <t>Drowsiness</t>
        </is>
      </c>
      <c r="F65" s="2" t="inlineStr">
        <is>
          <t>Hyperkalemia</t>
        </is>
      </c>
      <c r="G65" s="2" t="inlineStr">
        <is>
          <t>Hypermagnesemia</t>
        </is>
      </c>
      <c r="H65" s="2" t="inlineStr">
        <is>
          <t>Metabolic alkalosis</t>
        </is>
      </c>
      <c r="I65" s="8" t="n">
        <v>1</v>
      </c>
      <c r="J65" s="2"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2" t="n"/>
      <c r="L65" s="2" t="inlineStr">
        <is>
          <t>Asthma</t>
        </is>
      </c>
      <c r="M65" s="2" t="inlineStr">
        <is>
          <t>64</t>
        </is>
      </c>
      <c r="N65" s="2" t="inlineStr">
        <is>
          <t>COPD / Asthma</t>
        </is>
      </c>
      <c r="O65" s="2" t="n"/>
      <c r="P65" s="2" t="n"/>
      <c r="Q65" s="2" t="n"/>
    </row>
    <row r="66" ht="13.2" customHeight="1" s="49">
      <c r="A66" s="8" t="n">
        <v>64</v>
      </c>
      <c r="B66" s="2" t="inlineStr">
        <is>
          <t>Salbutamol เป็น chiral molecule ที่ประกอบด้วย (R)-salbutamol และ (S)-salbutamol ในอัตราส่วน 50:50 สารผสมในลักษณะนี้เรียกว่าอะไร</t>
        </is>
      </c>
      <c r="C66" s="2" t="n"/>
      <c r="D66" s="2" t="inlineStr">
        <is>
          <t>Racemic mixture</t>
        </is>
      </c>
      <c r="E66" s="2" t="inlineStr">
        <is>
          <t>Cis/Trans mixture</t>
        </is>
      </c>
      <c r="F66" s="2" t="inlineStr">
        <is>
          <t>Conformational mixture</t>
        </is>
      </c>
      <c r="G66" s="2" t="inlineStr">
        <is>
          <t>Diastereomeric mixture</t>
        </is>
      </c>
      <c r="H66" s="2" t="inlineStr">
        <is>
          <t>Meso compound</t>
        </is>
      </c>
      <c r="I66" s="8" t="n">
        <v>1</v>
      </c>
      <c r="J66" s="2"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2" t="n"/>
      <c r="L66" s="2" t="inlineStr">
        <is>
          <t>Asthma</t>
        </is>
      </c>
      <c r="M66" s="2" t="inlineStr">
        <is>
          <t>65</t>
        </is>
      </c>
      <c r="N66" s="2" t="inlineStr">
        <is>
          <t>COPD / Asthma</t>
        </is>
      </c>
      <c r="O66" s="2" t="n"/>
      <c r="P66" s="2" t="n"/>
      <c r="Q66" s="2" t="n"/>
    </row>
    <row r="67" ht="13.2" customHeight="1" s="49">
      <c r="A67" s="8" t="n">
        <v>65</v>
      </c>
      <c r="B67" s="2" t="inlineStr">
        <is>
          <t>COPD ข้อใดไม่ใช่สาเหตุ เฉลยข้อสอบ PLE-CC1 ครั้งที่12/2564 วันที่ 1-2 : MUPY 50 เฉลยข้อสอบ PLE-CC1 ครั้งที่12/2564 วันที่ 1-2 : MUPY 50</t>
        </is>
      </c>
      <c r="C67" s="2" t="n"/>
      <c r="D67" s="2" t="inlineStr">
        <is>
          <t>การรับประทานอาหารที่มีไขมันสูง</t>
        </is>
      </c>
      <c r="E67" s="2" t="inlineStr">
        <is>
          <t>การสูบบุหรี่ (Cigarette smoking)</t>
        </is>
      </c>
      <c r="F67" s="2" t="inlineStr">
        <is>
          <t>มลพิษทางอากาศและควันจากการเผาไหม้ (Air pollution)</t>
        </is>
      </c>
      <c r="G67" s="2" t="inlineStr">
        <is>
          <t>ภาวะพร่อง Alpha-1 antitrypsin deficiency</t>
        </is>
      </c>
      <c r="H67" s="2" t="inlineStr">
        <is>
          <t>การสัมผัสฝุ่นและสารเคมีในที่ทำงาน (Occupational dust)</t>
        </is>
      </c>
      <c r="I67" s="8" t="n">
        <v>1</v>
      </c>
      <c r="J67" s="2"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2" t="n"/>
      <c r="L67" s="2" t="inlineStr">
        <is>
          <t>COPD</t>
        </is>
      </c>
      <c r="M67" s="2" t="inlineStr">
        <is>
          <t>66</t>
        </is>
      </c>
      <c r="N67" s="2" t="inlineStr">
        <is>
          <t>COPD / Asthma</t>
        </is>
      </c>
      <c r="O67" s="2" t="n"/>
      <c r="P67" s="2" t="n"/>
    </row>
    <row r="68" ht="13.2" customHeight="1" s="49">
      <c r="A68" s="8" t="n">
        <v>66</v>
      </c>
      <c r="B68" s="2" t="inlineStr">
        <is>
          <t>ข้อไม่ใช่ปัจจัยเสี่ยงกำเริบของ COPD</t>
        </is>
      </c>
      <c r="C68" s="2" t="n"/>
      <c r="D68" s="2" t="inlineStr">
        <is>
          <t>การใช้ยาพ่นจมูกแก้แพ้</t>
        </is>
      </c>
      <c r="E68" s="2" t="inlineStr">
        <is>
          <t>การติดเชื้อในระบบทางเดินหายใจ (Respiratory tract infection)</t>
        </is>
      </c>
      <c r="F68" s="2" t="inlineStr">
        <is>
          <t>มลภาวะทางอากาศและฝุ่นละอองขนาดเล็ก (PM2.5)</t>
        </is>
      </c>
      <c r="G68" s="2" t="inlineStr">
        <is>
          <t>การหยุดยาพ่นขยายหลอดลมควบคุมอาการกะทันหัน</t>
        </is>
      </c>
      <c r="H68" s="2" t="inlineStr">
        <is>
          <t>การสัมผัสควันบุหรี่มือสอง</t>
        </is>
      </c>
      <c r="I68" s="8" t="n">
        <v>1</v>
      </c>
      <c r="J68" s="2"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2" t="n"/>
      <c r="L68" s="2" t="inlineStr">
        <is>
          <t>COPD</t>
        </is>
      </c>
      <c r="M68" s="2" t="inlineStr">
        <is>
          <t>67</t>
        </is>
      </c>
      <c r="N68" s="2" t="inlineStr">
        <is>
          <t>COPD / Asthma</t>
        </is>
      </c>
      <c r="O68" s="2" t="n"/>
      <c r="P68" s="2" t="n"/>
    </row>
    <row r="69" ht="13.2" customHeight="1" s="49">
      <c r="A69" s="8" t="n">
        <v>67</v>
      </c>
      <c r="B69" s="2" t="inlineStr">
        <is>
          <t>ข้อใดเป็นผลข้างเคียงของ salbutamol</t>
        </is>
      </c>
      <c r="C69" s="2" t="n"/>
      <c r="D69" s="2" t="inlineStr">
        <is>
          <t>Tremor (มือสั่น)</t>
        </is>
      </c>
      <c r="E69" s="2" t="inlineStr">
        <is>
          <t>Bradycardia (หัวใจเต้นช้า)</t>
        </is>
      </c>
      <c r="F69" s="2" t="inlineStr">
        <is>
          <t>Diarrhea (ท้องเสีย)</t>
        </is>
      </c>
      <c r="G69" s="2" t="inlineStr">
        <is>
          <t>Hypotension (ความดันต่ำ)</t>
        </is>
      </c>
      <c r="H69" s="2" t="inlineStr">
        <is>
          <t>Constipation (ท้องผูก)</t>
        </is>
      </c>
      <c r="I69" s="8" t="n">
        <v>1</v>
      </c>
      <c r="J69" s="2"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2" t="n"/>
      <c r="L69" s="2" t="inlineStr">
        <is>
          <t>Asthma</t>
        </is>
      </c>
      <c r="M69" s="2" t="inlineStr">
        <is>
          <t>68</t>
        </is>
      </c>
      <c r="N69" s="2" t="inlineStr">
        <is>
          <t>COPD / Asthma</t>
        </is>
      </c>
      <c r="O69" s="2" t="n"/>
      <c r="P69" s="2" t="n"/>
    </row>
    <row r="70" ht="13.2" customHeight="1" s="49">
      <c r="A70" s="8" t="n">
        <v>68</v>
      </c>
      <c r="B70" s="2" t="inlineStr">
        <is>
          <t>ข้อใดเป็นส่วนประกอบที่สำคัญที่สุดในการขับดันตัวยาออกมาในรูปแบบ aerosol inhalations (MDI)</t>
        </is>
      </c>
      <c r="C70" s="2" t="n"/>
      <c r="D70" s="2" t="inlineStr">
        <is>
          <t>Propellant</t>
        </is>
      </c>
      <c r="E70" s="2" t="inlineStr">
        <is>
          <t>Glidant</t>
        </is>
      </c>
      <c r="F70" s="2" t="inlineStr">
        <is>
          <t>Cosolvent</t>
        </is>
      </c>
      <c r="G70" s="2" t="inlineStr">
        <is>
          <t>Antioxidant</t>
        </is>
      </c>
      <c r="H70" s="2" t="inlineStr">
        <is>
          <t>Wetting agent</t>
        </is>
      </c>
      <c r="I70" s="8" t="n">
        <v>1</v>
      </c>
      <c r="J70" s="2"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2" t="n"/>
      <c r="L70" s="2" t="inlineStr">
        <is>
          <t>Asthma</t>
        </is>
      </c>
      <c r="M70" s="2" t="inlineStr">
        <is>
          <t>68</t>
        </is>
      </c>
      <c r="N70" s="2" t="inlineStr">
        <is>
          <t>Clinic</t>
        </is>
      </c>
      <c r="O70" s="2" t="n"/>
      <c r="P70" s="2" t="n"/>
    </row>
    <row r="71" ht="13.2" customHeight="1" s="49">
      <c r="A71" s="8" t="n">
        <v>69</v>
      </c>
      <c r="B71" s="2"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2" t="n"/>
      <c r="D71" s="2" t="inlineStr">
        <is>
          <t>1 ถึง 5 ไมโครเมตร</t>
        </is>
      </c>
      <c r="E71" s="2" t="inlineStr">
        <is>
          <t>5 ถึง 30 ไมโครเมตร</t>
        </is>
      </c>
      <c r="F71" s="2" t="inlineStr">
        <is>
          <t>31 ถึง 49 ไมโครเมตร</t>
        </is>
      </c>
      <c r="G71" s="2" t="inlineStr">
        <is>
          <t>50 ถึง 100 ไมโครเมตร</t>
        </is>
      </c>
      <c r="H71" s="2" t="inlineStr">
        <is>
          <t>มากกว่า 100 ไมโครเมตร</t>
        </is>
      </c>
      <c r="I71" s="8" t="n">
        <v>1</v>
      </c>
      <c r="J71" s="2"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2" t="n"/>
      <c r="L71" s="2" t="inlineStr">
        <is>
          <t>Asthma</t>
        </is>
      </c>
      <c r="M71" s="2" t="inlineStr">
        <is>
          <t>69</t>
        </is>
      </c>
      <c r="N71" s="2" t="inlineStr">
        <is>
          <t>Clinic</t>
        </is>
      </c>
      <c r="O71" s="2" t="n"/>
      <c r="P71" s="2" t="n"/>
    </row>
    <row r="72" ht="13.2" customHeight="1" s="49">
      <c r="A72" s="8" t="n">
        <v>70</v>
      </c>
      <c r="B72" s="2"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2" t="n"/>
      <c r="D72" s="2" t="inlineStr">
        <is>
          <t>Salmeterol monotherapy</t>
        </is>
      </c>
      <c r="E72" s="2" t="inlineStr">
        <is>
          <t>Inhaled Budesonide</t>
        </is>
      </c>
      <c r="F72" s="2" t="inlineStr">
        <is>
          <t>Inhaled Fluticasone</t>
        </is>
      </c>
      <c r="G72" s="2" t="inlineStr">
        <is>
          <t>Montelukast</t>
        </is>
      </c>
      <c r="H72" s="2" t="inlineStr">
        <is>
          <t>Budesonide/Formoterol</t>
        </is>
      </c>
      <c r="I72" s="8" t="n">
        <v>1</v>
      </c>
      <c r="J72" s="2"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2" t="n"/>
      <c r="L72" s="2" t="inlineStr">
        <is>
          <t>Asthma</t>
        </is>
      </c>
      <c r="M72" s="2" t="inlineStr">
        <is>
          <t>70</t>
        </is>
      </c>
      <c r="N72" s="2" t="inlineStr">
        <is>
          <t>Clinic</t>
        </is>
      </c>
      <c r="O72" s="2" t="n"/>
      <c r="P72" s="2" t="n"/>
    </row>
    <row r="73" ht="13.2" customHeight="1" s="49">
      <c r="A73" s="8" t="n">
        <v>71</v>
      </c>
      <c r="B73" s="2"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2" t="n"/>
      <c r="D73" s="2" t="inlineStr">
        <is>
          <t>2 ng/L</t>
        </is>
      </c>
      <c r="E73" s="2" t="inlineStr">
        <is>
          <t>0.2 ng/L</t>
        </is>
      </c>
      <c r="F73" s="2" t="inlineStr">
        <is>
          <t>10 ng/L</t>
        </is>
      </c>
      <c r="G73" s="2" t="inlineStr">
        <is>
          <t>18 ng/L</t>
        </is>
      </c>
      <c r="H73" s="2" t="inlineStr">
        <is>
          <t>20 ng/L</t>
        </is>
      </c>
      <c r="I73" s="8" t="n">
        <v>1</v>
      </c>
      <c r="J73" s="2"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2" t="n"/>
      <c r="L73" s="2" t="inlineStr">
        <is>
          <t>Asthma</t>
        </is>
      </c>
      <c r="M73" s="2" t="inlineStr">
        <is>
          <t>71</t>
        </is>
      </c>
      <c r="N73" s="2" t="inlineStr">
        <is>
          <t>Clinic</t>
        </is>
      </c>
      <c r="O73" s="2" t="n"/>
      <c r="P73" s="2" t="n"/>
    </row>
    <row r="74" ht="13.2" customHeight="1" s="49">
      <c r="A74" s="8" t="n">
        <v>72</v>
      </c>
      <c r="B74" s="2"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2" t="n"/>
      <c r="D74" s="2" t="inlineStr">
        <is>
          <t>Sputum culture</t>
        </is>
      </c>
      <c r="E74" s="2" t="inlineStr">
        <is>
          <t>Physical Examination</t>
        </is>
      </c>
      <c r="F74" s="2" t="inlineStr">
        <is>
          <t>Complete blood count</t>
        </is>
      </c>
      <c r="G74" s="2" t="inlineStr">
        <is>
          <t>Peak flow meter</t>
        </is>
      </c>
      <c r="H74" s="2" t="inlineStr">
        <is>
          <t>Lung function Spirometry</t>
        </is>
      </c>
      <c r="I74" s="8" t="n">
        <v>5</v>
      </c>
      <c r="J74" s="2"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2" t="n"/>
      <c r="L74" s="2" t="inlineStr">
        <is>
          <t>Asthma</t>
        </is>
      </c>
      <c r="M74" s="2" t="inlineStr">
        <is>
          <t>72</t>
        </is>
      </c>
      <c r="N74" s="2" t="inlineStr">
        <is>
          <t>Clinic</t>
        </is>
      </c>
      <c r="O74" s="2" t="n"/>
      <c r="P74" s="2" t="n"/>
    </row>
    <row r="75" ht="13.2" customHeight="1" s="49">
      <c r="A75" s="8" t="n">
        <v>73</v>
      </c>
      <c r="B75" s="2" t="inlineStr">
        <is>
          <t>ข้อใดคือเกณฑ์ในการวินิจฉัยที่จำเป็นที่สุดในการแยกโรคของผู้ป่วยปอดอักเสบ</t>
        </is>
      </c>
      <c r="C75" s="2" t="n"/>
      <c r="D75" s="2" t="inlineStr">
        <is>
          <t>Blood Culture</t>
        </is>
      </c>
      <c r="E75" s="2" t="inlineStr">
        <is>
          <t>Sputum Culture</t>
        </is>
      </c>
      <c r="F75" s="2" t="inlineStr">
        <is>
          <t>Chest-X Ray</t>
        </is>
      </c>
      <c r="G75" s="2" t="inlineStr">
        <is>
          <t>Serology</t>
        </is>
      </c>
      <c r="H75" s="2" t="inlineStr">
        <is>
          <t>Arterial blood gas</t>
        </is>
      </c>
      <c r="I75" s="8" t="n">
        <v>3</v>
      </c>
      <c r="J75" s="2"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2" t="n"/>
      <c r="L75" s="2" t="inlineStr">
        <is>
          <t>Asthma</t>
        </is>
      </c>
      <c r="M75" s="2" t="inlineStr">
        <is>
          <t>73</t>
        </is>
      </c>
      <c r="N75" s="2" t="inlineStr">
        <is>
          <t>Clinic</t>
        </is>
      </c>
      <c r="O75" s="2" t="n"/>
      <c r="P75" s="2" t="n"/>
    </row>
    <row r="76" ht="13.2" customHeight="1" s="49">
      <c r="A76" s="8" t="n">
        <v>74</v>
      </c>
      <c r="B76" s="2" t="inlineStr">
        <is>
          <t>จากโครงสร้างของ salbutamol ที่กำหนดให้ หมู่ฟังก์ชั่นใดที่ทำให้ salbutamol ออกฤทธิ์จำเพาะต่อ β receptor</t>
        </is>
      </c>
      <c r="C76" s="2" t="n"/>
      <c r="D76" s="2" t="inlineStr">
        <is>
          <t>A – hydroxyl group</t>
        </is>
      </c>
      <c r="E76" s="2" t="inlineStr">
        <is>
          <t>B – methanol group</t>
        </is>
      </c>
      <c r="F76" s="2" t="inlineStr">
        <is>
          <t>C – aromatic ring</t>
        </is>
      </c>
      <c r="G76" s="2" t="inlineStr">
        <is>
          <t>D – hydroxyl group</t>
        </is>
      </c>
      <c r="H76" s="2" t="inlineStr">
        <is>
          <t>E – tert-butyl group</t>
        </is>
      </c>
      <c r="I76" s="8" t="n">
        <v>5</v>
      </c>
      <c r="J76" s="2"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2" t="n"/>
      <c r="L76" s="2" t="inlineStr">
        <is>
          <t>Asthma</t>
        </is>
      </c>
      <c r="M76" s="2" t="inlineStr">
        <is>
          <t>74</t>
        </is>
      </c>
      <c r="N76" s="2" t="inlineStr">
        <is>
          <t>Clinic</t>
        </is>
      </c>
      <c r="O76" s="2" t="n"/>
      <c r="P76" s="2" t="n"/>
    </row>
    <row r="77" ht="13.2" customHeight="1" s="49">
      <c r="A77" s="8" t="n">
        <v>75</v>
      </c>
      <c r="B77" s="2" t="inlineStr">
        <is>
          <t>ยาพ่นสูด ในรูปแบบ β2-selective adrenergic receptor agonists MDI (metered dose inhalers) ควรมีลักษณะ แบบใด</t>
        </is>
      </c>
      <c r="C77" s="2" t="n"/>
      <c r="D77" s="2" t="inlineStr">
        <is>
          <t>ขนาดอนุภาคของตัวยาควรอยู่ระหว่าง 1-3 μm</t>
        </is>
      </c>
      <c r="E77" s="2" t="inlineStr">
        <is>
          <t>ขนาดอนุภาคอยู่ระหว่าง 5-10 μm</t>
        </is>
      </c>
      <c r="F77" s="2" t="inlineStr">
        <is>
          <t>ตัวยาหวังผลให้ไปจับกับ receptor ที่ทางเดินหายใจส่วนปลาย</t>
        </is>
      </c>
      <c r="G77" s="2" t="inlineStr">
        <is>
          <t>ใช้ lactose เพื่อปรับปรุงรสชาติ</t>
        </is>
      </c>
      <c r="H77" s="2" t="inlineStr">
        <is>
          <t>นิยมใช้ chlorofluorocarbon เป็นตัวสารขับดัน</t>
        </is>
      </c>
      <c r="I77" s="8" t="n">
        <v>1</v>
      </c>
      <c r="J77" s="2"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2" t="n"/>
      <c r="L77" s="2" t="inlineStr">
        <is>
          <t>Asthma</t>
        </is>
      </c>
      <c r="M77" s="2" t="inlineStr">
        <is>
          <t>75</t>
        </is>
      </c>
      <c r="N77" s="2" t="inlineStr">
        <is>
          <t>Clinic</t>
        </is>
      </c>
      <c r="O77" s="2" t="n"/>
      <c r="P77" s="2" t="n"/>
    </row>
    <row r="78" ht="13.2" customHeight="1" s="49">
      <c r="A78" s="8" t="n">
        <v>76</v>
      </c>
      <c r="B78" s="2" t="inlineStr">
        <is>
          <t>ข้อใดคือข้อแนะนำของการใช้ Salbutamol MDI</t>
        </is>
      </c>
      <c r="C78" s="2" t="n"/>
      <c r="D78" s="2" t="inlineStr">
        <is>
          <t>หายใจออกทางปาก ช้า ลึก</t>
        </is>
      </c>
      <c r="E78" s="2" t="inlineStr">
        <is>
          <t>หายใจออกทางปาก เร็ว ลึก</t>
        </is>
      </c>
      <c r="F78" s="2" t="inlineStr">
        <is>
          <t>หายใจเข้าทางปาก ช้า ลึก</t>
        </is>
      </c>
      <c r="G78" s="2" t="inlineStr">
        <is>
          <t>หายใจเข้าทางปาก เร็ว ลึก</t>
        </is>
      </c>
      <c r="H78" s="2" t="inlineStr">
        <is>
          <t>หายใจเข้าทางปาก เร็ว แรง ลึก</t>
        </is>
      </c>
      <c r="I78" s="8" t="n">
        <v>3</v>
      </c>
      <c r="J78" s="2"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2" t="n"/>
      <c r="L78" s="2" t="inlineStr">
        <is>
          <t>Asthma</t>
        </is>
      </c>
      <c r="M78" s="2" t="inlineStr">
        <is>
          <t>76</t>
        </is>
      </c>
      <c r="N78" s="2" t="inlineStr">
        <is>
          <t>Clinic</t>
        </is>
      </c>
      <c r="O78" s="2" t="n"/>
      <c r="P78" s="2" t="n"/>
    </row>
    <row r="79" ht="13.2" customHeight="1" s="49">
      <c r="A79" s="8" t="n">
        <v>77</v>
      </c>
      <c r="B79" s="2" t="inlineStr">
        <is>
          <t>ในการตั้งตำหรับ Dry powder inhaler (DPI) ข้อใดต่อไปนี้ไม่ถูกต้อง</t>
        </is>
      </c>
      <c r="C79" s="2" t="n"/>
      <c r="D79" s="2" t="inlineStr">
        <is>
          <t>ขนาดอนุภาคตัวยาอยู่ระหว่าง 1-5 ไมครอน</t>
        </is>
      </c>
      <c r="E79" s="2" t="inlineStr">
        <is>
          <t>รูปแบบยาเป็นสารละลาย หรือ ยาแขวนตะกอน</t>
        </is>
      </c>
      <c r="F79" s="2" t="inlineStr">
        <is>
          <t>ไม่จำเป็นต้องใช้สารขับดัน</t>
        </is>
      </c>
      <c r="G79" s="2" t="inlineStr">
        <is>
          <t>ตัวยาเป็นลักษณะผงแห้ง</t>
        </is>
      </c>
      <c r="H79" s="2" t="inlineStr">
        <is>
          <t>ตัวยาสำคัญมีสมบัติละลายน้ำหรือไม่ละลายน้ำก็ได้</t>
        </is>
      </c>
      <c r="I79" s="8" t="n">
        <v>2</v>
      </c>
      <c r="J79" s="2"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2" t="n"/>
      <c r="L79" s="2" t="inlineStr">
        <is>
          <t>Asthma</t>
        </is>
      </c>
      <c r="M79" s="2" t="inlineStr">
        <is>
          <t>77</t>
        </is>
      </c>
      <c r="N79" s="2" t="inlineStr">
        <is>
          <t>Clinic</t>
        </is>
      </c>
      <c r="O79" s="2" t="n"/>
      <c r="P79" s="2" t="n"/>
    </row>
    <row r="80" ht="13.2" customHeight="1" s="49">
      <c r="A80" s="8" t="n">
        <v>78</v>
      </c>
      <c r="B80" s="2" t="inlineStr">
        <is>
          <t>ข้อใดกล่าวถึงลักษณะของ Metered dose inhaler (MDI) ได้ถูกต้อง</t>
        </is>
      </c>
      <c r="C80" s="2" t="n"/>
      <c r="D80" s="2" t="inlineStr">
        <is>
          <t>ขนาดอนุภาคที่เหมาะสมคือ 1-10 ไมครอน</t>
        </is>
      </c>
      <c r="E80" s="2" t="inlineStr">
        <is>
          <t>นิยมใช้สารขับดันเป็น Chloroflurocarbon (CFC)</t>
        </is>
      </c>
      <c r="F80" s="2" t="inlineStr">
        <is>
          <t>ยาจะผสมกับแก๊สเหลวในลักษณะเป็นสารละลาย หรือ ยาแขวนตะกอน</t>
        </is>
      </c>
      <c r="G80" s="2" t="inlineStr">
        <is>
          <t>นิยมเติม Lactose เข้าไปเพื่อปรับปรุงรสชาติขณะพ่นสูด</t>
        </is>
      </c>
      <c r="H80" s="2" t="inlineStr">
        <is>
          <t>ยาจะถูกฉีดพ่นออกทาง mouthpiece</t>
        </is>
      </c>
      <c r="I80" s="8" t="n">
        <v>3</v>
      </c>
      <c r="J80" s="2"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2" t="n"/>
      <c r="L80" s="2" t="inlineStr">
        <is>
          <t>Asthma</t>
        </is>
      </c>
      <c r="M80" s="2" t="inlineStr">
        <is>
          <t>78</t>
        </is>
      </c>
      <c r="N80" s="2" t="inlineStr">
        <is>
          <t>Clinic</t>
        </is>
      </c>
      <c r="O80" s="2" t="n"/>
      <c r="P80" s="2" t="n"/>
    </row>
    <row r="81" ht="13.2" customHeight="1" s="49">
      <c r="A81" s="8" t="n">
        <v>79</v>
      </c>
      <c r="B81" s="2" t="inlineStr">
        <is>
          <t>หัวข้อใดกล่าวถูกต้องเกี่ยวกับการนำส่งยาทางปอด</t>
        </is>
      </c>
      <c r="C81" s="2" t="n"/>
      <c r="D81" s="2" t="inlineStr">
        <is>
          <t>ขนาดยาที่ใช้ต่ำว่าขนาดรับประทาน</t>
        </is>
      </c>
      <c r="E81" s="2" t="inlineStr">
        <is>
          <t>ยาบางส่วนถูก first pass-metabolism</t>
        </is>
      </c>
      <c r="F81" s="2" t="inlineStr">
        <is>
          <t>อาจทำให้เกิดผลข้างเคียง หรืออาการไม่พึงประสงค์จากการใช้ยา เพราะตัวยาเกาะที่เนื้อเยื่อโดยตรง</t>
        </is>
      </c>
      <c r="G81" s="2" t="inlineStr">
        <is>
          <t>ยาพ่นสูดแบบ DPI จำเป็นต้องกลั้นหายใจขณะใช้ยา เพราะใช้หลักการ Inspiratory flow rate</t>
        </is>
      </c>
      <c r="H81" s="2" t="inlineStr">
        <is>
          <t>ถูกทุกข้อ</t>
        </is>
      </c>
      <c r="I81" s="8" t="n">
        <v>1</v>
      </c>
      <c r="J81" s="2"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2" t="n"/>
      <c r="L81" s="2" t="inlineStr">
        <is>
          <t>Asthma</t>
        </is>
      </c>
      <c r="M81" s="2" t="inlineStr">
        <is>
          <t>79</t>
        </is>
      </c>
      <c r="N81" s="2" t="inlineStr">
        <is>
          <t>Clinic</t>
        </is>
      </c>
      <c r="O81" s="2" t="n"/>
      <c r="P81" s="2" t="n"/>
    </row>
    <row r="82" ht="13.2" customHeight="1" s="49">
      <c r="A82" s="8" t="n">
        <v>80</v>
      </c>
      <c r="B82" s="2" t="inlineStr">
        <is>
          <t>การตรวจร่างกายในผู้ป่วย chronic obstructive pulmonary disease (COPD) จะพบผลตรวจดังนี้
ยกเว้น</t>
        </is>
      </c>
      <c r="C82" s="2" t="n"/>
      <c r="D82" s="2" t="inlineStr">
        <is>
          <t>หายใจเหนื่อยอย่างเรื้อรังและความรุนแรงของอาการเหนื่อยมากขึ้นเรื่อยๆ</t>
        </is>
      </c>
      <c r="E82" s="2" t="inlineStr">
        <is>
          <t>มีอาการไอแบบเรื้อรัง</t>
        </is>
      </c>
      <c r="F82" s="2" t="inlineStr">
        <is>
          <t>ค่า FEV1/FVC เพิ่มขึ้น</t>
        </is>
      </c>
      <c r="G82" s="2" t="inlineStr">
        <is>
          <t>ค่า FEV1/FVC ลดลง</t>
        </is>
      </c>
      <c r="H82" s="2" t="inlineStr">
        <is>
          <t>ค่า FEV1 ลดลง 22</t>
        </is>
      </c>
      <c r="I82" s="8" t="n">
        <v>3</v>
      </c>
      <c r="J82" s="2" t="inlineStr">
        <is>
          <t>✅ คำตอบที่ถูกต้อง: ข้อ ค. ค่า FEV1/FVC เพิ่มขึ้น
💡 Background:
ข้อสอบความรู้ทางวิชาชีพเภสัชกรรม (</t>
        </is>
      </c>
      <c r="K82" s="2" t="n"/>
      <c r="L82" s="2" t="inlineStr">
        <is>
          <t>Asthma/COPD</t>
        </is>
      </c>
      <c r="M82" s="2" t="inlineStr">
        <is>
          <t>Clinic</t>
        </is>
      </c>
      <c r="N82" s="2" t="inlineStr">
        <is>
          <t>ข้อสอบ ม.รังสิต ข้อ 15</t>
        </is>
      </c>
      <c r="O82" s="2" t="n"/>
      <c r="P82" s="2" t="n"/>
    </row>
    <row r="83" ht="13.2" customHeight="1" s="49">
      <c r="A83" s="8" t="n">
        <v>81</v>
      </c>
      <c r="B83" s="2" t="inlineStr">
        <is>
          <t>ผู้ป่วยในข้อใดต่อไปนี้ที่มีโอกาสเป็น chronic obstructive pulmonary disease (COPD)</t>
        </is>
      </c>
      <c r="C83" s="2" t="n"/>
      <c r="D83" s="2" t="inlineStr">
        <is>
          <t>นาย ก สูบบุหรี่วันละ 25 มวน เป็นเวลา 7 ปี</t>
        </is>
      </c>
      <c r="E83" s="2" t="inlineStr">
        <is>
          <t>นาย ข สูบบุหรี่วันละ 2 ซอง เป็นเวลา 15 ปี</t>
        </is>
      </c>
      <c r="F83" s="2" t="inlineStr">
        <is>
          <t>นาย ค สูบบุหรี่วันละ 1 ซอง เป็นเวลา 10 ปี</t>
        </is>
      </c>
      <c r="G83" s="2" t="inlineStr">
        <is>
          <t>นาย ง สูบบุหรี่วันละ 15 มวน เป็นเวลา 5 ปี</t>
        </is>
      </c>
      <c r="H83" s="2" t="inlineStr">
        <is>
          <t>นาย จ สูบบุหรี่วันละ 3 ซอง เป็นเวลา 6 ปี</t>
        </is>
      </c>
      <c r="I83" s="8" t="n">
        <v>2</v>
      </c>
      <c r="J83" s="2" t="inlineStr">
        <is>
          <t>✅ คำตอบที่ถูกต้อง: ข้อ ข. นาย ข สูบบุหรี่วันละ 2 ซอง เป็นเวลา 15 ปี
💡 Background:
ข้อสอบความรู้ทางวิชาชีพเภสัชกรรม (</t>
        </is>
      </c>
      <c r="K83" s="2" t="n"/>
      <c r="L83" s="2" t="inlineStr">
        <is>
          <t>Asthma/COPD</t>
        </is>
      </c>
      <c r="M83" s="2" t="inlineStr">
        <is>
          <t>Clinic</t>
        </is>
      </c>
      <c r="N83" s="2" t="inlineStr">
        <is>
          <t>ข้อสอบ ม.รังสิต ข้อ 16</t>
        </is>
      </c>
      <c r="O83" s="2" t="n"/>
      <c r="P83" s="2" t="n"/>
    </row>
    <row r="84" ht="13.2" customHeight="1" s="49">
      <c r="A84" s="8" t="n">
        <v>82</v>
      </c>
      <c r="B84" s="2" t="inlineStr">
        <is>
          <t>เบื้องต้นสันนิษฐานว่าผู้ป่วยเป็น COPD จากสาเหตุต่อไปนี้ ยกเว้น</t>
        </is>
      </c>
      <c r="C84" s="2" t="n"/>
      <c r="D84" s="2" t="inlineStr">
        <is>
          <t>สูบบุหรี่วันละ 25 มวน ตั้งแต่อายุ 35 ปี</t>
        </is>
      </c>
      <c r="E84" s="2" t="inlineStr">
        <is>
          <t>ภรรยาสูบบุหรี่ด้วย</t>
        </is>
      </c>
      <c r="F84" s="2" t="inlineStr">
        <is>
          <t>ดื่มสุรา</t>
        </is>
      </c>
      <c r="G84" s="2" t="inlineStr">
        <is>
          <t>เป็นโรคความดันโลหิตสูง</t>
        </is>
      </c>
      <c r="H84" s="2" t="inlineStr">
        <is>
          <t>ค และ ง</t>
        </is>
      </c>
      <c r="I84" s="8" t="n">
        <v>5</v>
      </c>
      <c r="J84" s="2" t="inlineStr">
        <is>
          <t>✅ คำตอบที่ถูกต้อง: ข้อ จ. ค และ ง
💡 Background:
ข้อสอบความรู้ทางวิชาชีพเภสัชกรรม (</t>
        </is>
      </c>
      <c r="K84" s="2" t="n"/>
      <c r="L84" s="2" t="inlineStr">
        <is>
          <t>Asthma/COPD</t>
        </is>
      </c>
      <c r="M84" s="2" t="inlineStr">
        <is>
          <t>Clinic</t>
        </is>
      </c>
      <c r="N84" s="2" t="inlineStr">
        <is>
          <t>ข้อสอบ ม.รังสิต ข้อ 17</t>
        </is>
      </c>
      <c r="O84" s="2" t="n"/>
      <c r="P84" s="2" t="n"/>
    </row>
    <row r="85" ht="13.2" customHeight="1" s="49">
      <c r="A85" s="8" t="n">
        <v>83</v>
      </c>
      <c r="B85" s="2" t="inlineStr">
        <is>
          <t>ผู้ป่วยรายนี้ควรได้รับการรักษาด้วยยาเริ่มแรก (first-choice) ด้วยวิธีใดถึงจะเหมาะสมที่สุด</t>
        </is>
      </c>
      <c r="C85" s="2" t="n"/>
      <c r="D85" s="2" t="inlineStr">
        <is>
          <t>LABA or LAMA</t>
        </is>
      </c>
      <c r="E85" s="2" t="inlineStr">
        <is>
          <t>LABA and LAMA</t>
        </is>
      </c>
      <c r="F85" s="2" t="inlineStr">
        <is>
          <t>SABA and/or SAMA theophylline</t>
        </is>
      </c>
      <c r="G85" s="2" t="inlineStr">
        <is>
          <t>ข และ ค</t>
        </is>
      </c>
      <c r="H85" s="2" t="inlineStr">
        <is>
          <t>ก, ข และ ค 24</t>
        </is>
      </c>
      <c r="I85" s="8" t="n">
        <v>1</v>
      </c>
      <c r="J85" s="2" t="inlineStr">
        <is>
          <t>✅ คำตอบที่ถูกต้อง: ข้อ ก. LABA or LAMA
💡 Background:
ข้อสอบความรู้ทางวิชาชีพเภสัชกรรม (</t>
        </is>
      </c>
      <c r="K85" s="2" t="n"/>
      <c r="L85" s="2" t="inlineStr">
        <is>
          <t>Asthma/COPD</t>
        </is>
      </c>
      <c r="M85" s="2" t="inlineStr">
        <is>
          <t>Clinic</t>
        </is>
      </c>
      <c r="N85" s="2" t="inlineStr">
        <is>
          <t>ข้อสอบ ม.รังสิต ข้อ 18</t>
        </is>
      </c>
      <c r="O85" s="2" t="n"/>
      <c r="P85" s="2" t="n"/>
    </row>
    <row r="86" ht="13.2" customHeight="1" s="49">
      <c r="A86" s="8" t="n">
        <v>84</v>
      </c>
      <c r="B86" s="2" t="inlineStr">
        <is>
          <t>จากข้อ 18 ยาใดเหมาะสมที่สุดที่ผู้ป่วยรายนี้ควรได้รับ</t>
        </is>
      </c>
      <c r="C86" s="2" t="n"/>
      <c r="D86" s="2" t="inlineStr">
        <is>
          <t>Salbutamol+Terbutaline</t>
        </is>
      </c>
      <c r="E86" s="2" t="inlineStr">
        <is>
          <t>Salbutamol+Budesonide</t>
        </is>
      </c>
      <c r="F86" s="2" t="inlineStr">
        <is>
          <t>Salmeterol+Tiotropium</t>
        </is>
      </c>
      <c r="G86" s="2" t="inlineStr">
        <is>
          <t>Salmeterol or Tiotropium</t>
        </is>
      </c>
      <c r="H86" s="2" t="inlineStr">
        <is>
          <t>ค และ ง</t>
        </is>
      </c>
      <c r="I86" s="8" t="n">
        <v>4</v>
      </c>
      <c r="J86" s="2" t="inlineStr">
        <is>
          <t>✅ คำตอบที่ถูกต้อง: ข้อ ง. Salmeterol or Tiotropium
💡 Background:
ข้อสอบความรู้ทางวิชาชีพเภสัชกรรม (</t>
        </is>
      </c>
      <c r="K86" s="2" t="n"/>
      <c r="L86" s="2" t="inlineStr">
        <is>
          <t>Asthma/COPD</t>
        </is>
      </c>
      <c r="M86" s="2" t="inlineStr">
        <is>
          <t>Clinic</t>
        </is>
      </c>
      <c r="N86" s="2" t="inlineStr">
        <is>
          <t>ข้อสอบ ม.รังสิต ข้อ 19</t>
        </is>
      </c>
      <c r="O86" s="2" t="n"/>
      <c r="P86" s="2" t="n"/>
    </row>
    <row r="87" ht="13.2" customHeight="1" s="49">
      <c r="A87" s="8" t="n">
        <v>85</v>
      </c>
      <c r="B87"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87" s="2" t="n"/>
      <c r="D87" s="2" t="inlineStr">
        <is>
          <t>จ่าย salbutamol เพิ่ม</t>
        </is>
      </c>
      <c r="E87" s="2" t="inlineStr">
        <is>
          <t>จ่าย ICS เพิ่ม</t>
        </is>
      </c>
      <c r="F87" s="2" t="inlineStr">
        <is>
          <t>จ่าย salmeterol + tiotropium 2 ตัวคู่กัน</t>
        </is>
      </c>
      <c r="G87" s="2" t="inlineStr">
        <is>
          <t>จ่าย theophylline เพิ่ม</t>
        </is>
      </c>
      <c r="H87" s="2" t="inlineStr">
        <is>
          <t>ค และ ง</t>
        </is>
      </c>
      <c r="I87" s="8" t="n">
        <v>3</v>
      </c>
      <c r="J87" s="2" t="inlineStr">
        <is>
          <t>✅ คำตอบที่ถูกต้อง: ข้อ ค. จ่าย salmeterol + tiotropium 2 ตัวคู่กัน
💡 Background:
ข้อสอบความรู้ทางวิชาชีพเภสัชกรรม (</t>
        </is>
      </c>
      <c r="K87" s="2" t="n"/>
      <c r="L87" s="2" t="inlineStr">
        <is>
          <t>Asthma/COPD</t>
        </is>
      </c>
      <c r="M87" s="2" t="inlineStr">
        <is>
          <t>Clinic</t>
        </is>
      </c>
      <c r="N87" s="2" t="inlineStr">
        <is>
          <t>ข้อสอบ ม.รังสิต ข้อ 20</t>
        </is>
      </c>
      <c r="O87" s="2" t="n"/>
      <c r="P87" s="2" t="n"/>
    </row>
    <row r="88" ht="13.2" customHeight="1" s="49">
      <c r="A88" s="8" t="n">
        <v>86</v>
      </c>
      <c r="B88" s="2" t="inlineStr">
        <is>
          <t>ข้อใดคือคำแนะนำในการใช้ยาพ่น corticosteroid DPI</t>
        </is>
      </c>
      <c r="C88" s="2" t="n"/>
      <c r="D88" s="2" t="inlineStr">
        <is>
          <t>เขย่าขวดก่อนใช้</t>
        </is>
      </c>
      <c r="E88" s="2" t="inlineStr">
        <is>
          <t>เงยหน้าขึ้นสูงขณะพ่นยา</t>
        </is>
      </c>
      <c r="F88" s="2" t="inlineStr">
        <is>
          <t>หลังพ่นยา ให้กลั้วปาก และคอด้วยน้ าแล้วบ้วนทิ้ง</t>
        </is>
      </c>
      <c r="G88" s="2" t="inlineStr">
        <is>
          <t>หลังพ่นยา ให้ดื่มน้ าตามมากๆ</t>
        </is>
      </c>
      <c r="H88" s="2" t="inlineStr">
        <is>
          <t>หลังพ่นยา ให้ล้างน้ าทำความสะอาดเครื่องพ่นยาทุกครั้ง</t>
        </is>
      </c>
      <c r="I88" s="8" t="n">
        <v>3</v>
      </c>
      <c r="J88" s="2" t="inlineStr">
        <is>
          <t>✅ คำตอบที่ถูกต้อง: ข้อ ค. หลังพ่นยา ให้กลั้วปาก และคอด้วยน้ าแล้วบ้วนทิ้ง
💡 Background:
ข้อสอบความรู้ทางวิชาชีพเภสัชกรรม (</t>
        </is>
      </c>
      <c r="K88" s="2" t="n"/>
      <c r="L88" s="2" t="inlineStr">
        <is>
          <t>Asthma/COPD</t>
        </is>
      </c>
      <c r="M88" s="2" t="inlineStr">
        <is>
          <t>Clinic</t>
        </is>
      </c>
      <c r="N88" s="2" t="inlineStr">
        <is>
          <t>ข้อสอบ ม.รังสิต ข้อ 21</t>
        </is>
      </c>
      <c r="O88" s="2" t="n"/>
      <c r="P88" s="2" t="n"/>
    </row>
    <row r="89" ht="13.2" customHeight="1" s="49">
      <c r="A89" s="8" t="n">
        <v>87</v>
      </c>
      <c r="B89" s="2" t="inlineStr">
        <is>
          <t>หมู่ฟังก์ชันใดบนโครงสร้างของ corticosteroid ที่ไม่จำเป็นต่อการจับกับ glucocorticoid receptor</t>
        </is>
      </c>
      <c r="C89" s="2" t="n"/>
      <c r="D89" s="2" t="inlineStr">
        <is>
          <t>3-carbonyl</t>
        </is>
      </c>
      <c r="E89" s="2" t="inlineStr">
        <is>
          <t>Double bond ตำแหน่งที่ 4-5</t>
        </is>
      </c>
      <c r="F89" s="2" t="inlineStr">
        <is>
          <t>9-methyl</t>
        </is>
      </c>
      <c r="G89" s="2" t="inlineStr">
        <is>
          <t>O-atom ตำแหน่งที่ 11 25</t>
        </is>
      </c>
      <c r="H89" s="2" t="inlineStr">
        <is>
          <t>17-beta ketone-side chain</t>
        </is>
      </c>
      <c r="I89" s="8" t="n">
        <v>3</v>
      </c>
      <c r="J89" s="2" t="inlineStr">
        <is>
          <t>✅ คำตอบที่ถูกต้อง: ข้อ ค. 9-methyl
💡 Background:
ข้อสอบความรู้ทางวิชาชีพเภสัชกรรม (</t>
        </is>
      </c>
      <c r="K89" s="2" t="n"/>
      <c r="L89" s="2" t="inlineStr">
        <is>
          <t>Asthma/COPD</t>
        </is>
      </c>
      <c r="M89" s="2" t="inlineStr">
        <is>
          <t>Clinic</t>
        </is>
      </c>
      <c r="N89" s="2" t="inlineStr">
        <is>
          <t>ข้อสอบ ม.รังสิต ข้อ 22</t>
        </is>
      </c>
      <c r="O89" s="2" t="n"/>
      <c r="P89" s="2" t="n"/>
    </row>
    <row r="90" ht="13.2" customHeight="1" s="49">
      <c r="A90" s="8" t="n">
        <v>88</v>
      </c>
      <c r="B90" s="2" t="inlineStr">
        <is>
          <t>เทคนิคทางโครมาโตรกราฟีใดต่อไปนี้สามารถแยกความแตกต่างระหว่าง theophylline และ
caffeine ได้
caffeine                                     theophylline</t>
        </is>
      </c>
      <c r="C90" s="2" t="n"/>
      <c r="D90" s="2" t="inlineStr">
        <is>
          <t>Chiral chromatography</t>
        </is>
      </c>
      <c r="E90" s="2" t="inlineStr">
        <is>
          <t>Countercurrent chromatography</t>
        </is>
      </c>
      <c r="F90" s="2" t="inlineStr">
        <is>
          <t>Ion exchange chromatography</t>
        </is>
      </c>
      <c r="G90" s="2" t="inlineStr">
        <is>
          <t>Reverse phase chromatography</t>
        </is>
      </c>
      <c r="H90" s="2" t="inlineStr">
        <is>
          <t>Size exclusion chromatography</t>
        </is>
      </c>
      <c r="I90" s="8" t="n">
        <v>4</v>
      </c>
      <c r="J90" s="2" t="inlineStr">
        <is>
          <t>✅ คำตอบที่ถูกต้อง: ข้อ ง. Reverse phase chromatography
💡 Background:
ข้อสอบความรู้ทางวิชาชีพเภสัชกรรม (</t>
        </is>
      </c>
      <c r="K90" s="2" t="n"/>
      <c r="L90" s="2" t="inlineStr">
        <is>
          <t>Asthma/COPD</t>
        </is>
      </c>
      <c r="M90" s="2" t="inlineStr">
        <is>
          <t>Clinic</t>
        </is>
      </c>
      <c r="N90" s="2" t="inlineStr">
        <is>
          <t>ข้อสอบ ม.รังสิต ข้อ 23</t>
        </is>
      </c>
      <c r="O90" s="2" t="n"/>
      <c r="P90" s="2" t="n"/>
    </row>
    <row r="91" ht="13.2" customHeight="1" s="49">
      <c r="A91" s="8" t="n">
        <v>89</v>
      </c>
      <c r="B91" s="2" t="inlineStr">
        <is>
          <t>ข้อใดต่อไปนี้ ที่ไม่ถูกต้องเกี่ยวกับการวินิจฉัยโรคข้างต้น</t>
        </is>
      </c>
      <c r="C91" s="2" t="n"/>
      <c r="D91" s="2" t="inlineStr">
        <is>
          <t>มีอาการไอเรื้อรัง</t>
        </is>
      </c>
      <c r="E91" s="2" t="inlineStr">
        <is>
          <t>มีประวัติการสูบบุหรี่</t>
        </is>
      </c>
      <c r="F91" s="2" t="inlineStr">
        <is>
          <t>ใช้ GOLD guideline ในการประเมินความรุนแรง</t>
        </is>
      </c>
      <c r="G91" s="2" t="inlineStr">
        <is>
          <t>มีการตอบสนองภายหลังการใช้ยาขยายหลอดลม น้อยกว่า ร้อยละ 12</t>
        </is>
      </c>
      <c r="H91" s="2" t="inlineStr">
        <is>
          <t>หลังการใช้ยาขยายหลอดลม จะมีค่า FEV1/FVC เพิ่มขึ้น 26</t>
        </is>
      </c>
      <c r="I91" s="8" t="n">
        <v>5</v>
      </c>
      <c r="J91" s="2" t="inlineStr">
        <is>
          <t>✅ คำตอบที่ถูกต้อง: ข้อ จ. หลังการใช้ยาขยายหลอดลม จะมีค่า FEV1/FVC เพิ่มขึ้น 26
💡 Background:
ข้อสอบความรู้ทางวิชาชีพเภสัชกรรม (</t>
        </is>
      </c>
      <c r="K91" s="2" t="n"/>
      <c r="L91" s="2" t="inlineStr">
        <is>
          <t>Asthma/COPD</t>
        </is>
      </c>
      <c r="M91" s="2" t="inlineStr">
        <is>
          <t>Clinic</t>
        </is>
      </c>
      <c r="N91" s="2" t="inlineStr">
        <is>
          <t>ข้อสอบ ม.รังสิต ข้อ 24</t>
        </is>
      </c>
      <c r="O91" s="2" t="n"/>
      <c r="P91" s="2" t="n"/>
    </row>
    <row r="92" ht="13.2" customHeight="1" s="49">
      <c r="A92" s="8" t="n">
        <v>90</v>
      </c>
      <c r="B92" s="2" t="inlineStr">
        <is>
          <t>ข้อใดเป็นผลข้างเคียงของยาพ่น salbutamol</t>
        </is>
      </c>
      <c r="C92" s="2" t="n"/>
      <c r="D92" s="2" t="inlineStr">
        <is>
          <t>ใจสั่น</t>
        </is>
      </c>
      <c r="E92" s="2" t="inlineStr">
        <is>
          <t>Hyperkalemia</t>
        </is>
      </c>
      <c r="F92" s="2" t="inlineStr">
        <is>
          <t>Bradycardia</t>
        </is>
      </c>
      <c r="G92" s="2" t="inlineStr">
        <is>
          <t>Oral trush</t>
        </is>
      </c>
      <c r="H92" s="2" t="inlineStr">
        <is>
          <t>Osteoporosis</t>
        </is>
      </c>
      <c r="I92" s="8" t="n">
        <v>1</v>
      </c>
      <c r="J92" s="2" t="inlineStr">
        <is>
          <t>✅ คำตอบที่ถูกต้อง: ข้อ ก. ใจสั่น
💡 Background:
ข้อสอบความรู้ทางวิชาชีพเภสัชกรรม (</t>
        </is>
      </c>
      <c r="K92" s="2" t="n"/>
      <c r="L92" s="2" t="inlineStr">
        <is>
          <t>Asthma/COPD</t>
        </is>
      </c>
      <c r="M92" s="2" t="inlineStr">
        <is>
          <t>Clinic</t>
        </is>
      </c>
      <c r="N92" s="2" t="inlineStr">
        <is>
          <t>ข้อสอบ ม.รังสิต ข้อ 25</t>
        </is>
      </c>
      <c r="O92" s="2" t="n"/>
      <c r="P92" s="2" t="n"/>
    </row>
    <row r="93" ht="13.2" customHeight="1" s="49">
      <c r="A93" s="8" t="n">
        <v>91</v>
      </c>
      <c r="B93" s="2" t="inlineStr">
        <is>
          <t>ต่อมาผู้ป่วยอาการไม่ดีขึ้น โดยแพทย์ประเมินว่าอยู่ใน Group B COPD ยาในข้อใดต่อไปนี้ที่ควรได้รับ
เพิ่มเติมจาก salbutamol prn</t>
        </is>
      </c>
      <c r="C93" s="2" t="n"/>
      <c r="D93" s="2" t="inlineStr">
        <is>
          <t>Fenoterol</t>
        </is>
      </c>
      <c r="E93" s="2" t="inlineStr">
        <is>
          <t>Ipratropium Br</t>
        </is>
      </c>
      <c r="F93" s="2" t="inlineStr">
        <is>
          <t>Tiotropium Br</t>
        </is>
      </c>
      <c r="G93" s="2" t="inlineStr">
        <is>
          <t>Budesonide</t>
        </is>
      </c>
      <c r="H93" s="2" t="inlineStr">
        <is>
          <t>Sodium cromoglycolate</t>
        </is>
      </c>
      <c r="I93" s="8" t="n">
        <v>3</v>
      </c>
      <c r="J93" s="2" t="inlineStr">
        <is>
          <t>✅ คำตอบที่ถูกต้อง: ข้อ ค. Tiotropium Br
💡 Background:
ข้อสอบความรู้ทางวิชาชีพเภสัชกรรม (</t>
        </is>
      </c>
      <c r="K93" s="2" t="n"/>
      <c r="L93" s="2" t="inlineStr">
        <is>
          <t>Asthma/COPD</t>
        </is>
      </c>
      <c r="M93" s="2" t="inlineStr">
        <is>
          <t>Clinic</t>
        </is>
      </c>
      <c r="N93" s="2" t="inlineStr">
        <is>
          <t>ข้อสอบ ม.รังสิต ข้อ 26</t>
        </is>
      </c>
      <c r="O93" s="2" t="n"/>
      <c r="P93" s="2" t="n"/>
    </row>
    <row r="94" ht="13.2" customHeight="1" s="49">
      <c r="A94" s="8" t="n">
        <v>92</v>
      </c>
      <c r="B94" s="2" t="inlineStr">
        <is>
          <t>ข้อใดผิดเกี่ยวกับยาพ่นชนิด MDIs</t>
        </is>
      </c>
      <c r="C94" s="2" t="n"/>
      <c r="D94" s="2" t="inlineStr">
        <is>
          <t>การกดยาและสูดยา ต้องมีความสัมพันธ์กัน</t>
        </is>
      </c>
      <c r="E94" s="2" t="inlineStr">
        <is>
          <t>ตัวยามักเป็นของเหลว</t>
        </is>
      </c>
      <c r="F94" s="2" t="inlineStr">
        <is>
          <t>มีการผสมสารขับดัน (propellant)</t>
        </is>
      </c>
      <c r="G94" s="2" t="inlineStr">
        <is>
          <t>ควรสูดหายใจช้า ๆ และลึก ๆ</t>
        </is>
      </c>
      <c r="H94" s="2" t="inlineStr">
        <is>
          <t>เครื่องพ่นมีตัวยา จึงไม่ควรล้างน้ า</t>
        </is>
      </c>
      <c r="I94" s="8" t="n">
        <v>5</v>
      </c>
      <c r="J94" s="2" t="inlineStr">
        <is>
          <t>✅ คำตอบที่ถูกต้อง: ข้อ จ. เครื่องพ่นมีตัวยา จึงไม่ควรล้างน้ า
💡 Background:
ข้อสอบความรู้ทางวิชาชีพเภสัชกรรม (</t>
        </is>
      </c>
      <c r="K94" s="2" t="n"/>
      <c r="L94" s="2" t="inlineStr">
        <is>
          <t>Asthma/COPD</t>
        </is>
      </c>
      <c r="M94" s="2" t="inlineStr">
        <is>
          <t>Clinic</t>
        </is>
      </c>
      <c r="N94" s="2" t="inlineStr">
        <is>
          <t>ข้อสอบ ม.รังสิต ข้อ 27</t>
        </is>
      </c>
      <c r="O94" s="2" t="n"/>
      <c r="P94" s="2" t="n"/>
    </row>
    <row r="95" ht="13.2" customHeight="1" s="49">
      <c r="A95" s="8" t="n">
        <v>93</v>
      </c>
      <c r="B95" s="2" t="inlineStr">
        <is>
          <t>ข้อใดถูกต้องเกี่ยวกับ ยา Seretideหaccuhaler (salmeterol + fluticasone)</t>
        </is>
      </c>
      <c r="C95" s="2" t="n"/>
      <c r="D95" s="2" t="inlineStr">
        <is>
          <t>ไม่จำเป็นต้องกลั้วปากและคอหลังพ่นยาเสร็จ</t>
        </is>
      </c>
      <c r="E95" s="2" t="inlineStr">
        <is>
          <t>แนะนำให้พ่นยาต่อเนื่องทุกวัน เพื่อควบคุมอาการ</t>
        </is>
      </c>
      <c r="F95" s="2" t="inlineStr">
        <is>
          <t>ควรเขย่าอุปกรณ์ก่อนพ่นยา เพื่อให้สารขับดันออกฤทธิ์ดีขึ้น</t>
        </is>
      </c>
      <c r="G95" s="2" t="inlineStr">
        <is>
          <t>สามารถใช้พ่นเมื่อเกิดอาการจับหืด เนื่องจากมีการผสมตัวยาแบบออกฤทธิ์เร็วไว้ด้วย</t>
        </is>
      </c>
      <c r="H95" s="2" t="inlineStr">
        <is>
          <t>ขนาดอนุภาคควรเล็กกว่า 1 ไมโครเมตร เพื่อให้ไม่ตกค้างในช่องปาก 27 หัวข้อเรื่อง Asthma</t>
        </is>
      </c>
      <c r="I95" s="8" t="n">
        <v>2</v>
      </c>
      <c r="J95" s="2" t="inlineStr">
        <is>
          <t>✅ คำตอบที่ถูกต้อง: ข้อ ข. แนะนำให้พ่นยาต่อเนื่องทุกวัน เพื่อควบคุมอาการ
💡 Background:
ข้อสอบความรู้ทางวิชาชีพเภสัชกรรม (</t>
        </is>
      </c>
      <c r="K95" s="2" t="n"/>
      <c r="L95" s="2" t="inlineStr">
        <is>
          <t>Asthma/COPD</t>
        </is>
      </c>
      <c r="M95" s="2" t="inlineStr">
        <is>
          <t>Clinic</t>
        </is>
      </c>
      <c r="N95" s="2" t="inlineStr">
        <is>
          <t>ข้อสอบ ม.รังสิต ข้อ 28</t>
        </is>
      </c>
      <c r="O95" s="2" t="n"/>
      <c r="P95" s="2" t="n"/>
    </row>
    <row r="96" ht="13.2" customHeight="1" s="49">
      <c r="A96" s="8" t="n">
        <v>94</v>
      </c>
      <c r="B96" s="2" t="inlineStr">
        <is>
          <t>ข้อใดไม่ใช่คำถามที่ใช้ในการประเมินความรุนแรงของผู้ป่วยโรคหืดใน GINA assessment of symptom
control</t>
        </is>
      </c>
      <c r="C96" s="2" t="n"/>
      <c r="D96" s="2" t="inlineStr">
        <is>
          <t>มีอาการจับหืดตอนกลางวันมากกว่า 2 ครั้งต่อสัปดาห์</t>
        </is>
      </c>
      <c r="E96" s="2" t="inlineStr">
        <is>
          <t>ต้องใช้ยาพ่นขยายหลอดลมมากกว่า 2 ครั้งต่อสัปดาห์</t>
        </is>
      </c>
      <c r="F96" s="2" t="inlineStr">
        <is>
          <t>อาการรบกวนชีวิตประจำวันหรือไม่</t>
        </is>
      </c>
      <c r="G96" s="2" t="inlineStr">
        <is>
          <t>ค่า FEV1 สูงกว่า 60% predicted มีความเสี่ยงต่อการเกิด exacerbation มาก</t>
        </is>
      </c>
      <c r="H96" s="2" t="inlineStr">
        <is>
          <t>ตื่นกลางดึกเนื่องจากหืด</t>
        </is>
      </c>
      <c r="I96" s="8" t="n">
        <v>4</v>
      </c>
      <c r="J96" s="2" t="inlineStr">
        <is>
          <t>✅ คำตอบที่ถูกต้อง: ข้อ ง. ค่า FEV1 สูงกว่า 60% predicted มีความเสี่ยงต่อการเกิด exacerbation มาก
💡 Background:
ข้อสอบความรู้ทางวิชาชีพเภสัชกรรม (</t>
        </is>
      </c>
      <c r="K96" s="2" t="n"/>
      <c r="L96" s="2" t="inlineStr">
        <is>
          <t>Asthma/COPD</t>
        </is>
      </c>
      <c r="M96" s="2" t="inlineStr">
        <is>
          <t>Clinic</t>
        </is>
      </c>
      <c r="N96" s="2" t="inlineStr">
        <is>
          <t>ข้อสอบ ม.รังสิต ข้อ 29</t>
        </is>
      </c>
      <c r="O96" s="2" t="n"/>
      <c r="P96" s="2" t="n"/>
    </row>
    <row r="97" ht="13.2" customHeight="1" s="49">
      <c r="A97" s="8" t="n">
        <v>95</v>
      </c>
      <c r="B97" s="2" t="inlineStr">
        <is>
          <t>จากกรณีศึกษาดังกล่าว ควรพิจารณาเปลี่ยนแปลงการรักษาใดให้ผู้ป่วยหรือไม่</t>
        </is>
      </c>
      <c r="C97" s="2" t="n"/>
      <c r="D97" s="2" t="inlineStr">
        <is>
          <t>ควรพิจารณาการ step down</t>
        </is>
      </c>
      <c r="E97" s="2" t="inlineStr">
        <is>
          <t>ควรพิจารณาการ step up</t>
        </is>
      </c>
      <c r="F97" s="2" t="inlineStr">
        <is>
          <t>ไม่ต้องเปลี่ยนแปลงการรักษา</t>
        </is>
      </c>
      <c r="G97" s="2" t="inlineStr">
        <is>
          <t>เปลี่ยนจาก salbutamol ไปใช้ salmeterol</t>
        </is>
      </c>
      <c r="H97" s="2" t="inlineStr">
        <is>
          <t>ตัด theophylline ออก</t>
        </is>
      </c>
      <c r="I97" s="8" t="n">
        <v>2</v>
      </c>
      <c r="J97" s="2" t="inlineStr">
        <is>
          <t>✅ คำตอบที่ถูกต้อง: ข้อ ข. ควรพิจารณาการ step up
💡 Background:
ข้อสอบความรู้ทางวิชาชีพเภสัชกรรม (</t>
        </is>
      </c>
      <c r="K97" s="2" t="n"/>
      <c r="L97" s="2" t="inlineStr">
        <is>
          <t>Asthma/COPD</t>
        </is>
      </c>
      <c r="M97" s="2" t="inlineStr">
        <is>
          <t>Clinic</t>
        </is>
      </c>
      <c r="N97" s="2" t="inlineStr">
        <is>
          <t>ข้อสอบ ม.รังสิต ข้อ 30</t>
        </is>
      </c>
      <c r="O97" s="2" t="n"/>
      <c r="P97" s="2" t="n"/>
    </row>
    <row r="98" ht="13.2" customHeight="1" s="49">
      <c r="A98" s="8" t="n">
        <v>96</v>
      </c>
      <c r="B98" s="2" t="inlineStr">
        <is>
          <t>เมื่อเลือกการรักษาจากข้อ 30 แล้ว คิดว่าควรให้ยาในข้อใด</t>
        </is>
      </c>
      <c r="C98" s="2" t="n"/>
      <c r="D98" s="2" t="inlineStr">
        <is>
          <t>Beclometasone dipropionate 200 mcg + Salbutamol</t>
        </is>
      </c>
      <c r="E98" s="2" t="inlineStr">
        <is>
          <t>Fluticasone propionate 200 mcg + Symbicortห (Budesonide/Formoterol)</t>
        </is>
      </c>
      <c r="F98" s="2" t="inlineStr">
        <is>
          <t>Omalizumab + Symbicortห (Budesonide/Formoterol)</t>
        </is>
      </c>
      <c r="G98" s="2" t="inlineStr">
        <is>
          <t>Fluticasone propionate 400 mcg +  Symbicortห ( Budesonide/ Formoterol)  + Tiotropium</t>
        </is>
      </c>
      <c r="H98" s="2" t="inlineStr">
        <is>
          <t>Beclometasone dipropionate 200 mcg เพียงอย่างเดียว 28</t>
        </is>
      </c>
      <c r="I98" s="8" t="n">
        <v>2</v>
      </c>
      <c r="J98" s="2" t="inlineStr">
        <is>
          <t>✅ คำตอบที่ถูกต้อง: ข้อ ข. Fluticasone propionate 200 mcg + Symbicortห (Budesonide/Formoterol)
💡 Background:
ข้อสอบความรู้ทางวิชาชีพเภสัชกรรม (</t>
        </is>
      </c>
      <c r="K98" s="2" t="n"/>
      <c r="L98" s="2" t="inlineStr">
        <is>
          <t>Asthma/COPD</t>
        </is>
      </c>
      <c r="M98" s="2" t="inlineStr">
        <is>
          <t>Clinic</t>
        </is>
      </c>
      <c r="N98" s="2" t="inlineStr">
        <is>
          <t>ข้อสอบ ม.รังสิต ข้อ 31</t>
        </is>
      </c>
      <c r="O98" s="2" t="n"/>
      <c r="P98" s="2" t="n"/>
    </row>
    <row r="99" ht="13.2" customHeight="1" s="49">
      <c r="A99" s="8" t="n">
        <v>97</v>
      </c>
      <c r="B99" s="2" t="inlineStr">
        <is>
          <t>ข้อใดผิดเกี่ยวกับหลักการพิจารณาการ step down</t>
        </is>
      </c>
      <c r="C99" s="2" t="n"/>
      <c r="D99" s="2" t="inlineStr">
        <is>
          <t>ผู้ป่วยสามารถควบคุมอาการได้อย่างน้อย 3 เดือน</t>
        </is>
      </c>
      <c r="E99" s="2" t="inlineStr">
        <is>
          <t>ไม่อยู่ระหว่างการตั้งครรภ์</t>
        </is>
      </c>
      <c r="F99" s="2" t="inlineStr">
        <is>
          <t>บันทึก baseline status</t>
        </is>
      </c>
      <c r="G99" s="2" t="inlineStr">
        <is>
          <t>หยุด ICS ทันที</t>
        </is>
      </c>
      <c r="H99" s="2" t="inlineStr">
        <is>
          <t>พิจารณา step down ในขณะที่ไม่อยู่ระหว่างการติดเชื้อทางเดินหายใจในระหว่างการท่องเที่ยว</t>
        </is>
      </c>
      <c r="I99" s="8" t="n">
        <v>4</v>
      </c>
      <c r="J99" s="2" t="inlineStr">
        <is>
          <t>✅ คำตอบที่ถูกต้อง: ข้อ ง. หยุด ICS ทันที
💡 Background:
ข้อสอบความรู้ทางวิชาชีพเภสัชกรรม (</t>
        </is>
      </c>
      <c r="K99" s="2" t="n"/>
      <c r="L99" s="2" t="inlineStr">
        <is>
          <t>Asthma/COPD</t>
        </is>
      </c>
      <c r="M99" s="2" t="inlineStr">
        <is>
          <t>Clinic</t>
        </is>
      </c>
      <c r="N99" s="2" t="inlineStr">
        <is>
          <t>ข้อสอบ ม.รังสิต ข้อ 32</t>
        </is>
      </c>
      <c r="O99" s="2" t="n"/>
      <c r="P99" s="2" t="n"/>
    </row>
    <row r="100" ht="13.2" customHeight="1" s="49">
      <c r="A100" s="8" t="n">
        <v>98</v>
      </c>
      <c r="B100" s="2" t="inlineStr">
        <is>
          <t>ข้อใดไม่ใช่ short-acting beta 2 agonist</t>
        </is>
      </c>
      <c r="C100" s="2" t="n"/>
      <c r="D100" s="2" t="inlineStr">
        <is>
          <t>Fenoterol</t>
        </is>
      </c>
      <c r="E100" s="2" t="inlineStr">
        <is>
          <t>Terbutaline</t>
        </is>
      </c>
      <c r="F100" s="2" t="inlineStr">
        <is>
          <t>Procaterol</t>
        </is>
      </c>
      <c r="G100" s="2" t="inlineStr">
        <is>
          <t>Bambuterol</t>
        </is>
      </c>
      <c r="H100" s="2" t="inlineStr">
        <is>
          <t>Salmeterol</t>
        </is>
      </c>
      <c r="I100" s="8" t="n">
        <v>5</v>
      </c>
      <c r="J100" s="2" t="inlineStr">
        <is>
          <t>✅ คำตอบที่ถูกต้อง: ข้อ จ. Salmeterol
💡 Background:
ข้อสอบความรู้ทางวิชาชีพเภสัชกรรม (</t>
        </is>
      </c>
      <c r="K100" s="2" t="n"/>
      <c r="L100" s="2" t="inlineStr">
        <is>
          <t>Asthma/COPD</t>
        </is>
      </c>
      <c r="M100" s="2" t="inlineStr">
        <is>
          <t>Clinic</t>
        </is>
      </c>
      <c r="N100" s="2" t="inlineStr">
        <is>
          <t>ข้อสอบ ม.รังสิต ข้อ 33</t>
        </is>
      </c>
      <c r="O100" s="2" t="n"/>
      <c r="P100" s="2" t="n"/>
    </row>
    <row r="101" ht="13.2" customHeight="1" s="49">
      <c r="A101" s="8" t="n">
        <v>99</v>
      </c>
      <c r="B101" s="2" t="inlineStr">
        <is>
          <t>ข้อใดถูกต้องเกี่ยวกับการใช้ beta2 agonist ในโรคหืด</t>
        </is>
      </c>
      <c r="C101" s="2" t="n"/>
      <c r="D101" s="2" t="inlineStr">
        <is>
          <t>ใช้เพื่อป้องกันอาการเท่านั้น</t>
        </is>
      </c>
      <c r="E101" s="2" t="inlineStr">
        <is>
          <t>ความถี่ของการใช้ short-acting beta-2 agonist เป็นตัวบ่งบอกถึงผลการรักษา</t>
        </is>
      </c>
      <c r="F101" s="2" t="inlineStr">
        <is>
          <t>อาจทำให้ดื้อยาหากใช้เป็นประจำ</t>
        </is>
      </c>
      <c r="G101" s="2" t="inlineStr">
        <is>
          <t>มีประสิทธิภาพมากที่สุด ใช้เป็นยาควบคุม และลดอาการกำเริบของหอบหืดเฉียบพลัน</t>
        </is>
      </c>
      <c r="H101" s="2" t="inlineStr">
        <is>
          <t>เพิ่มความเสี่ยงการเสียชีวิตหากใช้เป็นประจำ</t>
        </is>
      </c>
      <c r="I101" s="8" t="n">
        <v>2</v>
      </c>
      <c r="J101" s="2" t="inlineStr">
        <is>
          <t>✅ คำตอบที่ถูกต้อง: ข้อ ข. ความถี่ของการใช้ short-acting beta-2 agonist เป็นตัวบ่งบอกถึงผลการรักษา
💡 Background:
ข้อสอบความรู้ทางวิชาชีพเภสัชกรรม (</t>
        </is>
      </c>
      <c r="K101" s="2" t="n"/>
      <c r="L101" s="2" t="inlineStr">
        <is>
          <t>Asthma/COPD</t>
        </is>
      </c>
      <c r="M101" s="2" t="inlineStr">
        <is>
          <t>Clinic</t>
        </is>
      </c>
      <c r="N101" s="2" t="inlineStr">
        <is>
          <t>ข้อสอบ ม.รังสิต ข้อ 34</t>
        </is>
      </c>
      <c r="O101" s="2" t="n"/>
      <c r="P101" s="2" t="n"/>
    </row>
    <row r="102" ht="13.2" customHeight="1" s="49">
      <c r="A102" s="8" t="n">
        <v>100</v>
      </c>
      <c r="B102" s="2" t="inlineStr">
        <is>
          <t>ข้อใดคือกลไกการออกฤทธิ์ของยา Theophylline ในการขยายหลอดลม</t>
        </is>
      </c>
      <c r="C102" s="2" t="n"/>
      <c r="D102" s="2" t="inlineStr">
        <is>
          <t>กระตุ้น β2-adrenergic receptor ที่กล้ามเนื้อเรียบของหลอดลม ทำให้ Adenylyl cyclase เพิ่มขึ้น</t>
        </is>
      </c>
      <c r="E102" s="2" t="inlineStr">
        <is>
          <t>ยับยั้งเอนไซม์ Phosphodiesterase</t>
        </is>
      </c>
      <c r="F102" s="2" t="inlineStr">
        <is>
          <t>จับกับ M3 receptor ที่กล้ามเนื้อเรียบของหลอดลม</t>
        </is>
      </c>
      <c r="G102" s="2" t="inlineStr">
        <is>
          <t>ยับยั้งเอนไซม์ 5-Lipoxygenase</t>
        </is>
      </c>
      <c r="H102" s="2" t="inlineStr">
        <is>
          <t>ออกฤทธิ์เป็น Leukotriene receptor antagonist</t>
        </is>
      </c>
      <c r="I102" s="8" t="n">
        <v>2</v>
      </c>
      <c r="J102" s="2" t="inlineStr">
        <is>
          <t>✅ คำตอบที่ถูกต้อง: ข้อ ข. ยับยั้งเอนไซม์ Phosphodiesterase
💡 Background:
ข้อสอบความรู้ทางวิชาชีพเภสัชกรรม (</t>
        </is>
      </c>
      <c r="K102" s="2" t="n"/>
      <c r="L102" s="2" t="inlineStr">
        <is>
          <t>Asthma/COPD</t>
        </is>
      </c>
      <c r="M102" s="2" t="inlineStr">
        <is>
          <t>Clinic</t>
        </is>
      </c>
      <c r="N102" s="2" t="inlineStr">
        <is>
          <t>ข้อสอบ ม.รังสิต ข้อ 35</t>
        </is>
      </c>
      <c r="O102" s="2" t="n"/>
      <c r="P102" s="2" t="n"/>
    </row>
    <row r="103" ht="13.2" customHeight="1" s="49">
      <c r="A103" s="8" t="n">
        <v>101</v>
      </c>
      <c r="B103" s="2" t="inlineStr">
        <is>
          <t>ข้อใดไม่ใช่กลไกลการออกฤทธิ์ของยากลุ่ม Inhaled corticosteroids</t>
        </is>
      </c>
      <c r="C103" s="2" t="n"/>
      <c r="D103" s="2" t="inlineStr">
        <is>
          <t>ต้าน IgE</t>
        </is>
      </c>
      <c r="E103" s="2" t="inlineStr">
        <is>
          <t>ป้องกันการสร้างและหลั่ง cytokine</t>
        </is>
      </c>
      <c r="F103" s="2" t="inlineStr">
        <is>
          <t>กระตุ้นกระบวนการสร้าง leukotriene</t>
        </is>
      </c>
      <c r="G103" s="2" t="inlineStr">
        <is>
          <t>รบกวนกระบวนการสร้าง prostaglandin 29</t>
        </is>
      </c>
      <c r="H103" s="2" t="inlineStr">
        <is>
          <t>รบกวน arachidonic acid metabolism</t>
        </is>
      </c>
      <c r="I103" s="8" t="n">
        <v>3</v>
      </c>
      <c r="J103" s="2" t="inlineStr">
        <is>
          <t>✅ คำตอบที่ถูกต้อง: ข้อ ค. กระตุ้นกระบวนการสร้าง leukotriene
💡 Background:
ข้อสอบความรู้ทางวิชาชีพเภสัชกรรม (</t>
        </is>
      </c>
      <c r="K103" s="2" t="n"/>
      <c r="L103" s="2" t="inlineStr">
        <is>
          <t>Asthma/COPD</t>
        </is>
      </c>
      <c r="M103" s="2" t="inlineStr">
        <is>
          <t>Clinic</t>
        </is>
      </c>
      <c r="N103" s="2" t="inlineStr">
        <is>
          <t>ข้อสอบ ม.รังสิต ข้อ 36</t>
        </is>
      </c>
      <c r="O103" s="2" t="n"/>
      <c r="P103" s="2" t="n"/>
    </row>
    <row r="104" ht="13.2" customHeight="1" s="49">
      <c r="A104" s="8" t="n">
        <v>102</v>
      </c>
      <c r="B104" s="2" t="inlineStr">
        <is>
          <t>ข้อใดผิดเกี่ยวกับอาการไม่พึงประสงค์ของยากลุ่ม Inhaled corticosteroids</t>
        </is>
      </c>
      <c r="C104" s="2" t="n"/>
      <c r="D104" s="2" t="inlineStr">
        <is>
          <t>ข.                                  ค.</t>
        </is>
      </c>
      <c r="E104" s="2" t="inlineStr">
        <is>
          <t>ปากแห้ง คอแห้ง</t>
        </is>
      </c>
      <c r="F104" s="2" t="inlineStr">
        <is>
          <t>มีอาการเสียงแหบ</t>
        </is>
      </c>
      <c r="G104" s="2" t="inlineStr">
        <is>
          <t>จ.</t>
        </is>
      </c>
      <c r="H104" s="2" t="inlineStr">
        <is>
          <t>เกิดเชื้อราในช่องปาก จากโครงสร้างให้เลือกตอบข้อ 38 – 39</t>
        </is>
      </c>
      <c r="I104" s="8" t="n">
        <v>1</v>
      </c>
      <c r="J104" s="2" t="inlineStr">
        <is>
          <t>✅ คำตอบที่ถูกต้อง: ข้อ ก. ข.                                  ค.
💡 Background:
ข้อสอบความรู้ทางวิชาชีพเภสัชกรรม (</t>
        </is>
      </c>
      <c r="K104" s="2" t="n"/>
      <c r="L104" s="2" t="inlineStr">
        <is>
          <t>Asthma/COPD</t>
        </is>
      </c>
      <c r="M104" s="2" t="inlineStr">
        <is>
          <t>Clinic</t>
        </is>
      </c>
      <c r="N104" s="2" t="inlineStr">
        <is>
          <t>ข้อสอบ ม.รังสิต ข้อ 37</t>
        </is>
      </c>
      <c r="O104" s="2" t="n"/>
      <c r="P104" s="2" t="n"/>
    </row>
    <row r="105" ht="13.2" customHeight="1" s="49">
      <c r="A105" s="8" t="n">
        <v>103</v>
      </c>
      <c r="B105" s="2" t="inlineStr">
        <is>
          <t>จากโครงสร้าง salmeterol และ formoterol ซึ่งเป็นยากลุ่ม long-acting beta-2 agonist ข้อใดถูกต้อง</t>
        </is>
      </c>
      <c r="C105" s="2" t="n"/>
      <c r="D105" s="2" t="inlineStr">
        <is>
          <t>Salmeterol ออกฤทธิ์เร็วกว่า formoterol เพราะ lipophilicity สูงกว่า</t>
        </is>
      </c>
      <c r="E105" s="2" t="inlineStr">
        <is>
          <t>Salmeterol ออกฤทธิ์เร็วกว่า formoterol เพราะ lipophilicity ต่ำกว่า</t>
        </is>
      </c>
      <c r="F105" s="2" t="inlineStr">
        <is>
          <t>Formoterol ออกฤทธิ์เร็วกว่า salmeterol เพราะ lipophilicity สูงกว่า</t>
        </is>
      </c>
      <c r="G105" s="2" t="inlineStr">
        <is>
          <t>Formoterol ออกฤทธิ์เร็วกว่า salmeterol เพราะ lipophilicity ต่ำกว่า (ละลายน้ำได้ปานกลาง เข้าสู่ receptor ได้เร็วกว่า)</t>
        </is>
      </c>
      <c r="H105" s="2" t="inlineStr">
        <is>
          <t>การออกฤทธิ์เร็วหรือช้าไม่เกี่ยวข้องกับคุณสมบัติ lipophilicity ของตัวยา</t>
        </is>
      </c>
      <c r="I105" s="8" t="n">
        <v>4</v>
      </c>
      <c r="J105" s="2"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2" t="n"/>
      <c r="L105" s="2" t="inlineStr">
        <is>
          <t>Asthma/COPD</t>
        </is>
      </c>
      <c r="M105" s="2" t="inlineStr">
        <is>
          <t>Clinic</t>
        </is>
      </c>
      <c r="N105" s="2" t="inlineStr">
        <is>
          <t>ข้อสอบมาตรฐาน PLE-CC</t>
        </is>
      </c>
      <c r="O105" s="2" t="n"/>
      <c r="P105" s="2" t="n"/>
    </row>
    <row r="106" ht="13.2" customHeight="1" s="49">
      <c r="A106" s="8" t="n">
        <v>104</v>
      </c>
      <c r="B106" s="2" t="inlineStr">
        <is>
          <t>ผลตรวจทางห้องปฏิบัติการในข้อใดบ่งชี้ว่าผู้ป่วยไม่ได้เป็นโรคปอดอุดกั้นเรื้อรัง (COPD)</t>
        </is>
      </c>
      <c r="C106" s="2" t="n"/>
      <c r="D106" s="2" t="inlineStr">
        <is>
          <t>FEV1/FVC &gt; 0.70 หลังพ่นยาขยายหลอดลม</t>
        </is>
      </c>
      <c r="E106" s="2" t="inlineStr">
        <is>
          <t>มีค่า Post-bronchodilator FEV1 = 60% ของค่ามาตรฐาน</t>
        </is>
      </c>
      <c r="F106" s="2" t="inlineStr">
        <is>
          <t>ตรวจพบ Eosinophil ในเลือดสูง</t>
        </is>
      </c>
      <c r="G106" s="2" t="inlineStr">
        <is>
          <t>มีประวัติโรคประจำตัวเป็น Allergic rhinitis ร่วมด้วย</t>
        </is>
      </c>
      <c r="H106" s="2" t="inlineStr">
        <is>
          <t>มีอาการไอเรื้อรัง หอบเหนื่อย และมีเสมหะต่อเนื่อง</t>
        </is>
      </c>
      <c r="I106" s="8" t="n">
        <v>1</v>
      </c>
      <c r="J106" s="2"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2" t="n"/>
      <c r="L106" s="2" t="inlineStr">
        <is>
          <t>Asthma/COPD</t>
        </is>
      </c>
      <c r="M106" s="2" t="inlineStr">
        <is>
          <t>Clinic</t>
        </is>
      </c>
      <c r="N106" s="2" t="inlineStr">
        <is>
          <t>ข้อสอบมาตรฐาน PLE-CC</t>
        </is>
      </c>
      <c r="O106" s="2" t="n"/>
      <c r="P106" s="2" t="n"/>
    </row>
    <row r="107" ht="13.2" customHeight="1" s="49">
      <c r="A107" s="8" t="n">
        <v>105</v>
      </c>
      <c r="B107" s="2" t="inlineStr">
        <is>
          <t>ข้อใดไม่ใช่ผลข้างเคียงของยาพ่นสูด Inhaled Salmeterol ร่วมกับ Inhaled Fluticasone (Seretide)</t>
        </is>
      </c>
      <c r="C107" s="2" t="n"/>
      <c r="D107" s="2" t="inlineStr">
        <is>
          <t>ใจสั่น (Palpitations จากฤทธิ์กระตุ้น beta adrenergic)</t>
        </is>
      </c>
      <c r="E107" s="2" t="inlineStr">
        <is>
          <t>มือสั่น (Tremor จากการกระตุ้น beta-2 receptor ที่กล้ามเนื้อลาย)</t>
        </is>
      </c>
      <c r="F107" s="2" t="inlineStr">
        <is>
          <t>ติดเชื้อราในช่องปาก (Oral candidiasis จากสเตียรอยด์พ่นสูด)</t>
        </is>
      </c>
      <c r="G107" s="2" t="inlineStr">
        <is>
          <t>เสียงแหบ (Dysphonia จากการระคายเคืองและ myopathy ที่กล่องเสียง)</t>
        </is>
      </c>
      <c r="H107" s="2" t="inlineStr">
        <is>
          <t>ปากแห้ง คอแห้ง รุนแรงจากการกดระบบประสาทพาราซิมพาเทติก</t>
        </is>
      </c>
      <c r="I107" s="8" t="n">
        <v>5</v>
      </c>
      <c r="J107" s="2"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2" t="n"/>
      <c r="L107" s="2" t="inlineStr">
        <is>
          <t>Asthma/COPD</t>
        </is>
      </c>
      <c r="M107" s="2" t="inlineStr">
        <is>
          <t>Clinic</t>
        </is>
      </c>
      <c r="N107" s="2" t="inlineStr">
        <is>
          <t>ข้อสอบมาตรฐาน PLE-CC</t>
        </is>
      </c>
      <c r="O107" s="2" t="n"/>
      <c r="P107" s="2" t="n"/>
    </row>
    <row r="108" ht="13.2" customHeight="1" s="49">
      <c r="A108" s="8" t="n">
        <v>106</v>
      </c>
      <c r="B108" s="2"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2" t="n"/>
      <c r="D108" s="2" t="inlineStr">
        <is>
          <t>สภาพภูมิอากาศและมลพิษทางอากาศภายนอกโรงงาน</t>
        </is>
      </c>
      <c r="E108" s="2" t="inlineStr">
        <is>
          <t>ประวัติการสูบบุหรี่ในอดีตที่เลิกไปแล้ว 10 ปี</t>
        </is>
      </c>
      <c r="F108" s="2" t="inlineStr">
        <is>
          <t>ภาวะอ้วนและดัชนีมวลกายที่สูงเกินเกณฑ์</t>
        </is>
      </c>
      <c r="G108" s="2" t="inlineStr">
        <is>
          <t>ขนาดยาควบคุมอาการ Inhaled Corticosteroid (ICS) ที่ไม่เหมาะสมและการตรวจสอบเทคนิคการพ่นยา</t>
        </is>
      </c>
      <c r="H108" s="2" t="inlineStr">
        <is>
          <t>เพศหญิงและอายุที่เข้าสู่วัยหมดประจำเดือน</t>
        </is>
      </c>
      <c r="I108" s="8" t="n">
        <v>4</v>
      </c>
      <c r="J108" s="2"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2" t="n"/>
      <c r="L108" s="2" t="inlineStr">
        <is>
          <t>Asthma/COPD</t>
        </is>
      </c>
      <c r="M108" s="2" t="inlineStr">
        <is>
          <t>Clinic</t>
        </is>
      </c>
      <c r="N108" s="2" t="inlineStr">
        <is>
          <t>ข้อสอบมาตรฐาน PLE-CC</t>
        </is>
      </c>
      <c r="O108" s="2" t="n"/>
      <c r="P108" s="2" t="n"/>
    </row>
    <row r="109" ht="13.2" customHeight="1" s="49">
      <c r="A109" s="8" t="n">
        <v>107</v>
      </c>
      <c r="B109" s="2" t="inlineStr">
        <is>
          <t>ข้อใดอธิบายกลไกการออกฤทธิ์ระดับเซลล์ของยา Salmeterol ได้อย่างถูกต้อง</t>
        </is>
      </c>
      <c r="C109" s="2" t="n"/>
      <c r="D109" s="2" t="inlineStr">
        <is>
          <t>กระตุ้น Phospholipase C เพิ่มการหลั่ง intracellular Calcium</t>
        </is>
      </c>
      <c r="E109" s="2" t="inlineStr">
        <is>
          <t>กระตุ้น Adenylyl cyclase เพิ่มระดับ cyclic AMP (cAMP) ในเซลล์กล้ามเนื้อเรียบหลอดลม</t>
        </is>
      </c>
      <c r="F109" s="2" t="inlineStr">
        <is>
          <t>ยับยั้งเอนไซม์ Phosphodiesterase (PDE) ลดการสลายตัวของ cyclic GMP</t>
        </is>
      </c>
      <c r="G109" s="2" t="inlineStr">
        <is>
          <t>ปิดกั้นตัวรับ Muscarinic M3 receptor ยับยั้งการหดเกร็งของหลอดลม</t>
        </is>
      </c>
      <c r="H109" s="2" t="inlineStr">
        <is>
          <t>กระตุ้นการเปิด Voltage-gated Calcium channels ในเซลล์ทางเดินหายใจ</t>
        </is>
      </c>
      <c r="I109" s="8" t="n">
        <v>2</v>
      </c>
      <c r="J109" s="2"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2" t="n"/>
      <c r="L109" s="2" t="inlineStr">
        <is>
          <t>Asthma/COPD</t>
        </is>
      </c>
      <c r="M109" s="2" t="inlineStr">
        <is>
          <t>Clinic</t>
        </is>
      </c>
      <c r="N109" s="2" t="inlineStr">
        <is>
          <t>ข้อสอบมาตรฐาน PLE-CC</t>
        </is>
      </c>
      <c r="O109" s="2" t="n"/>
      <c r="P109" s="2" t="n"/>
    </row>
    <row r="110" ht="13.2" customHeight="1" s="49">
      <c r="A110" t="n">
        <v>108</v>
      </c>
      <c r="B110"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D110" t="inlineStr">
        <is>
          <t>GOLD 1</t>
        </is>
      </c>
      <c r="E110" t="inlineStr">
        <is>
          <t>GOLD 2</t>
        </is>
      </c>
      <c r="F110" t="inlineStr">
        <is>
          <t>GOLD 3</t>
        </is>
      </c>
      <c r="G110" t="inlineStr">
        <is>
          <t>GOLD 4</t>
        </is>
      </c>
      <c r="H110" t="inlineStr">
        <is>
          <t>GOLD 5</t>
        </is>
      </c>
      <c r="I110" t="inlineStr">
        <is>
          <t>1</t>
        </is>
      </c>
      <c r="J110"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0" t="inlineStr">
        <is>
          <t>Hypertension</t>
        </is>
      </c>
      <c r="M110" t="inlineStr">
        <is>
          <t>Clinic</t>
        </is>
      </c>
      <c r="N110" t="inlineStr">
        <is>
          <t>ข้อ 61 (Pharmtutor_2024_Set1.md)</t>
        </is>
      </c>
    </row>
    <row r="111" ht="13.2" customHeight="1" s="49">
      <c r="A111" t="n">
        <v>109</v>
      </c>
      <c r="B111"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D111" t="inlineStr">
        <is>
          <t>Mycoplasma pneumoniae</t>
        </is>
      </c>
      <c r="E111" t="inlineStr">
        <is>
          <t>Staphylococcus aureus</t>
        </is>
      </c>
      <c r="F111" t="inlineStr">
        <is>
          <t>Pseudomonas aeruginosa</t>
        </is>
      </c>
      <c r="G111" t="inlineStr">
        <is>
          <t>Klebsiella pneumoniae</t>
        </is>
      </c>
      <c r="H111" t="inlineStr">
        <is>
          <t>Acinetobacter baumannii</t>
        </is>
      </c>
      <c r="I111" t="inlineStr">
        <is>
          <t>1</t>
        </is>
      </c>
      <c r="J111"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1" t="inlineStr">
        <is>
          <t>Hypertension</t>
        </is>
      </c>
      <c r="M111" t="inlineStr">
        <is>
          <t>Clinic</t>
        </is>
      </c>
      <c r="N111" t="inlineStr">
        <is>
          <t>ข้อ 44 (Pharmtutor_2024_Set2.md)</t>
        </is>
      </c>
    </row>
    <row r="112" ht="13.2" customHeight="1" s="49">
      <c r="A112" t="n">
        <v>110</v>
      </c>
      <c r="B112" t="inlineStr">
        <is>
          <t>โดยผู้ป่วยดังกล่าวมีการวัดสมรรถปอดได้ค่า FEV1 เท่ากับ 68 mMRc = 3 ผู้ป่วยรายนี้จัดมีการทำงานของปอดอยู่ระดับใดตาม GOLD guildline</t>
        </is>
      </c>
      <c r="D112" t="inlineStr">
        <is>
          <t>Gold 1</t>
        </is>
      </c>
      <c r="E112" t="inlineStr">
        <is>
          <t>Gold 2</t>
        </is>
      </c>
      <c r="F112" t="inlineStr">
        <is>
          <t>Gold 3</t>
        </is>
      </c>
      <c r="G112" t="inlineStr">
        <is>
          <t>Gold 4</t>
        </is>
      </c>
      <c r="H112" t="inlineStr">
        <is>
          <t>Gold 5</t>
        </is>
      </c>
      <c r="I112" t="inlineStr">
        <is>
          <t>1</t>
        </is>
      </c>
      <c r="J112"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2" t="inlineStr">
        <is>
          <t>Hypertension</t>
        </is>
      </c>
      <c r="M112" t="inlineStr">
        <is>
          <t>Clinic</t>
        </is>
      </c>
      <c r="N112" t="inlineStr">
        <is>
          <t>ข้อ 59 (Pharmtutor_2024_Set2.md)</t>
        </is>
      </c>
    </row>
    <row r="113" ht="13.2" customHeight="1" s="49">
      <c r="A113" t="n">
        <v>111</v>
      </c>
      <c r="B113"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D113" t="inlineStr">
        <is>
          <t>3 g Myristyl alcohol 33.3 g</t>
        </is>
      </c>
      <c r="E113" t="inlineStr">
        <is>
          <t>Warfarin 3 mg OD (target INR 2.0-3.0)</t>
        </is>
      </c>
      <c r="F113" t="inlineStr">
        <is>
          <t>Furosemide 40 mg OD</t>
        </is>
      </c>
      <c r="G113" t="inlineStr">
        <is>
          <t>Amlodipine 5 mg OD</t>
        </is>
      </c>
      <c r="H113" t="inlineStr">
        <is>
          <t>Losartan 50 mg OD</t>
        </is>
      </c>
      <c r="I113" t="inlineStr">
        <is>
          <t>1</t>
        </is>
      </c>
      <c r="J113"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113" t="inlineStr">
        <is>
          <t>Hypertension</t>
        </is>
      </c>
      <c r="M113" t="inlineStr">
        <is>
          <t>Clinic</t>
        </is>
      </c>
      <c r="N113" t="inlineStr">
        <is>
          <t>ข้อ 5 (PLE_CC1_Key_Rx20_UBU.md)</t>
        </is>
      </c>
    </row>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8" t="inlineStr">
        <is>
          <t>1</t>
        </is>
      </c>
      <c r="B3" s="2"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2" t="n"/>
      <c r="D3" s="2" t="inlineStr">
        <is>
          <t>Lynestrenol</t>
        </is>
      </c>
      <c r="E3" s="2" t="inlineStr">
        <is>
          <t>Levonorgestrel</t>
        </is>
      </c>
      <c r="F3" s="2" t="inlineStr">
        <is>
          <t>Ethinyl estradiol + levonorgestrel</t>
        </is>
      </c>
      <c r="G3" s="2" t="inlineStr">
        <is>
          <t>Ethinyl estradiol + desogestrel</t>
        </is>
      </c>
      <c r="H3" s="2" t="inlineStr">
        <is>
          <t>Ethinyl estradiol + gestodene</t>
        </is>
      </c>
      <c r="I3" s="8" t="n">
        <v>1</v>
      </c>
      <c r="J3"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2" t="n"/>
      <c r="L3" s="2" t="inlineStr">
        <is>
          <t>Oral contraceptive</t>
        </is>
      </c>
      <c r="M3" s="2" t="inlineStr">
        <is>
          <t>Clinic</t>
        </is>
      </c>
      <c r="N3" s="2" t="inlineStr">
        <is>
          <t>ข้อ 1 Pharma Plus เล่มม่วง (เฉลยข้อ ก)</t>
        </is>
      </c>
      <c r="O3" s="2" t="n"/>
      <c r="P3" s="2" t="n"/>
    </row>
    <row r="4" ht="13.2" customHeight="1" s="49">
      <c r="A4" s="8" t="inlineStr">
        <is>
          <t>2</t>
        </is>
      </c>
      <c r="B4" s="2"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2" t="n"/>
      <c r="D4" s="2" t="inlineStr">
        <is>
          <t>ไม่จำเป็นต้องคุมกำเนิดฉุกเฉิน เพราะช่วงเวลาที่มีเพศสัมพันธ์นั้นอยู่ในระยะปลอดภัย</t>
        </is>
      </c>
      <c r="E4" s="2" t="inlineStr">
        <is>
          <t>ให้รอดทดสอบการตั้งครรภ์ เพราะเลยระยะเวลาที่ยาคุมกำเนิดฉุกเฉินจะมีประสิทธิภาพ</t>
        </is>
      </c>
      <c r="F4" s="2" t="inlineStr">
        <is>
          <t>Ethinyl estradiol 2.5 mg วันละ 2 ครั้งเป็นเวลา 3 วัน</t>
        </is>
      </c>
      <c r="G4" s="2" t="inlineStr">
        <is>
          <t>Levonorgestrel 0.75 mg 2 เม็ด 2 ครั้งห่างกันไม่เกิน 12 ชม.</t>
        </is>
      </c>
      <c r="H4" s="2" t="inlineStr">
        <is>
          <t>ยาคุมที่มี ethinyl estradiol 50 mcg + levonorgestrel 0.25 mg 1 เม็ด 2 ครั้งห่างกันไม่เกิน 12 ชม.</t>
        </is>
      </c>
      <c r="I4" s="8" t="n">
        <v>4</v>
      </c>
      <c r="J4" s="2"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2" t="n"/>
      <c r="L4" s="2" t="inlineStr">
        <is>
          <t>Oral contraceptive</t>
        </is>
      </c>
      <c r="M4" s="2" t="inlineStr">
        <is>
          <t>Clinic</t>
        </is>
      </c>
      <c r="N4" s="2" t="inlineStr">
        <is>
          <t>ข้อ 2 Pharma Plus เล่มม่วง (เฉลยข้อ )</t>
        </is>
      </c>
      <c r="O4" s="2" t="n"/>
      <c r="P4" s="2" t="n"/>
    </row>
    <row r="5" ht="13.2" customHeight="1" s="49">
      <c r="A5" s="8" t="inlineStr">
        <is>
          <t>3</t>
        </is>
      </c>
      <c r="B5" s="2" t="inlineStr">
        <is>
          <t>ใช้ยาคุมที่มี ethinyl estradiol ไม่มีปัญหาในการเกิดปฏิกิริยาระหว่างยากรณีใดบ้าง</t>
        </is>
      </c>
      <c r="C5" s="2" t="n"/>
      <c r="D5" s="2" t="inlineStr">
        <is>
          <t>ในผู้ป่วยวัณโรคที่ใช้ rifampin อย่างต่อเนื่อง</t>
        </is>
      </c>
      <c r="E5" s="2" t="inlineStr">
        <is>
          <t>ในผู้ป่วยที่ได้รับ corticosteroid เป็นเวลาหลายเดือน</t>
        </is>
      </c>
      <c r="F5" s="2" t="inlineStr">
        <is>
          <t>ในผู้ป่วยที่ได้รับ barbiturate อย่างต่อเนื่อง</t>
        </is>
      </c>
      <c r="G5" s="2" t="inlineStr">
        <is>
          <t>ในผู้ป่วยที่ใช้ยา phenytoin ป้องกันการชัก</t>
        </is>
      </c>
      <c r="H5" s="2" t="inlineStr">
        <is>
          <t>ในผู้ป่วยที่ได้รับ aspirin อย่างต่อเนื่อง</t>
        </is>
      </c>
      <c r="I5" s="8" t="n">
        <v>5</v>
      </c>
      <c r="J5" s="2" t="inlineStr">
        <is>
          <t>✅ คำตอบที่ถูกต้อง: ข้อ จ. ในผู้ป่วยที่ได้รับ aspirin อย่างต่อเนื่อง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2" t="n"/>
      <c r="L5" s="2" t="inlineStr">
        <is>
          <t>Oral contraceptive</t>
        </is>
      </c>
      <c r="M5" s="2" t="inlineStr">
        <is>
          <t>Clinic</t>
        </is>
      </c>
      <c r="N5" s="2" t="inlineStr">
        <is>
          <t>ข้อ 3 Pharma Plus เล่มม่วง (เฉลยข้อ จ)</t>
        </is>
      </c>
      <c r="O5" s="2" t="n"/>
      <c r="P5" s="2" t="n"/>
    </row>
    <row r="6" ht="13.2" customHeight="1" s="49">
      <c r="A6" s="8" t="inlineStr">
        <is>
          <t>4</t>
        </is>
      </c>
      <c r="B6" s="2" t="inlineStr">
        <is>
          <t>ข้อใดไม่ถูกต้องเกี่ยวกับ ethinyl estradiol + levonorgestrel</t>
        </is>
      </c>
      <c r="C6" s="2" t="n"/>
      <c r="D6" s="2" t="inlineStr">
        <is>
          <t>Ethinyl estradiol เป็นยาในกลุ่ม estrogen</t>
        </is>
      </c>
      <c r="E6" s="2" t="inlineStr">
        <is>
          <t>Levonorgestrel เป็นยาในกลุ่ม progestins</t>
        </is>
      </c>
      <c r="F6" s="2" t="inlineStr">
        <is>
          <t>การให้ ethinyl estradiol 0.03 mg + levonorgestrel 0.15 mg ในทุกเม็ดของการให้แบบ biphasic combination โดยมียา 2 ชนิดในแผง</t>
        </is>
      </c>
      <c r="G6" s="2" t="inlineStr">
        <is>
          <t>Levonorgestrel 1.5 mg stat (Emergency)</t>
        </is>
      </c>
      <c r="H6" s="2" t="inlineStr">
        <is>
          <t>Levonorgestrel เป็น isomer หนึ่งของ norgestrel</t>
        </is>
      </c>
      <c r="I6" s="8" t="n">
        <v>3</v>
      </c>
      <c r="J6" s="2"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2" t="n"/>
      <c r="L6" s="2" t="inlineStr">
        <is>
          <t>Oral contraceptive</t>
        </is>
      </c>
      <c r="M6" s="2" t="inlineStr">
        <is>
          <t>Clinic</t>
        </is>
      </c>
      <c r="N6" s="2" t="inlineStr">
        <is>
          <t>ข้อ 4 Pharma Plus เล่มม่วง (เฉลยข้อ ค)</t>
        </is>
      </c>
      <c r="O6" s="2" t="n"/>
      <c r="P6" s="2" t="n"/>
    </row>
    <row r="7" ht="13.2" customHeight="1" s="49">
      <c r="A7" s="8" t="inlineStr">
        <is>
          <t>5</t>
        </is>
      </c>
      <c r="B7" s="2" t="inlineStr">
        <is>
          <t>ข้อใดผิดเกี่ยวกับยาคุมกำเนิด 2 ชนิดนี้
- Lynestrenol
- Norethindrone
ข้อใดผิดเกี่ยวกับยาคุมกำเนิด 2 ชนิดนี้</t>
        </is>
      </c>
      <c r="C7" s="2" t="n"/>
      <c r="D7" s="2" t="inlineStr">
        <is>
          <t>Lynestrenol เป็นยาในกลุ่ม estrogen</t>
        </is>
      </c>
      <c r="E7" s="2" t="inlineStr">
        <is>
          <t>Norethindrone เป็นยาในกลุ่ม progestins</t>
        </is>
      </c>
      <c r="F7" s="2" t="inlineStr">
        <is>
          <t>Norethindrone มีผล androgenic effect เพราะมีโครงสร้างคล้ายกับ testosterone</t>
        </is>
      </c>
      <c r="G7" s="2" t="inlineStr">
        <is>
          <t>Lynestrenol มีผล androgenic effect ต่ำกว่า norethindrone</t>
        </is>
      </c>
      <c r="H7" s="2" t="inlineStr">
        <is>
          <t>หมู่ -C≡CH ในโครงสร้างทั้ง 2 ชนิดนี้จะขัดขวางการเกิด oxidation ของหมู่ -OH ไปเป็น ketone</t>
        </is>
      </c>
      <c r="I7" s="8" t="n">
        <v>1</v>
      </c>
      <c r="J7" s="2" t="inlineStr">
        <is>
          <t>✅ คำตอบที่ถูกต้อง: ข้อ ก. Lynestrenol เป็นยาในกลุ่ม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2" t="n"/>
      <c r="L7" s="2" t="inlineStr">
        <is>
          <t>Oral contraceptive</t>
        </is>
      </c>
      <c r="M7" s="2" t="inlineStr">
        <is>
          <t>Clinic</t>
        </is>
      </c>
      <c r="N7" s="2" t="inlineStr">
        <is>
          <t>ข้อ 5 Pharma Plus เล่มม่วง (เฉลยข้อ ก)</t>
        </is>
      </c>
      <c r="O7" s="2" t="n"/>
      <c r="P7" s="2" t="n"/>
    </row>
    <row r="8" ht="13.2" customHeight="1" s="49">
      <c r="A8" s="8" t="inlineStr">
        <is>
          <t>6</t>
        </is>
      </c>
      <c r="B8" s="2" t="inlineStr">
        <is>
          <t>Rx. Levonorgestrel 0.75 mg/tab จำนวน 2 กล่อง
คำแนะนำของการใช้ยาคุมกำเนิดฉุกเฉินข้อใดถูกต้อง</t>
        </is>
      </c>
      <c r="C8" s="2" t="n"/>
      <c r="D8" s="2" t="inlineStr">
        <is>
          <t>กินครั้งเดียว 2 เม็ด</t>
        </is>
      </c>
      <c r="E8" s="2" t="inlineStr">
        <is>
          <t>กินเม็ดแรก 1 ชม. เม็ดที่ 2 ภายใน 48 ชม.</t>
        </is>
      </c>
      <c r="F8" s="2" t="inlineStr">
        <is>
          <t>กิน 1 เม็ดแรก ภายใน 72 ชม. เม็ดที่ 2 ภายใน 12 ชม.</t>
        </is>
      </c>
      <c r="G8" s="2" t="inlineStr">
        <is>
          <t>กิน 1 เม็ดแรก ภายใน 72 ชม. เม็ดที่ 2 ภายใน 24 ชม.</t>
        </is>
      </c>
      <c r="H8" s="2" t="inlineStr">
        <is>
          <t>กินไม่เกินเดือนละ 4 กล่อง</t>
        </is>
      </c>
      <c r="I8" s="8" t="n">
        <v>1</v>
      </c>
      <c r="J8" s="2" t="inlineStr">
        <is>
          <t>✅ คำตอบที่ถูกต้อง: ข้อ ก. กินครั้งเดียว 2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2" t="n"/>
      <c r="L8" s="2" t="inlineStr">
        <is>
          <t>Oral contraceptive</t>
        </is>
      </c>
      <c r="M8" s="2" t="inlineStr">
        <is>
          <t>Clinic</t>
        </is>
      </c>
      <c r="N8" s="2" t="inlineStr">
        <is>
          <t>ข้อ 6 Pharma Plus เล่มม่วง (เฉลยข้อ ก ค)</t>
        </is>
      </c>
      <c r="O8" s="2" t="n"/>
      <c r="P8" s="2" t="n"/>
    </row>
    <row r="9" ht="13.2" customHeight="1" s="49">
      <c r="A9" s="8" t="inlineStr">
        <is>
          <t>7</t>
        </is>
      </c>
      <c r="B9" s="2" t="inlineStr">
        <is>
          <t>ฮอร์โมนคุมกำเนิดไม่ใช่ในการรักษาอะไร</t>
        </is>
      </c>
      <c r="C9" s="2" t="n"/>
      <c r="D9" s="2" t="inlineStr">
        <is>
          <t>สิว</t>
        </is>
      </c>
      <c r="E9" s="2" t="inlineStr">
        <is>
          <t>ประจำเดือนมามากผิดปกติ</t>
        </is>
      </c>
      <c r="F9" s="2" t="inlineStr">
        <is>
          <t>ฝ้า</t>
        </is>
      </c>
      <c r="G9" s="2" t="inlineStr">
        <is>
          <t>ประจำเดือนมากกระปริดกระปรอย</t>
        </is>
      </c>
      <c r="H9" s="2" t="inlineStr">
        <is>
          <t>เลื่อนประจำเดือน</t>
        </is>
      </c>
      <c r="I9" s="8" t="n">
        <v>3</v>
      </c>
      <c r="J9" s="2" t="inlineStr">
        <is>
          <t>✅ คำตอบที่ถูกต้อง: ข้อ ค. ฝ้า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2" t="n"/>
      <c r="L9" s="2" t="inlineStr">
        <is>
          <t>Oral contraceptive</t>
        </is>
      </c>
      <c r="M9" s="2" t="inlineStr">
        <is>
          <t>Clinic</t>
        </is>
      </c>
      <c r="N9" s="2" t="inlineStr">
        <is>
          <t>ข้อ 7 Pharma Plus เล่มม่วง (เฉลยข้อ ค)</t>
        </is>
      </c>
      <c r="O9" s="2" t="n"/>
      <c r="P9" s="2" t="n"/>
    </row>
    <row r="10" ht="13.2" customHeight="1" s="49">
      <c r="A10" s="8" t="inlineStr">
        <is>
          <t>8</t>
        </is>
      </c>
      <c r="B10" s="2" t="inlineStr">
        <is>
          <t>ทุกข้อเป็นประโยชน์ของ progestogen ยกเว้นข้อใด</t>
        </is>
      </c>
      <c r="C10" s="2" t="n"/>
      <c r="D10" s="2" t="inlineStr">
        <is>
          <t>ยับยั้งการตกไข่</t>
        </is>
      </c>
      <c r="E10" s="2" t="inlineStr">
        <is>
          <t>ฆ่า sperm</t>
        </is>
      </c>
      <c r="F10" s="2" t="inlineStr">
        <is>
          <t>กระตุ้นการตกไข่</t>
        </is>
      </c>
      <c r="G10" s="2" t="inlineStr">
        <is>
          <t>ทำให้มูกเหนียวขึ้น</t>
        </is>
      </c>
      <c r="H10" s="2" t="inlineStr">
        <is>
          <t>ทำให้ท่อนำไข่บีบตัว</t>
        </is>
      </c>
      <c r="I10" s="8" t="n">
        <v>2</v>
      </c>
      <c r="J10" s="2" t="inlineStr">
        <is>
          <t>✅ คำตอบที่ถูกต้อง: ข้อ ข. ฆ่า sperm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2" t="n"/>
      <c r="L10" s="2" t="inlineStr">
        <is>
          <t>Oral contraceptive</t>
        </is>
      </c>
      <c r="M10" s="2" t="inlineStr">
        <is>
          <t>Clinic</t>
        </is>
      </c>
      <c r="N10" s="2" t="inlineStr">
        <is>
          <t>ข้อ 8 Pharma Plus เล่มม่วง (เฉลยข้อ ข ค)</t>
        </is>
      </c>
      <c r="O10" s="2" t="n"/>
      <c r="P10" s="2" t="n"/>
    </row>
    <row r="11" ht="13.2" customHeight="1" s="49">
      <c r="A11" s="8" t="inlineStr">
        <is>
          <t>9</t>
        </is>
      </c>
      <c r="B11" s="2" t="inlineStr">
        <is>
          <t>ผู้ป่วยภาวะต่อไปนี้สามารถใช้ยาคุมกำเนิดชนิดฮอร์โมนรวมได้</t>
        </is>
      </c>
      <c r="C11" s="2" t="n"/>
      <c r="D11" s="2" t="inlineStr">
        <is>
          <t>Thromboembolism</t>
        </is>
      </c>
      <c r="E11" s="2" t="inlineStr">
        <is>
          <t>สงสัยว่าจะเป็นมะเร็งเต้านม</t>
        </is>
      </c>
      <c r="F11" s="2" t="inlineStr">
        <is>
          <t>สงสัยว่า จะตั้งครรภ์</t>
        </is>
      </c>
      <c r="G11" s="2" t="inlineStr">
        <is>
          <t>มีเลือดออกจากช่องคลอดผิดปกติที่ยังไม่ได้วินิจฉัย</t>
        </is>
      </c>
      <c r="H11" s="2" t="inlineStr">
        <is>
          <t>หญิงสูบบุหรี่ ที่มีอายุ &lt; 35 ปี</t>
        </is>
      </c>
      <c r="I11" s="8" t="n">
        <v>5</v>
      </c>
      <c r="J11" s="2" t="inlineStr">
        <is>
          <t>✅ คำตอบที่ถูกต้อง: ข้อ จ. หญิงสูบบุหรี่ ที่มีอายุ &lt; 35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2" t="n"/>
      <c r="L11" s="2" t="inlineStr">
        <is>
          <t>Oral contraceptive</t>
        </is>
      </c>
      <c r="M11" s="2" t="inlineStr">
        <is>
          <t>Clinic</t>
        </is>
      </c>
      <c r="N11" s="2" t="inlineStr">
        <is>
          <t>ข้อ 9 Pharma Plus เล่มม่วง (เฉลยข้อ จ)</t>
        </is>
      </c>
      <c r="O11" s="2" t="n"/>
      <c r="P11" s="2" t="n"/>
    </row>
    <row r="12" ht="13.2" customHeight="1" s="49">
      <c r="A12" s="8" t="inlineStr">
        <is>
          <t>10</t>
        </is>
      </c>
      <c r="B12" s="2" t="inlineStr">
        <is>
          <t>ถ้าผู้ป่วยใช้ conjugate estrogen + medroxyprogesterone acetate การให้คู่กันเพื่อเหตุผลใด</t>
        </is>
      </c>
      <c r="C12" s="2" t="n"/>
      <c r="D12" s="2" t="inlineStr">
        <is>
          <t>ใช้ในหญิงหมดประจำเดือนที่มีมดลูก</t>
        </is>
      </c>
      <c r="E12" s="2" t="inlineStr">
        <is>
          <t>ใช้เพื่อป้องกันโรคหัวใจในหญิงหมดประจำเดือน</t>
        </is>
      </c>
      <c r="F12" s="2" t="inlineStr">
        <is>
          <t>ใช้เพื่อรักษาโรคกระดูกพรุน ที่เกิดเนื่องจากขาดฮอร์โมน</t>
        </is>
      </c>
      <c r="G12" s="2" t="inlineStr">
        <is>
          <t>ใช้เพื่อรักษาอาการ vasomotor symptom</t>
        </is>
      </c>
      <c r="H12" s="2" t="inlineStr">
        <is>
          <t>มี progesterone เพื่อช่วยป้องกันมะเร็งมดลูก</t>
        </is>
      </c>
      <c r="I12" s="8" t="n">
        <v>5</v>
      </c>
      <c r="J12" s="2" t="inlineStr">
        <is>
          <t>✅ คำตอบที่ถูกต้อง: ข้อ จ. มี progesterone เพื่อช่วยป้องกันมะเร็งมดลูก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Hormonal replacement</t>
        </is>
      </c>
      <c r="M12" s="2" t="inlineStr">
        <is>
          <t>Clinic</t>
        </is>
      </c>
      <c r="N12" s="2" t="inlineStr">
        <is>
          <t>ข้อ 10 Pharma Plus เล่มม่วง (เฉลยข้อ จ)</t>
        </is>
      </c>
      <c r="O12" s="2" t="n"/>
      <c r="P12" s="2" t="n"/>
    </row>
    <row r="13" ht="13.2" customHeight="1" s="49">
      <c r="A13" s="8" t="inlineStr">
        <is>
          <t>11</t>
        </is>
      </c>
      <c r="B13" s="2" t="inlineStr">
        <is>
          <t>ในสตรีที่ไม่มีมดลูก และมีอาการเฉพาะที่ท่อปัสสาวะและช่องคลอดอักเสบ ยาในรูปแบบใดที่น่าจะเหมาะสมที่สุด</t>
        </is>
      </c>
      <c r="C13" s="2" t="n"/>
      <c r="D13" s="2" t="inlineStr">
        <is>
          <t>Intramuscular injection</t>
        </is>
      </c>
      <c r="E13" s="2" t="inlineStr">
        <is>
          <t>Oral tablet</t>
        </is>
      </c>
      <c r="F13" s="2" t="inlineStr">
        <is>
          <t>Transdermal patch</t>
        </is>
      </c>
      <c r="G13" s="2" t="inlineStr">
        <is>
          <t>Vagina cream</t>
        </is>
      </c>
      <c r="H13" s="2" t="inlineStr">
        <is>
          <t>ได้ทุกรูปแบบ</t>
        </is>
      </c>
      <c r="I13" s="8" t="n">
        <v>4</v>
      </c>
      <c r="J13" s="2" t="inlineStr">
        <is>
          <t>✅ คำตอบที่ถูกต้อง: ข้อ ง. Vagina cream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2" t="n"/>
      <c r="L13" s="2" t="inlineStr">
        <is>
          <t>Oral contraceptive</t>
        </is>
      </c>
      <c r="M13" s="2" t="inlineStr">
        <is>
          <t>Clinic</t>
        </is>
      </c>
      <c r="N13" s="2" t="inlineStr">
        <is>
          <t>ข้อ 11 Pharma Plus เล่มม่วง (เฉลยข้อ ง)</t>
        </is>
      </c>
      <c r="O13" s="2" t="n"/>
      <c r="P13" s="2" t="n"/>
    </row>
    <row r="14" ht="13.2" customHeight="1" s="49">
      <c r="A14" s="8" t="inlineStr">
        <is>
          <t>12</t>
        </is>
      </c>
      <c r="B14" s="2" t="inlineStr">
        <is>
          <t>Progestogen ใดที่มีฤทธิ์ anti-androgen</t>
        </is>
      </c>
      <c r="C14" s="2" t="n"/>
      <c r="D14" s="2" t="inlineStr">
        <is>
          <t>Norethisterone acetate</t>
        </is>
      </c>
      <c r="E14" s="2" t="inlineStr">
        <is>
          <t>Norethisterone enanthate</t>
        </is>
      </c>
      <c r="F14" s="2" t="inlineStr">
        <is>
          <t>Cyproterone acetate</t>
        </is>
      </c>
      <c r="G14" s="2" t="inlineStr">
        <is>
          <t>Levonorgestrel</t>
        </is>
      </c>
      <c r="H14" s="2" t="inlineStr">
        <is>
          <t>Mestranol</t>
        </is>
      </c>
      <c r="I14" s="8" t="n">
        <v>3</v>
      </c>
      <c r="J14" s="2" t="inlineStr">
        <is>
          <t>✅ คำตอบที่ถูกต้อง: ข้อ ค. Cyproterone acetate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n"/>
      <c r="L14" s="2" t="inlineStr">
        <is>
          <t>Oral contraceptive</t>
        </is>
      </c>
      <c r="M14" s="2" t="inlineStr">
        <is>
          <t>Clinic</t>
        </is>
      </c>
      <c r="N14" s="2" t="inlineStr">
        <is>
          <t>ข้อ 12 Pharma Plus เล่มม่วง (เฉลยข้อ ค)</t>
        </is>
      </c>
      <c r="O14" s="2" t="n"/>
      <c r="P14" s="2" t="n"/>
    </row>
    <row r="15" ht="13.2" customHeight="1" s="49">
      <c r="A15" s="8" t="inlineStr">
        <is>
          <t>13</t>
        </is>
      </c>
      <c r="B15" s="2" t="inlineStr">
        <is>
          <t>การใช้ hormone replacement therapy หรือ estrogen replacement therapy ควรระวังในผู้ป่วยประเภทใด</t>
        </is>
      </c>
      <c r="C15" s="2" t="n"/>
      <c r="D15" s="2" t="inlineStr">
        <is>
          <t>คนที่เสี่ยงต่อกระดูกพรุน</t>
        </is>
      </c>
      <c r="E15" s="2" t="inlineStr">
        <is>
          <t>คนที่ตัดรังไข่ทั้งสองข้าง</t>
        </is>
      </c>
      <c r="F15" s="2" t="inlineStr">
        <is>
          <t>ที่มีอาการช่องคลอดอักเสบ</t>
        </is>
      </c>
      <c r="G15" s="2" t="inlineStr">
        <is>
          <t>ที่เป็น hyperthyroid</t>
        </is>
      </c>
      <c r="H15" s="2" t="inlineStr">
        <is>
          <t>ที่เป็นโรคไขมัน ความดันโลหิตสูง</t>
        </is>
      </c>
      <c r="I15" s="8" t="n">
        <v>5</v>
      </c>
      <c r="J15" s="2" t="inlineStr">
        <is>
          <t>✅ คำตอบที่ถูกต้อง: ข้อ จ. ที่เป็นโรคไขมัน ความดันโลหิตสูง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Hormonal replacement</t>
        </is>
      </c>
      <c r="M15" s="2" t="inlineStr">
        <is>
          <t>Clinic</t>
        </is>
      </c>
      <c r="N15" s="2" t="inlineStr">
        <is>
          <t>ข้อ 13 Pharma Plus เล่มม่วง (เฉลยข้อ จ)</t>
        </is>
      </c>
      <c r="O15" s="2" t="n"/>
      <c r="P15" s="2" t="n"/>
    </row>
    <row r="16" ht="13.2" customHeight="1" s="49">
      <c r="A16" s="8" t="inlineStr">
        <is>
          <t>14</t>
        </is>
      </c>
      <c r="B16" s="2" t="inlineStr">
        <is>
          <t>Anti-estrogen ใดที่กระตุ้นการตกไข่ในผู้หญิงที่มีบุตรยาก</t>
        </is>
      </c>
      <c r="C16" s="2" t="n"/>
      <c r="D16" s="2" t="inlineStr">
        <is>
          <t>Oxandrolone</t>
        </is>
      </c>
      <c r="E16" s="2" t="inlineStr">
        <is>
          <t>Clomiphene citrate</t>
        </is>
      </c>
      <c r="F16" s="2" t="inlineStr">
        <is>
          <t>Tibolones</t>
        </is>
      </c>
      <c r="G16" s="2" t="inlineStr">
        <is>
          <t>Tamoxifen</t>
        </is>
      </c>
      <c r="H16" s="2" t="inlineStr">
        <is>
          <t>Progesterone</t>
        </is>
      </c>
      <c r="I16" s="8" t="n">
        <v>2</v>
      </c>
      <c r="J16" s="2" t="inlineStr">
        <is>
          <t>✅ คำตอบที่ถูกต้อง: ข้อ ข. Clomiphene citrate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Hormonal replacement</t>
        </is>
      </c>
      <c r="M16" s="2" t="inlineStr">
        <is>
          <t>Clinic</t>
        </is>
      </c>
      <c r="N16" s="2" t="inlineStr">
        <is>
          <t>ข้อ 14 Pharma Plus เล่มม่วง (เฉลยข้อ ข)</t>
        </is>
      </c>
      <c r="O16" s="2" t="n"/>
      <c r="P16" s="2" t="n"/>
    </row>
    <row r="17" ht="13.2" customHeight="1" s="49">
      <c r="A17" s="8" t="inlineStr">
        <is>
          <t>15</t>
        </is>
      </c>
      <c r="B17" s="2" t="inlineStr">
        <is>
          <t>ยาเม็ดคุมกำเนิดใช้ในการบำบัดรักษาภาวะต่าง ๆ ยกเว้น</t>
        </is>
      </c>
      <c r="C17" s="2" t="n"/>
      <c r="D17" s="2" t="inlineStr">
        <is>
          <t>เลื่อนประจำเดือน</t>
        </is>
      </c>
      <c r="E17" s="2" t="inlineStr">
        <is>
          <t>เยื่อบุโพรงมดลูกเจริญผิดปกติ</t>
        </is>
      </c>
      <c r="F17" s="2" t="inlineStr">
        <is>
          <t>ภาวะปวดประจำเดือน</t>
        </is>
      </c>
      <c r="G17" s="2" t="inlineStr">
        <is>
          <t>ภาวะประจำเดือนผิดปกติ</t>
        </is>
      </c>
      <c r="H17" s="2" t="inlineStr">
        <is>
          <t>ลดอาการคัดเต้านมหลังคลอดบุตร</t>
        </is>
      </c>
      <c r="I17" s="8" t="n">
        <v>5</v>
      </c>
      <c r="J17" s="2" t="inlineStr">
        <is>
          <t>✅ คำตอบที่ถูกต้อง: ข้อ จ. ลดอาการคัดเต้านมหลังคลอดบุตร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2" t="n"/>
      <c r="L17" s="2" t="inlineStr">
        <is>
          <t>Oral contraceptive</t>
        </is>
      </c>
      <c r="M17" s="2" t="inlineStr">
        <is>
          <t>Clinic</t>
        </is>
      </c>
      <c r="N17" s="2" t="inlineStr">
        <is>
          <t>ข้อ 15 Pharma Plus เล่มม่วง (เฉลยข้อ จ)</t>
        </is>
      </c>
      <c r="O17" s="2" t="n"/>
      <c r="P17" s="2" t="n"/>
    </row>
    <row r="18" ht="13.2" customHeight="1" s="49">
      <c r="A18" s="8" t="inlineStr">
        <is>
          <t>16</t>
        </is>
      </c>
      <c r="B18" s="2" t="inlineStr">
        <is>
          <t>ยาที่มีผลกระตุ้นการหลั่ง prolactin ยกเว้น</t>
        </is>
      </c>
      <c r="C18" s="2" t="n"/>
      <c r="D18" s="2" t="inlineStr">
        <is>
          <t>Reserpine</t>
        </is>
      </c>
      <c r="E18" s="2" t="inlineStr">
        <is>
          <t>Domperidone</t>
        </is>
      </c>
      <c r="F18" s="2" t="inlineStr">
        <is>
          <t>Phenothiazine</t>
        </is>
      </c>
      <c r="G18" s="2" t="inlineStr">
        <is>
          <t>Levodopa</t>
        </is>
      </c>
      <c r="H18" s="2" t="inlineStr">
        <is>
          <t>Butyrophenone</t>
        </is>
      </c>
      <c r="I18" s="8" t="n">
        <v>4</v>
      </c>
      <c r="J18" s="2" t="inlineStr">
        <is>
          <t>✅ คำตอบที่ถูกต้อง: ข้อ ง. Levodopa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2" t="n"/>
      <c r="L18" s="2" t="inlineStr">
        <is>
          <t>Oral contraceptive</t>
        </is>
      </c>
      <c r="M18" s="2" t="inlineStr">
        <is>
          <t>Clinic</t>
        </is>
      </c>
      <c r="N18" s="2" t="inlineStr">
        <is>
          <t>ข้อ 16 Pharma Plus เล่มม่วง (เฉลยข้อ ง)</t>
        </is>
      </c>
      <c r="O18" s="2" t="n"/>
      <c r="P18" s="2" t="n"/>
    </row>
    <row r="19" ht="13.2" customHeight="1" s="49">
      <c r="A19" s="8" t="inlineStr">
        <is>
          <t>17</t>
        </is>
      </c>
      <c r="B19" s="2" t="inlineStr">
        <is>
          <t>อาการข้างเคียงข้อใดเกิดจากการมี estrogen มากเกินไป</t>
        </is>
      </c>
      <c r="C19" s="2" t="n"/>
      <c r="D19" s="2" t="inlineStr">
        <is>
          <t>เป็นฝ้า</t>
        </is>
      </c>
      <c r="E19" s="2" t="inlineStr">
        <is>
          <t>เป็นสิว</t>
        </is>
      </c>
      <c r="F19" s="2" t="inlineStr">
        <is>
          <t>Noncyclic weight gain</t>
        </is>
      </c>
      <c r="G19" s="2" t="inlineStr">
        <is>
          <t>Hypomenorrhea</t>
        </is>
      </c>
      <c r="H19" s="2" t="inlineStr">
        <is>
          <t>เต้านมเล็กลง</t>
        </is>
      </c>
      <c r="I19" s="8" t="n">
        <v>3</v>
      </c>
      <c r="J19" s="2" t="inlineStr">
        <is>
          <t>✅ คำตอบที่ถูกต้อง: ข้อ ค. Noncyclic weight gain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Hormonal replacement</t>
        </is>
      </c>
      <c r="M19" s="2" t="inlineStr">
        <is>
          <t>Clinic</t>
        </is>
      </c>
      <c r="N19" s="2" t="inlineStr">
        <is>
          <t>ข้อ 17 Pharma Plus เล่มม่วง (เฉลยข้อ ค)</t>
        </is>
      </c>
      <c r="O19" s="2" t="n"/>
      <c r="P19" s="2" t="n"/>
    </row>
    <row r="20" ht="13.2" customHeight="1" s="49">
      <c r="A20" s="8" t="inlineStr">
        <is>
          <t>18</t>
        </is>
      </c>
      <c r="B20" s="2" t="inlineStr">
        <is>
          <t>ข้อใดไม่ใช่ clinical use ของ progesterone</t>
        </is>
      </c>
      <c r="C20" s="2" t="n"/>
      <c r="D20" s="2" t="inlineStr">
        <is>
          <t>Contraceptive</t>
        </is>
      </c>
      <c r="E20" s="2" t="inlineStr">
        <is>
          <t>Endometriosis</t>
        </is>
      </c>
      <c r="F20" s="2" t="inlineStr">
        <is>
          <t>Dysfunction uterine bleeding</t>
        </is>
      </c>
      <c r="G20" s="2" t="inlineStr">
        <is>
          <t>การเลื่อนกำหนดการมีประจำเดือน</t>
        </is>
      </c>
      <c r="H20" s="2" t="inlineStr">
        <is>
          <t>มะเร็งเต้านม</t>
        </is>
      </c>
      <c r="I20" s="8" t="n">
        <v>5</v>
      </c>
      <c r="J20" s="2" t="inlineStr">
        <is>
          <t>✅ คำตอบที่ถูกต้อง: ข้อ จ.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Hormonal replacement</t>
        </is>
      </c>
      <c r="M20" s="2" t="inlineStr">
        <is>
          <t>Clinic</t>
        </is>
      </c>
      <c r="N20" s="2" t="inlineStr">
        <is>
          <t>ข้อ 18 Pharma Plus เล่มม่วง (เฉลยข้อ จ)</t>
        </is>
      </c>
      <c r="O20" s="2" t="n"/>
      <c r="P20" s="2" t="n"/>
    </row>
    <row r="21" ht="13.2" customHeight="1" s="49">
      <c r="A21" s="8" t="inlineStr">
        <is>
          <t>19</t>
        </is>
      </c>
      <c r="B21" s="2" t="inlineStr">
        <is>
          <t>วิธีคุมกำเนิดชนิดใดมีประสิทธิภาพในการคุมกำเนิดได้ดีที่สุด</t>
        </is>
      </c>
      <c r="C21" s="2" t="n"/>
      <c r="D21" s="2" t="inlineStr">
        <is>
          <t>ยาเม็ดคุมกำเนิด</t>
        </is>
      </c>
      <c r="E21" s="2" t="inlineStr">
        <is>
          <t>ถุงยางอนามัย</t>
        </is>
      </c>
      <c r="F21" s="2" t="inlineStr">
        <is>
          <t>ใส่ห่วงอนามัย</t>
        </is>
      </c>
      <c r="G21" s="2" t="inlineStr">
        <is>
          <t>การนับระยะปลอดภัย</t>
        </is>
      </c>
      <c r="H21" s="2" t="inlineStr">
        <is>
          <t>ใช้ยาฆ่าอสุจิ</t>
        </is>
      </c>
      <c r="I21" s="8" t="n">
        <v>3</v>
      </c>
      <c r="J21" s="2" t="inlineStr">
        <is>
          <t>✅ คำตอบที่ถูกต้อง: ข้อ ค. ใส่ห่วงอนามัย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2" t="n"/>
      <c r="L21" s="2" t="inlineStr">
        <is>
          <t>Oral contraceptive</t>
        </is>
      </c>
      <c r="M21" s="2" t="inlineStr">
        <is>
          <t>Clinic</t>
        </is>
      </c>
      <c r="N21" s="2" t="inlineStr">
        <is>
          <t>ข้อ 19 Pharma Plus เล่มม่วง (เฉลยข้อ ค)</t>
        </is>
      </c>
      <c r="O21" s="2" t="n"/>
      <c r="P21" s="2" t="n"/>
    </row>
    <row r="22" ht="13.2" customHeight="1" s="49">
      <c r="A22" s="8" t="inlineStr">
        <is>
          <t>20</t>
        </is>
      </c>
      <c r="B22" s="2" t="inlineStr">
        <is>
          <t>Levonorgestrel สามารถใช้ในการคุมกำเนิดในผู้ป่วยกลุ่มใด</t>
        </is>
      </c>
      <c r="C22" s="2" t="n"/>
      <c r="D22" s="2" t="inlineStr">
        <is>
          <t>สตรีมีครรภ์</t>
        </is>
      </c>
      <c r="E22" s="2" t="inlineStr">
        <is>
          <t>ผู้ป่วย ischemic heart disease</t>
        </is>
      </c>
      <c r="F22" s="2" t="inlineStr">
        <is>
          <t>ผู้ป่วย hypertension</t>
        </is>
      </c>
      <c r="G22" s="2" t="inlineStr">
        <is>
          <t>ผู้ป่วยประวัติ breast cancer</t>
        </is>
      </c>
      <c r="H22" s="2" t="inlineStr">
        <is>
          <t>ผู้ป่วยโรคหอบหืด</t>
        </is>
      </c>
      <c r="I22" s="8" t="n">
        <v>2</v>
      </c>
      <c r="J22" s="2" t="inlineStr">
        <is>
          <t>✅ คำตอบที่ถูกต้อง: ข้อ ข. ผู้ป่วย ischemic heart disease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2" t="n"/>
      <c r="L22" s="2" t="inlineStr">
        <is>
          <t>Oral contraceptive</t>
        </is>
      </c>
      <c r="M22" s="2" t="inlineStr">
        <is>
          <t>Clinic</t>
        </is>
      </c>
      <c r="N22" s="2" t="inlineStr">
        <is>
          <t>ข้อ 20 Pharma Plus เล่มม่วง (เฉลยข้อ ข ค ง จ)</t>
        </is>
      </c>
      <c r="O22" s="2" t="n"/>
      <c r="P22" s="2" t="n"/>
    </row>
    <row r="23" ht="13.2" customHeight="1" s="49">
      <c r="A23" s="8" t="inlineStr">
        <is>
          <t>21</t>
        </is>
      </c>
      <c r="B23" s="2" t="inlineStr">
        <is>
          <t>ข้อใดต่อไปนี้ผิดเกี่ยวกับ levonorgestrel</t>
        </is>
      </c>
      <c r="C23" s="2" t="n"/>
      <c r="D23" s="2" t="inlineStr">
        <is>
          <t>มีกลไกการออกฤทธิ์ คือ ยับยั้งการตกไข่</t>
        </is>
      </c>
      <c r="E23" s="2" t="inlineStr">
        <is>
          <t>ประสิทธิภาพในการป้องกันการตั้งครรภ์จะสูงสุด ถ้ารับหลังการร่วมเพศทันที</t>
        </is>
      </c>
      <c r="F23" s="2" t="inlineStr">
        <is>
          <t>ประสิทธิภาพในการป้องกันการตั้งครรภ์จะเทียบเท่ากับการใช้ยาเม็ดคุมกำเนิดทั่วไป</t>
        </is>
      </c>
      <c r="G23" s="2" t="inlineStr">
        <is>
          <t>มี side effect คือ ปวดหัวนะ คลื่นไส้ อาเจียน</t>
        </is>
      </c>
      <c r="H23" s="2" t="inlineStr">
        <is>
          <t>ประสิทธิภาพในการป้องกันการตั้งครรภ์จะลดลง ถ้าร่วมกับ barbiturate ที่เป็น hepatic drug metabolizing enzyme inducer</t>
        </is>
      </c>
      <c r="I23" s="8" t="n">
        <v>3</v>
      </c>
      <c r="J23" s="2"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2" t="n"/>
      <c r="L23" s="2" t="inlineStr">
        <is>
          <t>Oral contraceptive</t>
        </is>
      </c>
      <c r="M23" s="2" t="inlineStr">
        <is>
          <t>Clinic</t>
        </is>
      </c>
      <c r="N23" s="2" t="inlineStr">
        <is>
          <t>ข้อ 21 Pharma Plus เล่มม่วง (เฉลยข้อ ค)</t>
        </is>
      </c>
      <c r="O23" s="2" t="n"/>
      <c r="P23" s="2" t="n"/>
    </row>
    <row r="24" ht="13.2" customHeight="1" s="49">
      <c r="A24" s="8" t="inlineStr">
        <is>
          <t>22</t>
        </is>
      </c>
      <c r="B24" s="2"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2" t="n"/>
      <c r="D24" s="2" t="inlineStr">
        <is>
          <t>รับประทานครั้งละ 2 เม็ด ภายใน 12 ชั่วโมง หลังจากนั้นอีก 12 ชั่วโมง รับประทานอีก 2 เม็ด</t>
        </is>
      </c>
      <c r="E24" s="2" t="inlineStr">
        <is>
          <t>รับประทาน 1 เม็ด ภายใน 72 ชั่วโมง หลังจากนั้นอีก 12 ชั่วโมง รับประทานอีก 1 เม็ด</t>
        </is>
      </c>
      <c r="F24" s="2" t="inlineStr">
        <is>
          <t>รับประทาน 2 เม็ด ภายใน 72 ชั่วโมง ครั้งเดียว</t>
        </is>
      </c>
      <c r="G24" s="2" t="inlineStr">
        <is>
          <t>รับประทาน 2 เม็ด ภายใน 1 ชั่วโมง</t>
        </is>
      </c>
      <c r="H24" s="2" t="inlineStr">
        <is>
          <t>รับประทานหนึ่งเม็ดติดต่อกันนาน 5 วัน</t>
        </is>
      </c>
      <c r="I24" s="8" t="n">
        <v>2</v>
      </c>
      <c r="J24" s="2" t="inlineStr">
        <is>
          <t>✅ คำตอบที่ถูกต้อง: ข้อ ข. รับประทาน 1 เม็ด ภายใน 72 ชั่วโมง หลังจากนั้นอีก 12 ชั่วโมง รับประทานอีก 1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2" t="n"/>
      <c r="L24" s="2" t="inlineStr">
        <is>
          <t>Oral contraceptive</t>
        </is>
      </c>
      <c r="M24" s="2" t="inlineStr">
        <is>
          <t>Clinic</t>
        </is>
      </c>
      <c r="N24" s="2" t="inlineStr">
        <is>
          <t>ข้อ 22 Pharma Plus เล่มม่วง (เฉลยข้อ ข ค)</t>
        </is>
      </c>
      <c r="O24" s="2" t="n"/>
      <c r="P24" s="2" t="n"/>
    </row>
    <row r="25" ht="13.2" customHeight="1" s="49">
      <c r="A25" s="8" t="inlineStr">
        <is>
          <t>23</t>
        </is>
      </c>
      <c r="B25" s="2" t="inlineStr">
        <is>
          <t>เภสัชกรแนะนำให้ผู้ป่วยรับประทานยาคุมชนิด combines pill ควรเลือกยาคุมในข้อใด ในกรณีที่เริ่มใช้เป็นครั้งแรก</t>
        </is>
      </c>
      <c r="C25" s="2" t="n"/>
      <c r="D25" s="2" t="inlineStr">
        <is>
          <t>Ethinyl estradiol 0.05 mg + ethinodiol diacetate 1 mg</t>
        </is>
      </c>
      <c r="E25" s="2" t="inlineStr">
        <is>
          <t>Mestranol 0.05 mg + northisterone 1 mg</t>
        </is>
      </c>
      <c r="F25" s="2" t="inlineStr">
        <is>
          <t>Ethinyl estradiol 0.03 mg + levonorgestrel 0.15 mg</t>
        </is>
      </c>
      <c r="G25" s="2" t="inlineStr">
        <is>
          <t>Ethinyl estradiol 0.03 mg + gestrodene 0.075 mg</t>
        </is>
      </c>
      <c r="H25" s="2" t="inlineStr">
        <is>
          <t>Ethinyl estradiol 0.02 mg + desogestrel 0.15 mg</t>
        </is>
      </c>
      <c r="I25" s="8" t="n">
        <v>1</v>
      </c>
      <c r="J25" s="2" t="inlineStr">
        <is>
          <t>✅ คำตอบที่ถูกต้อง: ข้อ ก. Ethinyl estradiol 0.05 mg + ethinodiol diacetate 1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2" t="n"/>
      <c r="L25" s="2" t="inlineStr">
        <is>
          <t>Oral contraceptive</t>
        </is>
      </c>
      <c r="M25" s="2" t="inlineStr">
        <is>
          <t>Clinic</t>
        </is>
      </c>
      <c r="N25" s="2" t="inlineStr">
        <is>
          <t>ข้อ 23 Pharma Plus เล่มม่วง (เฉลยข้อ )</t>
        </is>
      </c>
      <c r="O25" s="2" t="n"/>
      <c r="P25" s="2" t="n"/>
    </row>
    <row r="26" ht="13.2" customHeight="1" s="49">
      <c r="A26" s="8" t="inlineStr">
        <is>
          <t>24</t>
        </is>
      </c>
      <c r="B26" s="2" t="inlineStr">
        <is>
          <t>คำแนะนำในการใช้ยาคุมกำเนิดข้อใดผิด</t>
        </is>
      </c>
      <c r="C26" s="2" t="n"/>
      <c r="D26" s="2" t="inlineStr">
        <is>
          <t>15 วันแรกที่รับประทานยาคุมกำเนิด ควรคุมกำเนิดโดยการใช้ถุงยางอนามัยด้วย</t>
        </is>
      </c>
      <c r="E26" s="2" t="inlineStr">
        <is>
          <t>2-3 แผงแรกของการรับประทานยาคุม อาจมีอาการคลื่นไส้อาเจียน จากนั้นอาการจะทุเลาลงเอง</t>
        </is>
      </c>
      <c r="F26" s="2" t="inlineStr">
        <is>
          <t>ควรรับประทานยาคุมกำเนิดทุกวัน วันละ 1 เม็ด เวลาใดก็ได้ แต่ห้ามลืม</t>
        </is>
      </c>
      <c r="G26" s="2" t="inlineStr">
        <is>
          <t>การรับประทานยาคุมกำเนิด ควรเริ่มรับประทานในวันที่ 1-5 ของการมีประจำเดือน</t>
        </is>
      </c>
      <c r="H26" s="2" t="inlineStr">
        <is>
          <t>หากลืมรับประทานยาคุมกำเนิดติดต่อกันเกิน 2 เม็ด ควรหยุดยาใช้คุมกำเนิดแผงนั้นและใช้วิธีการคุมกำเนิดแบบอื่น</t>
        </is>
      </c>
      <c r="I26" s="8" t="n">
        <v>3</v>
      </c>
      <c r="J26" s="2" t="inlineStr">
        <is>
          <t>✅ คำตอบที่ถูกต้อง: ข้อ ค. ควรรับประทานยาคุมกำเนิดทุกวัน วันละ 1 เม็ด เวลาใดก็ได้ แต่ห้ามลืม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2" t="n"/>
      <c r="L26" s="2" t="inlineStr">
        <is>
          <t>Oral contraceptive</t>
        </is>
      </c>
      <c r="M26" s="2" t="inlineStr">
        <is>
          <t>Clinic</t>
        </is>
      </c>
      <c r="N26" s="2" t="inlineStr">
        <is>
          <t>ข้อ 24 Pharma Plus เล่มม่วง (เฉลยข้อ ค)</t>
        </is>
      </c>
      <c r="O26" s="2" t="n"/>
      <c r="P26" s="2" t="n"/>
    </row>
    <row r="27" ht="13.2" customHeight="1" s="49">
      <c r="A27" s="8" t="inlineStr">
        <is>
          <t>25</t>
        </is>
      </c>
      <c r="B27" s="2"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2" t="n"/>
      <c r="D27" s="2" t="inlineStr">
        <is>
          <t>จะช่วยให้ผลดีต่อระบบหัวใจและหลอดเลือด</t>
        </is>
      </c>
      <c r="E27" s="2" t="inlineStr">
        <is>
          <t>จะช่วยทำให้ไม่มีเลือดออกจากช่องคลอด</t>
        </is>
      </c>
      <c r="F27" s="2" t="inlineStr">
        <is>
          <t>จะช่วยลดความเสี่ยงของการเป็นมะเร็งเยื่อบุมดลูก</t>
        </is>
      </c>
      <c r="G27" s="2" t="inlineStr">
        <is>
          <t>จะช่วยลดความเสี่ยงของการเกิดมะเร็งเต้านม</t>
        </is>
      </c>
      <c r="H27" s="2" t="inlineStr">
        <is>
          <t>จะช่วยลดความเสี่ยงของการเกิดมะเร็งปากมดลูก</t>
        </is>
      </c>
      <c r="I27" s="8" t="n">
        <v>3</v>
      </c>
      <c r="J27" s="2" t="inlineStr">
        <is>
          <t>✅ คำตอบที่ถูกต้อง: ข้อ ค. จะช่วยลดความเสี่ยงของการเป็นมะเร็งเยื่อบุมดลูก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2" t="n"/>
      <c r="L27" s="2" t="inlineStr">
        <is>
          <t>Oral contraceptive</t>
        </is>
      </c>
      <c r="M27" s="2" t="inlineStr">
        <is>
          <t>Clinic</t>
        </is>
      </c>
      <c r="N27" s="2" t="inlineStr">
        <is>
          <t>ข้อ 25 Pharma Plus เล่มม่วง (เฉลยข้อ ค)</t>
        </is>
      </c>
      <c r="O27" s="2" t="n"/>
      <c r="P27" s="2" t="n"/>
    </row>
    <row r="28" ht="13.2" customHeight="1" s="49">
      <c r="A28" s="8" t="inlineStr">
        <is>
          <t>26</t>
        </is>
      </c>
      <c r="B28" s="2"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2" t="n"/>
      <c r="D28" s="2" t="inlineStr">
        <is>
          <t>การให้แบบแผ่นแปะไม่มี first pass metabolism ที่ตับ</t>
        </is>
      </c>
      <c r="E28" s="2" t="inlineStr">
        <is>
          <t>การให้แบบแผ่นแปะจะมีผลการดูดซึมที่ดีกว่าแบบรับประทาน</t>
        </is>
      </c>
      <c r="F28" s="2" t="inlineStr">
        <is>
          <t>การให้แบบแผ่นแปะจะมีผลการรักษาอาการร้อนวูบวาบได้ดีกว่า</t>
        </is>
      </c>
      <c r="G28" s="2" t="inlineStr">
        <is>
          <t>การให้แบบแผ่นแปะจะมีผลการรักษาช่องคลอดแห้งได้ดีกว่า</t>
        </is>
      </c>
      <c r="H28" s="2" t="inlineStr">
        <is>
          <t>การให้แบบแผ่นแปะจะมีผลการรักษา osteoporosis ดีกว่า</t>
        </is>
      </c>
      <c r="I28" s="8" t="n">
        <v>1</v>
      </c>
      <c r="J28" s="2" t="inlineStr">
        <is>
          <t>✅ คำตอบที่ถูกต้อง: ข้อ ก. การให้แบบแผ่นแปะไม่มี first pass metabolism ที่ตับ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n"/>
      <c r="L28" s="2" t="inlineStr">
        <is>
          <t>Oral contraceptive</t>
        </is>
      </c>
      <c r="M28" s="2" t="inlineStr">
        <is>
          <t>Clinic</t>
        </is>
      </c>
      <c r="N28" s="2" t="inlineStr">
        <is>
          <t>ข้อ 26 Pharma Plus เล่มม่วง (เฉลยข้อ ก)</t>
        </is>
      </c>
      <c r="O28" s="2" t="n"/>
      <c r="P28" s="2" t="n"/>
    </row>
    <row r="29" ht="13.2" customHeight="1" s="49">
      <c r="A29" s="8" t="inlineStr">
        <is>
          <t>27</t>
        </is>
      </c>
      <c r="B29" s="2" t="inlineStr">
        <is>
          <t>สำหรับผู้ป่วยที่ตัดมดลูก ควรใช้ฮอร์โมนทดแทนแบบใด</t>
        </is>
      </c>
      <c r="C29" s="2" t="n"/>
      <c r="D29" s="2" t="inlineStr">
        <is>
          <t>Estradiol valerate 2 mg + norgestrel 0.5 mg</t>
        </is>
      </c>
      <c r="E29" s="2" t="inlineStr">
        <is>
          <t>Medroxyprogesterone acetate 5 mg</t>
        </is>
      </c>
      <c r="F29" s="2" t="inlineStr">
        <is>
          <t>Ethynyl estradiol 30 mcg + cyproterone acetate 2 mg</t>
        </is>
      </c>
      <c r="G29" s="2" t="inlineStr">
        <is>
          <t>Conjugated estrogen 0.625 mg</t>
        </is>
      </c>
      <c r="H29" s="2" t="inlineStr">
        <is>
          <t>Conjugated estrogen 0.625 mg + medroxyprogesterone 5 mg</t>
        </is>
      </c>
      <c r="I29" s="8" t="n">
        <v>4</v>
      </c>
      <c r="J29" s="2" t="inlineStr">
        <is>
          <t>✅ คำตอบที่ถูกต้อง: ข้อ ง. Conjugated estrogen 0.625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2" t="n"/>
      <c r="L29" s="2" t="inlineStr">
        <is>
          <t>Oral contraceptive</t>
        </is>
      </c>
      <c r="M29" s="2" t="inlineStr">
        <is>
          <t>Clinic</t>
        </is>
      </c>
      <c r="N29" s="2" t="inlineStr">
        <is>
          <t>ข้อ 27 Pharma Plus เล่มม่วง (เฉลยข้อ ง)</t>
        </is>
      </c>
      <c r="O29" s="2" t="n"/>
      <c r="P29" s="2" t="n"/>
    </row>
    <row r="30" ht="13.2" customHeight="1" s="49">
      <c r="A30" s="8" t="inlineStr">
        <is>
          <t>28</t>
        </is>
      </c>
      <c r="B30" s="2" t="inlineStr">
        <is>
          <t>ข้อใดเป็นอาการไม่พึงประสงค์ที่ร้ายแรงของยาที่เลือกใช้ในข้อ 27</t>
        </is>
      </c>
      <c r="C30" s="2" t="n"/>
      <c r="D30" s="2" t="inlineStr">
        <is>
          <t>Hyperlipidemia</t>
        </is>
      </c>
      <c r="E30" s="2" t="inlineStr">
        <is>
          <t>Osteoporosis</t>
        </is>
      </c>
      <c r="F30" s="2" t="inlineStr">
        <is>
          <t>Hyperbilirubinemia</t>
        </is>
      </c>
      <c r="G30" s="2" t="inlineStr">
        <is>
          <t>Congestive heart failure</t>
        </is>
      </c>
      <c r="H30" s="2" t="inlineStr">
        <is>
          <t>Thromboembolism</t>
        </is>
      </c>
      <c r="I30" s="8" t="n">
        <v>5</v>
      </c>
      <c r="J30" s="2" t="inlineStr">
        <is>
          <t>✅ คำตอบที่ถูกต้อง: ข้อ จ. Thromboembolism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2" t="n"/>
      <c r="L30" s="2" t="inlineStr">
        <is>
          <t>Oral contraceptive</t>
        </is>
      </c>
      <c r="M30" s="2" t="inlineStr">
        <is>
          <t>Clinic</t>
        </is>
      </c>
      <c r="N30" s="2" t="inlineStr">
        <is>
          <t>ข้อ 28 Pharma Plus เล่มม่วง (เฉลยข้อ จ)</t>
        </is>
      </c>
      <c r="O30" s="2" t="n"/>
      <c r="P30" s="2" t="n"/>
    </row>
    <row r="31" ht="13.2" customHeight="1" s="49">
      <c r="A31" s="8" t="inlineStr">
        <is>
          <t>29</t>
        </is>
      </c>
      <c r="B31"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2" t="n"/>
      <c r="D31" s="2" t="inlineStr">
        <is>
          <t>เริ่มมีอาการปวดท้องเมื่ออายุ 27 ปี</t>
        </is>
      </c>
      <c r="E31" s="2" t="inlineStr">
        <is>
          <t>ปวดบิดเป็นพัก ๆ ที่บริเวณท้องน้อย</t>
        </is>
      </c>
      <c r="F31" s="2" t="inlineStr">
        <is>
          <t>ปวดท้องก่อนมีประจำเดือนไม่กี่ชม.</t>
        </is>
      </c>
      <c r="G31" s="2" t="inlineStr">
        <is>
          <t>ปวดท้องตลอดช่วง 2-3 วันแรกของการมีประจำเดือน</t>
        </is>
      </c>
      <c r="H31" s="2" t="inlineStr">
        <is>
          <t>อาการปวดท้องดีขึ้นเมื่อรับประทานยา paracetamol หรือ ibuprofen</t>
        </is>
      </c>
      <c r="I31" s="8" t="n">
        <v>1</v>
      </c>
      <c r="J31" s="2" t="inlineStr">
        <is>
          <t>✅ คำตอบที่ถูกต้อง: ข้อ ก. เริ่มมีอาการปวดท้องเมื่ออายุ 27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2" t="n"/>
      <c r="L31" s="2" t="inlineStr">
        <is>
          <t>Dysmenorrhea</t>
        </is>
      </c>
      <c r="M31" s="2" t="inlineStr">
        <is>
          <t>Clinic</t>
        </is>
      </c>
      <c r="N31" s="2" t="inlineStr">
        <is>
          <t>ข้อ 29 Pharma Plus เล่มม่วง (เฉลยข้อ ก จ)</t>
        </is>
      </c>
      <c r="O31" s="2" t="n"/>
      <c r="P31" s="2" t="n"/>
    </row>
    <row r="32" ht="13.2" customHeight="1" s="49">
      <c r="A32" s="8" t="inlineStr">
        <is>
          <t>30</t>
        </is>
      </c>
      <c r="B32"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2" t="n"/>
      <c r="D32" s="2" t="inlineStr">
        <is>
          <t>ประคบบริเวณท้องน้อยด้วยถุงน้ำร้อนเพื่อช่วยบรรเทาและอาการปวดท้อง</t>
        </is>
      </c>
      <c r="E32" s="2" t="inlineStr">
        <is>
          <t>ควรนอนพักผ่อนมาก ๆ ระหว่างมีประจำเดือน</t>
        </is>
      </c>
      <c r="F32" s="2" t="inlineStr">
        <is>
          <t>ควรรับประทานยา ibuprofen หลังอาหารทันที</t>
        </is>
      </c>
      <c r="G32" s="2" t="inlineStr">
        <is>
          <t>สามารถรับประทานยา ibuprofen ก่อนมีอาการปวดเพื่อป้องกันได้</t>
        </is>
      </c>
      <c r="H32" s="2" t="inlineStr">
        <is>
          <t>หลีกเลี่ยงเครื่องดื่มที่มีแอลกอฮอล์ระหว่างรับประทานยา ibuprofen</t>
        </is>
      </c>
      <c r="I32" s="8" t="n">
        <v>5</v>
      </c>
      <c r="J32" s="2" t="inlineStr">
        <is>
          <t>✅ คำตอบที่ถูกต้อง: ข้อ จ. หลีกเลี่ยงเครื่องดื่มที่มีแอลกอฮอล์ระหว่างรับประทานยา ibuprofen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2" t="n"/>
      <c r="L32" s="2" t="inlineStr">
        <is>
          <t>Dysmenorrhea</t>
        </is>
      </c>
      <c r="M32" s="2" t="inlineStr">
        <is>
          <t>Clinic</t>
        </is>
      </c>
      <c r="N32" s="2" t="inlineStr">
        <is>
          <t>ข้อ 30 Pharma Plus เล่มม่วง (เฉลยข้อ จ)</t>
        </is>
      </c>
      <c r="O32" s="2" t="n"/>
      <c r="P32" s="2" t="n"/>
    </row>
    <row r="33" ht="13.2" customHeight="1" s="49">
      <c r="A33" s="8" t="inlineStr">
        <is>
          <t>31</t>
        </is>
      </c>
      <c r="B33"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2" t="n"/>
      <c r="D33" s="2" t="inlineStr">
        <is>
          <t>Serotonin</t>
        </is>
      </c>
      <c r="E33" s="2" t="inlineStr">
        <is>
          <t>Prostaglandin</t>
        </is>
      </c>
      <c r="F33" s="2" t="inlineStr">
        <is>
          <t>Cyclo-oxygenase</t>
        </is>
      </c>
      <c r="G33" s="2" t="inlineStr">
        <is>
          <t>Leukotriene</t>
        </is>
      </c>
      <c r="H33" s="2" t="inlineStr">
        <is>
          <t>Thromboxane</t>
        </is>
      </c>
      <c r="I33" s="8" t="n">
        <v>2</v>
      </c>
      <c r="J33" s="2" t="inlineStr">
        <is>
          <t>✅ คำตอบที่ถูกต้อง: ข้อ ข. Prostaglandin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2" t="n"/>
      <c r="L33" s="2" t="inlineStr">
        <is>
          <t>Dysmenorrhea</t>
        </is>
      </c>
      <c r="M33" s="2" t="inlineStr">
        <is>
          <t>Clinic</t>
        </is>
      </c>
      <c r="N33" s="2" t="inlineStr">
        <is>
          <t>ข้อ 31 Pharma Plus เล่มม่วง (เฉลยข้อ ข)</t>
        </is>
      </c>
      <c r="O33" s="2" t="n"/>
      <c r="P33" s="2" t="n"/>
    </row>
    <row r="34" ht="13.2" customHeight="1" s="49">
      <c r="A34" s="8" t="inlineStr">
        <is>
          <t>32</t>
        </is>
      </c>
      <c r="B34" s="2" t="inlineStr">
        <is>
          <t>หากผู้ป่วยรายนี้รับประทานยา ibuprofen แล้วประมาณ 1 ชม. ยังมีอาการปวด จะแนะนำยาชนิดใดเพื่อเสริมฤทธิ์แก้ปวดท้อง</t>
        </is>
      </c>
      <c r="C34" s="2" t="n"/>
      <c r="D34" s="2" t="inlineStr">
        <is>
          <t>Mefenamic acid</t>
        </is>
      </c>
      <c r="E34" s="2" t="inlineStr">
        <is>
          <t>Hyoscine-n-butyl bromide</t>
        </is>
      </c>
      <c r="F34" s="2" t="inlineStr">
        <is>
          <t>Estradiol+ levonorgertrel</t>
        </is>
      </c>
      <c r="G34" s="2" t="inlineStr">
        <is>
          <t>Orphenadrine</t>
        </is>
      </c>
      <c r="H34" s="2" t="inlineStr">
        <is>
          <t>Tolperisone</t>
        </is>
      </c>
      <c r="I34" s="8" t="n">
        <v>2</v>
      </c>
      <c r="J34" s="2" t="inlineStr">
        <is>
          <t>✅ คำตอบที่ถูกต้อง: ข้อ ข. Hyoscine-n-butyl bromide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2" t="n"/>
      <c r="L34" s="2" t="inlineStr">
        <is>
          <t>Dysmenorrhea</t>
        </is>
      </c>
      <c r="M34" s="2" t="inlineStr">
        <is>
          <t>Clinic</t>
        </is>
      </c>
      <c r="N34" s="2" t="inlineStr">
        <is>
          <t>ข้อ 32 Pharma Plus เล่มม่วง (เฉลยข้อ ข)</t>
        </is>
      </c>
      <c r="O34" s="2" t="n"/>
      <c r="P34" s="2" t="n"/>
    </row>
    <row r="35" ht="13.2" customHeight="1" s="49">
      <c r="A35" s="8" t="inlineStr">
        <is>
          <t>33</t>
        </is>
      </c>
      <c r="B35" s="2" t="inlineStr">
        <is>
          <t>ยาใดที่ไม่สามารถใช้รักษาอาการปวดประจำเดือน</t>
        </is>
      </c>
      <c r="C35" s="2" t="n"/>
      <c r="D35" s="2" t="inlineStr">
        <is>
          <t>Aspirin</t>
        </is>
      </c>
      <c r="E35" s="2" t="inlineStr">
        <is>
          <t>Colchicine</t>
        </is>
      </c>
      <c r="F35" s="2" t="inlineStr">
        <is>
          <t>Naproxen</t>
        </is>
      </c>
      <c r="G35" s="2" t="inlineStr">
        <is>
          <t>Celecoxib</t>
        </is>
      </c>
      <c r="H35" s="2" t="inlineStr">
        <is>
          <t>Mefenamic acid</t>
        </is>
      </c>
      <c r="I35" s="8" t="n">
        <v>2</v>
      </c>
      <c r="J35" s="2" t="inlineStr">
        <is>
          <t>✅ คำตอบที่ถูกต้อง: ข้อ ข. Colchicine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2" t="n"/>
      <c r="L35" s="2" t="inlineStr">
        <is>
          <t>Dysmenorrhea</t>
        </is>
      </c>
      <c r="M35" s="2" t="inlineStr">
        <is>
          <t>Clinic</t>
        </is>
      </c>
      <c r="N35" s="2" t="inlineStr">
        <is>
          <t>ข้อ 33 Pharma Plus เล่มม่วง (เฉลยข้อ ข)</t>
        </is>
      </c>
      <c r="O35" s="2" t="n"/>
      <c r="P35" s="2" t="n"/>
    </row>
    <row r="36" ht="13.2" customHeight="1" s="49">
      <c r="A36" s="8" t="inlineStr">
        <is>
          <t>34</t>
        </is>
      </c>
      <c r="B36" s="2"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2" t="n"/>
      <c r="D36" s="2" t="inlineStr">
        <is>
          <t>12.00 น. ของ 6 ก.พ. 53</t>
        </is>
      </c>
      <c r="E36" s="2" t="inlineStr">
        <is>
          <t>20.00 น. ของ 6 ก.พ. 53</t>
        </is>
      </c>
      <c r="F36" s="2" t="inlineStr">
        <is>
          <t>8.00 น. ของ 7 ก.พ. 53</t>
        </is>
      </c>
      <c r="G36" s="2" t="inlineStr">
        <is>
          <t>20.00 น. ของ 7 ก.พ. 53</t>
        </is>
      </c>
      <c r="H36" s="2" t="inlineStr">
        <is>
          <t>8.00 น. ของ 7 ก.พ. 53</t>
        </is>
      </c>
      <c r="I36" s="8" t="n">
        <v>2</v>
      </c>
      <c r="J36" s="2" t="inlineStr">
        <is>
          <t>✅ คำตอบที่ถูกต้อง: ข้อ ข. 20.00 น. ของ 6 ก.พ. 53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2" t="n"/>
      <c r="L36" s="2" t="inlineStr">
        <is>
          <t>Oral contraceptive</t>
        </is>
      </c>
      <c r="M36" s="2" t="inlineStr">
        <is>
          <t>Clinic</t>
        </is>
      </c>
      <c r="N36" s="2" t="inlineStr">
        <is>
          <t>ข้อ 34 Pharma Plus เล่มม่วง (เฉลยข้อ ข)</t>
        </is>
      </c>
      <c r="O36" s="2" t="n"/>
      <c r="P36" s="2" t="n"/>
    </row>
    <row r="37" ht="13.2" customHeight="1" s="49">
      <c r="A37" s="8" t="inlineStr">
        <is>
          <t>35</t>
        </is>
      </c>
      <c r="B37" s="2" t="inlineStr">
        <is>
          <t>Progestogen only pill คืออะไร</t>
        </is>
      </c>
      <c r="C37" s="2" t="n"/>
      <c r="D37" s="2" t="inlineStr">
        <is>
          <t>Lynestrenol</t>
        </is>
      </c>
      <c r="E37" s="2" t="inlineStr">
        <is>
          <t>Drospirenone</t>
        </is>
      </c>
      <c r="F37" s="2" t="inlineStr">
        <is>
          <t>Norethisterone</t>
        </is>
      </c>
      <c r="G37" s="2" t="inlineStr">
        <is>
          <t>Levonorgestrel</t>
        </is>
      </c>
      <c r="H37" s="2" t="inlineStr">
        <is>
          <t>Gestodene</t>
        </is>
      </c>
      <c r="I37" s="8" t="n">
        <v>1</v>
      </c>
      <c r="J37"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2" t="n"/>
      <c r="L37" s="2" t="inlineStr">
        <is>
          <t>Oral contraceptive</t>
        </is>
      </c>
      <c r="M37" s="2" t="inlineStr">
        <is>
          <t>Clinic</t>
        </is>
      </c>
      <c r="N37" s="2" t="inlineStr">
        <is>
          <t>ข้อ 35 Pharma Plus เล่มม่วง (เฉลยข้อ ก)</t>
        </is>
      </c>
      <c r="O37" s="2" t="n"/>
      <c r="P37" s="2" t="n"/>
    </row>
    <row r="38" ht="13.2" customHeight="1" s="49">
      <c r="A38" s="8" t="inlineStr">
        <is>
          <t>36</t>
        </is>
      </c>
      <c r="B38" s="2" t="inlineStr">
        <is>
          <t>ข้อใดคืออาการไม่พึงประสงค์ของ progesterone</t>
        </is>
      </c>
      <c r="C38" s="2" t="n"/>
      <c r="D38" s="2" t="inlineStr">
        <is>
          <t>เลือดออกกระบิดกระโปรยว</t>
        </is>
      </c>
      <c r="E38" s="2" t="inlineStr">
        <is>
          <t>น้ำนมไหล</t>
        </is>
      </c>
      <c r="F38" s="2" t="inlineStr">
        <is>
          <t>มูกปากมดลูกเป็นแบบใสๆ</t>
        </is>
      </c>
      <c r="G38" s="2" t="inlineStr">
        <is>
          <t>น้ำหนักลด</t>
        </is>
      </c>
      <c r="H38" s="2" t="inlineStr">
        <is>
          <t>เบื่ออาหาร</t>
        </is>
      </c>
      <c r="I38" s="8" t="n">
        <v>1</v>
      </c>
      <c r="J38" s="2" t="inlineStr">
        <is>
          <t>✅ คำตอบที่ถูกต้อง: ข้อ ก. เลือดออกกระบิดกระโปรยว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Hormonal replacement</t>
        </is>
      </c>
      <c r="M38" s="2" t="inlineStr">
        <is>
          <t>Clinic</t>
        </is>
      </c>
      <c r="N38" s="2" t="inlineStr">
        <is>
          <t>ข้อ 36 Pharma Plus เล่มม่วง (เฉลยข้อ ก)</t>
        </is>
      </c>
      <c r="O38" s="2" t="n"/>
      <c r="P38" s="2" t="n"/>
    </row>
    <row r="39" ht="13.2" customHeight="1" s="49">
      <c r="A39" s="8" t="inlineStr">
        <is>
          <t>37</t>
        </is>
      </c>
      <c r="B39" s="2"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2" t="n"/>
      <c r="D39" s="2"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2" t="inlineStr">
        <is>
          <t>ควรรับประทานยาในเวลาเดียวกันหรือใกล้เคียงกันทุกวัน</t>
        </is>
      </c>
      <c r="F39" s="2" t="inlineStr">
        <is>
          <t>ถ้ามีอาการคลื่นไส้ อาเจียน เลือดออกกระปริดกระปรอย ให้หยุดใช้ยาทันทีแล้วไปพบแพทย์</t>
        </is>
      </c>
      <c r="G39" s="2" t="inlineStr">
        <is>
          <t>แม้ความหนาแน่นกระดูกปกติ ก็ควรรับประทานแคลเซียมเสริมเป็นประจำ และออกกำลังกายสม่ำเสมอ</t>
        </is>
      </c>
      <c r="H39" s="2" t="inlineStr">
        <is>
          <t>ในช่วงที่หยุดยาฮอร์โมนจะมีประจำเดือน จะเป็นอยู่ระยะหนึ่งแล้วค่อยๆน้อยลง จนหายไป</t>
        </is>
      </c>
      <c r="I39" s="8" t="n">
        <v>3</v>
      </c>
      <c r="J39" s="2"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2" t="n"/>
      <c r="L39" s="2" t="inlineStr">
        <is>
          <t>Oral contraceptive</t>
        </is>
      </c>
      <c r="M39" s="2" t="inlineStr">
        <is>
          <t>Clinic</t>
        </is>
      </c>
      <c r="N39" s="2" t="inlineStr">
        <is>
          <t>ข้อ 37 Pharma Plus เล่มม่วง (เฉลยข้อ ค)</t>
        </is>
      </c>
      <c r="O39" s="2" t="n"/>
      <c r="P39" s="2" t="n"/>
    </row>
    <row r="40" ht="13.2" customHeight="1" s="49">
      <c r="A40" s="8" t="inlineStr">
        <is>
          <t>38</t>
        </is>
      </c>
      <c r="B40" s="2" t="inlineStr">
        <is>
          <t>ข้อใดต่อไปนี้ไม่ถูกต้อง</t>
        </is>
      </c>
      <c r="C40" s="2" t="n"/>
      <c r="D40" s="2" t="inlineStr">
        <is>
          <t>Conjugated estrogen คือ esters ของเอสโตเจนธรรมชาติหลายๆชนิดรวมกัน</t>
        </is>
      </c>
      <c r="E40" s="2"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2" t="inlineStr">
        <is>
          <t>Estrogen มีกลไกการออกฤทธิ์โดยจับกับ estrogen receptor ภายในเซลล์ มีผลต่อการแสดงออกของยีน</t>
        </is>
      </c>
      <c r="G40" s="2" t="inlineStr">
        <is>
          <t>Progesterone มีกลไกการออกฤทธิ์คล้ายกับ estrogen โดยจับที่ตัวรับและยีนเดียวกัน</t>
        </is>
      </c>
      <c r="H40" s="2" t="inlineStr">
        <is>
          <t>ไม่มีคำตอบ</t>
        </is>
      </c>
      <c r="I40" s="8" t="n">
        <v>4</v>
      </c>
      <c r="J40" s="2" t="inlineStr">
        <is>
          <t>✅ คำตอบที่ถูกต้อง: ข้อ ง. Progesterone มีกลไกการออกฤทธิ์คล้ายกับ estrogen โดยจับที่ตัวรับและยีนเดียวกัน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2" t="n"/>
      <c r="L40" s="2" t="inlineStr">
        <is>
          <t>Oral contraceptive</t>
        </is>
      </c>
      <c r="M40" s="2" t="inlineStr">
        <is>
          <t>Clinic</t>
        </is>
      </c>
      <c r="N40" s="2" t="inlineStr">
        <is>
          <t>ข้อ 38 Pharma Plus เล่มม่วง (เฉลยข้อ ง)</t>
        </is>
      </c>
      <c r="O40" s="2" t="n"/>
      <c r="P40" s="2" t="n"/>
    </row>
    <row r="41" ht="13.2" customHeight="1" s="49">
      <c r="A41" s="8" t="inlineStr">
        <is>
          <t>39</t>
        </is>
      </c>
      <c r="B41" s="2"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2" t="n"/>
      <c r="D41" s="2" t="inlineStr">
        <is>
          <t>แนะนำให้หยุดยาทันทีแล้วไปพบแพทย์</t>
        </is>
      </c>
      <c r="E41" s="2" t="inlineStr">
        <is>
          <t>อธิบายว่าอาการคลื่นไส้ อาเจียนจะเป็นอยู่ระยะหนึ่งหลังจากนั้นจะดีขึ้น ถ้าไม่ดีขึ้นให้ไปพบแพทย์</t>
        </is>
      </c>
      <c r="F41" s="2" t="inlineStr">
        <is>
          <t>ลดขนาดของ conjugated estrogen เป็นขนาดเม็ดละ 0.03 มิลลิกรัม</t>
        </is>
      </c>
      <c r="G41" s="2" t="inlineStr">
        <is>
          <t>ลดขนาดของ MPA เป็นขนาดเม็ดละ 2.5 มิลลิกรัม</t>
        </is>
      </c>
      <c r="H41" s="2" t="inlineStr">
        <is>
          <t>ถูกทุกข้อ</t>
        </is>
      </c>
      <c r="I41" s="8" t="n">
        <v>2</v>
      </c>
      <c r="J41" s="2"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2" t="n"/>
      <c r="L41" s="2" t="inlineStr">
        <is>
          <t>Oral contraceptive</t>
        </is>
      </c>
      <c r="M41" s="2" t="inlineStr">
        <is>
          <t>Clinic</t>
        </is>
      </c>
      <c r="N41" s="2" t="inlineStr">
        <is>
          <t>ข้อ 39 Pharma Plus เล่มม่วง (เฉลยข้อ ข)</t>
        </is>
      </c>
      <c r="O41" s="2" t="n"/>
      <c r="P41" s="2" t="n"/>
    </row>
    <row r="42" ht="13.2" customHeight="1" s="49">
      <c r="A42" s="8" t="inlineStr">
        <is>
          <t>40</t>
        </is>
      </c>
      <c r="B42" s="2" t="inlineStr">
        <is>
          <t>ถ้านางลีเป็นเบาหวาน รูปแบบของ estrogen แบบใดจะมีผลกระทบต่อภาวะของโรคเบาหวานน้อยที่สุด
ข้อใดถูกต้อง</t>
        </is>
      </c>
      <c r="C42" s="2" t="n"/>
      <c r="D42" s="2" t="inlineStr">
        <is>
          <t>ยาเม็ด</t>
        </is>
      </c>
      <c r="E42" s="2" t="inlineStr">
        <is>
          <t>ยาฉีด</t>
        </is>
      </c>
      <c r="F42" s="2" t="inlineStr">
        <is>
          <t>แผ่นแปะผิวหนัง</t>
        </is>
      </c>
      <c r="G42" s="2" t="inlineStr">
        <is>
          <t>ครีมสอดช่องคลอด</t>
        </is>
      </c>
      <c r="H42" s="2" t="inlineStr">
        <is>
          <t>แบบฝัง</t>
        </is>
      </c>
      <c r="I42" s="8" t="n">
        <v>4</v>
      </c>
      <c r="J42" s="2"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2" t="n"/>
      <c r="L42" s="2" t="inlineStr">
        <is>
          <t>Hormonal replacement</t>
        </is>
      </c>
      <c r="M42" s="2" t="inlineStr">
        <is>
          <t>Clinic</t>
        </is>
      </c>
      <c r="N42" s="2" t="inlineStr">
        <is>
          <t>ข้อ 40 Pharma Plus เล่มม่วง (เฉลยข้อ ง)</t>
        </is>
      </c>
      <c r="O42" s="2" t="n"/>
      <c r="P42" s="2" t="n"/>
    </row>
    <row r="43" ht="13.2" customHeight="1" s="49">
      <c r="A43" s="8" t="inlineStr">
        <is>
          <t>41</t>
        </is>
      </c>
      <c r="B43" s="2" t="inlineStr">
        <is>
          <t>นางลีไม่อยากให้มีประจำเดือน วิธีการบริหารยาแบบใดที่จะทำให้ไม่มีประจำเดือนมาทุกเดือน
ข้อใดถูกต้อง</t>
        </is>
      </c>
      <c r="C43" s="2" t="n"/>
      <c r="D43" s="2" t="inlineStr">
        <is>
          <t>รับประทานยาทั้งสองชนิดทุกวัน ไม่ต้องหยุดยา 7 วัน</t>
        </is>
      </c>
      <c r="E43" s="2" t="inlineStr">
        <is>
          <t>เว้นช่วงไม่ต้องรับประทาน MPA 2-3 เดือนแล้วกลับมารับประทานเหมือนเดิม 1 เดือน แล้วเว้นช่วงต่อไปเรื่อย ๆ</t>
        </is>
      </c>
      <c r="F43" s="2" t="inlineStr">
        <is>
          <t>ไม่ต้องทาน MPA เพราะเป็นสาเหตุให้มีเลือดประจำเดือนเมื่อหยุดยา</t>
        </is>
      </c>
      <c r="G43" s="2"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2" t="inlineStr">
        <is>
          <t>บอกนางลี ไม่ว่าจะใช้วิธีใดก็ต้องมีเลือดประจำเดือนมาทุกเดือน ไม่มีวิธีแก้ ไข</t>
        </is>
      </c>
      <c r="I43" s="8" t="n">
        <v>1</v>
      </c>
      <c r="J43" s="2" t="inlineStr">
        <is>
          <t>✅ คำตอบที่ถูกต้อง: ข้อ ก. รับประทานยาทั้งสองชนิดทุกวัน ไม่ต้องหยุดยา 7 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2" t="n"/>
      <c r="L43" s="2" t="inlineStr">
        <is>
          <t>Oral contraceptive</t>
        </is>
      </c>
      <c r="M43" s="2" t="inlineStr">
        <is>
          <t>Clinic</t>
        </is>
      </c>
      <c r="N43" s="2" t="inlineStr">
        <is>
          <t>ข้อ 41 Pharma Plus เล่มม่วง (เฉลยข้อ ก)</t>
        </is>
      </c>
      <c r="O43" s="2" t="n"/>
      <c r="P43" s="2" t="n"/>
    </row>
    <row r="44" ht="13.2" customHeight="1" s="49">
      <c r="A44" s="8" t="inlineStr">
        <is>
          <t>42</t>
        </is>
      </c>
      <c r="B44" s="2" t="inlineStr">
        <is>
          <t>นางลีขอให้เภสัชกรช่วยจัดยาเม็ดแคลเซียมให้ ข้อมูลใดไม่ถูกต้องเกี่ยวกับ แคลเซียม
ข้อใดถูกต้อง</t>
        </is>
      </c>
      <c r="C44" s="2" t="n"/>
      <c r="D44" s="2" t="inlineStr">
        <is>
          <t>ขนาดแคลเซียมสำหรับสตรีหมดประจำเดือนคือ 1000-1500 มิลลิกรัม/วัน</t>
        </is>
      </c>
      <c r="E44" s="2" t="inlineStr">
        <is>
          <t>ควรรับประทานแคลเซียมหลังอาหารเพราะช่วยให้ดูดซึมดีขึ้น</t>
        </is>
      </c>
      <c r="F44" s="2" t="inlineStr">
        <is>
          <t>พิจารณาชนิดเกลือของแคลเซียม เพราะเกลือต่าง ๆ ชนิดกัน จะให้ปริมาณแคลเซียมต่างกัน</t>
        </is>
      </c>
      <c r="G44" s="2" t="inlineStr">
        <is>
          <t>ควรให้วิตามินดี ร่วมด้วยเสมอเพื่อช่วยให้กระดูกซึมดีขึ้น</t>
        </is>
      </c>
      <c r="H44" s="2" t="inlineStr">
        <is>
          <t>ปกติเราจะได้รับแคลเซียมบางส่วนจากอาหาร ควรรับประทานอาหารให้ครบ และออกกำลังกายสม่ำเสมอ</t>
        </is>
      </c>
      <c r="I44" s="8" t="n">
        <v>4</v>
      </c>
      <c r="J44" s="2" t="inlineStr">
        <is>
          <t>✅ คำตอบที่ถูกต้อง: ข้อ ง. ควรให้วิตามินดี ร่วมด้วยเสมอเพื่อช่วยให้กระดูกซึมดีขึ้น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2" t="n"/>
      <c r="L44" s="2" t="inlineStr">
        <is>
          <t>Oral contraceptive</t>
        </is>
      </c>
      <c r="M44" s="2" t="inlineStr">
        <is>
          <t>Clinic</t>
        </is>
      </c>
      <c r="N44" s="2" t="inlineStr">
        <is>
          <t>ข้อ 42 Pharma Plus เล่มม่วง (เฉลยข้อ ง)</t>
        </is>
      </c>
      <c r="O44" s="2" t="n"/>
      <c r="P44" s="2" t="n"/>
    </row>
    <row r="45" ht="13.2" customHeight="1" s="49">
      <c r="A45" s="8" t="inlineStr">
        <is>
          <t>43</t>
        </is>
      </c>
      <c r="B45" s="2"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2" t="n"/>
      <c r="D45" s="2" t="inlineStr">
        <is>
          <t>Cardiovascular disease</t>
        </is>
      </c>
      <c r="E45" s="2" t="inlineStr">
        <is>
          <t>Osteoporosis</t>
        </is>
      </c>
      <c r="F45" s="2" t="inlineStr">
        <is>
          <t>Psychosexual symptom</t>
        </is>
      </c>
      <c r="G45" s="2" t="inlineStr">
        <is>
          <t>Urogenital symptom</t>
        </is>
      </c>
      <c r="H45" s="2" t="inlineStr">
        <is>
          <t>Vasomotor symptom</t>
        </is>
      </c>
      <c r="I45" s="8" t="n">
        <v>5</v>
      </c>
      <c r="J45" s="2" t="inlineStr">
        <is>
          <t>✅ คำตอบที่ถูกต้อง: ข้อ จ. Vasomotor symptom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Hormonal replacement</t>
        </is>
      </c>
      <c r="M45" s="2" t="inlineStr">
        <is>
          <t>Clinic</t>
        </is>
      </c>
      <c r="N45" s="2" t="inlineStr">
        <is>
          <t>ข้อ 43 Pharma Plus เล่มม่วง (เฉลยข้อ จ)</t>
        </is>
      </c>
      <c r="O45" s="2" t="n"/>
      <c r="P45" s="2" t="n"/>
    </row>
    <row r="46" ht="13.2" customHeight="1" s="49">
      <c r="A46" s="8" t="inlineStr">
        <is>
          <t>44</t>
        </is>
      </c>
      <c r="B46" s="2"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2" t="n"/>
      <c r="D46" s="2" t="inlineStr">
        <is>
          <t>Androgen</t>
        </is>
      </c>
      <c r="E46" s="2" t="inlineStr">
        <is>
          <t>Estrogen</t>
        </is>
      </c>
      <c r="F46" s="2" t="inlineStr">
        <is>
          <t>Follicle stimulating hormone (FSH)</t>
        </is>
      </c>
      <c r="G46" s="2" t="inlineStr">
        <is>
          <t>Luteinizing hormone (LH)</t>
        </is>
      </c>
      <c r="H46" s="2" t="inlineStr">
        <is>
          <t>Progesterone</t>
        </is>
      </c>
      <c r="I46" s="8" t="n">
        <v>1</v>
      </c>
      <c r="J46" s="2" t="inlineStr">
        <is>
          <t>✅ คำตอบที่ถูกต้อง: ข้อ ก. Androgen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2" t="n"/>
      <c r="L46" s="2" t="inlineStr">
        <is>
          <t>Oral contraceptive</t>
        </is>
      </c>
      <c r="M46" s="2" t="inlineStr">
        <is>
          <t>Clinic</t>
        </is>
      </c>
      <c r="N46" s="2" t="inlineStr">
        <is>
          <t>ข้อ 44 Pharma Plus เล่มม่วง (เฉลยข้อ ก)</t>
        </is>
      </c>
      <c r="O46" s="2" t="n"/>
      <c r="P46" s="2" t="n"/>
    </row>
    <row r="47" ht="13.2" customHeight="1" s="49">
      <c r="A47" s="8" t="inlineStr">
        <is>
          <t>45</t>
        </is>
      </c>
      <c r="B47" s="2" t="inlineStr">
        <is>
          <t>ข้อใดต่อไปนี้ ถูกต้อง</t>
        </is>
      </c>
      <c r="C47" s="2" t="n"/>
      <c r="D47" s="2" t="inlineStr">
        <is>
          <t>การใช้ MPA ร่วมด้วยเพื่อป้องกันมะเร็งเยื่อบุโพรงมดลูก</t>
        </is>
      </c>
      <c r="E47" s="2" t="inlineStr">
        <is>
          <t>การใช้ MPA ร่วมด้วยเพื่อรักษาอาการร้อนวูบวาบ</t>
        </is>
      </c>
      <c r="F47" s="2" t="inlineStr">
        <is>
          <t>การใช้ MPA ร่วมด้วยเพื่อป้องกันมะเร็งเต้านม</t>
        </is>
      </c>
      <c r="G47" s="2" t="inlineStr">
        <is>
          <t>นิยมใช้ estrogen ร่วมกับ MPA กับหญิงที่ตัดมดลูกแล้ว</t>
        </is>
      </c>
      <c r="H47" s="2" t="inlineStr">
        <is>
          <t>ในหญิงที่มีมดลูกนิยมให้เอสโตรเจนเพียงอย่างเดียว</t>
        </is>
      </c>
      <c r="I47" s="8" t="n">
        <v>1</v>
      </c>
      <c r="J47" s="2" t="inlineStr">
        <is>
          <t>✅ คำตอบที่ถูกต้อง: ข้อ ก. การใช้ MPA ร่วมด้วยเพื่อป้องกันมะเร็งเยื่อบุโพรงมดลูก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2" t="n"/>
      <c r="L47" s="2" t="inlineStr">
        <is>
          <t>Oral contraceptive</t>
        </is>
      </c>
      <c r="M47" s="2" t="inlineStr">
        <is>
          <t>Clinic</t>
        </is>
      </c>
      <c r="N47" s="2" t="inlineStr">
        <is>
          <t>ข้อ 45 Pharma Plus เล่มม่วง (เฉลยข้อ ก)</t>
        </is>
      </c>
      <c r="O47" s="2" t="n"/>
      <c r="P47" s="2" t="n"/>
    </row>
    <row r="48" ht="13.2" customHeight="1" s="49">
      <c r="A48" s="8" t="inlineStr">
        <is>
          <t>46</t>
        </is>
      </c>
      <c r="B48" s="2" t="inlineStr">
        <is>
          <t>ข้อใดผิดเกี่ยวกับการใช้ tibolone เป็นฮอร์โมนทดแทน</t>
        </is>
      </c>
      <c r="C48" s="2" t="n"/>
      <c r="D48" s="2" t="inlineStr">
        <is>
          <t>ช่วยเพิ่มมวลกระดูกและความรู้สึกทางเพศ</t>
        </is>
      </c>
      <c r="E48" s="2" t="inlineStr">
        <is>
          <t>ห้ามใช้ยาในผู้ป่วยที่เป็นเนื้องอกหรือครอบครัวมีประวัติเป็นมะเร็งเต้านมและเยื่อบุโพรงมดลูก</t>
        </is>
      </c>
      <c r="F48" s="2" t="inlineStr">
        <is>
          <t>ใช้ร่วมกับ progesterone เสมอเพื่อป้องกันมะเร็งเยื่อบุโพรงมดลูก</t>
        </is>
      </c>
      <c r="G48" s="2" t="inlineStr">
        <is>
          <t>อาจทำให้เกิดอาการคลื่นไส้ อาเจียน ปวดศีรษะ ผื่นคัน หรือบวม</t>
        </is>
      </c>
      <c r="H48" s="2" t="inlineStr">
        <is>
          <t>สามารถป้องกันโรคเกี่ยวกับหลอดเลือดและหัวใจได้</t>
        </is>
      </c>
      <c r="I48" s="8" t="n">
        <v>3</v>
      </c>
      <c r="J48" s="2" t="inlineStr">
        <is>
          <t>✅ คำตอบที่ถูกต้อง: ข้อ ค. ใช้ร่วมกับ progesterone เสมอเพื่อป้องกันมะเร็งเยื่อบุโพรงมดลูก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2" t="n"/>
      <c r="L48" s="2" t="inlineStr">
        <is>
          <t>Oral contraceptive</t>
        </is>
      </c>
      <c r="M48" s="2" t="inlineStr">
        <is>
          <t>Clinic</t>
        </is>
      </c>
      <c r="N48" s="2" t="inlineStr">
        <is>
          <t>ข้อ 46 Pharma Plus เล่มม่วง (เฉลยข้อ ค)</t>
        </is>
      </c>
      <c r="O48" s="2" t="n"/>
      <c r="P48" s="2" t="n"/>
    </row>
    <row r="49" ht="13.2" customHeight="1" s="49">
      <c r="A49" s="8" t="inlineStr">
        <is>
          <t>47</t>
        </is>
      </c>
      <c r="B49" s="2" t="inlineStr">
        <is>
          <t>สถานการณ์ที่ 6 (ต่อเนื่อง)
ควรแนะนำอาหารประเภทใดให้ผู้ป่วยรายนี้</t>
        </is>
      </c>
      <c r="C49" s="2" t="n"/>
      <c r="D49" s="2" t="inlineStr">
        <is>
          <t>นม, เต้าหู้, ปลาไส้ตัน</t>
        </is>
      </c>
      <c r="E49" s="2" t="inlineStr">
        <is>
          <t>น้ำมันตับปลา, มะม่วงสุก, กุ้งแห้ง</t>
        </is>
      </c>
      <c r="F49" s="2" t="inlineStr">
        <is>
          <t>มะละกอกุก, หน่อไม้, ไข่</t>
        </is>
      </c>
      <c r="G49" s="2" t="inlineStr">
        <is>
          <t>ปูอัด, เนื้อไม่ติดมัน, สลัด</t>
        </is>
      </c>
      <c r="H49" s="2" t="inlineStr">
        <is>
          <t>น้ำมะพร้าว, มะเขือเทศ, ปลาทู</t>
        </is>
      </c>
      <c r="I49" s="8" t="n">
        <v>1</v>
      </c>
      <c r="J49" s="2" t="inlineStr">
        <is>
          <t>✅ คำตอบที่ถูกต้อง: ข้อ ก. นม, เต้าหู้, ปลาไส้ตัน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2" t="n"/>
      <c r="L49" s="2" t="inlineStr">
        <is>
          <t>Oral contraceptive</t>
        </is>
      </c>
      <c r="M49" s="2" t="inlineStr">
        <is>
          <t>Clinic</t>
        </is>
      </c>
      <c r="N49" s="2" t="inlineStr">
        <is>
          <t>ข้อ 47 Pharma Plus เล่มม่วง (เฉลยข้อ ก)</t>
        </is>
      </c>
      <c r="O49" s="2" t="n"/>
      <c r="P49" s="2" t="n"/>
    </row>
    <row r="50" ht="13.2" customHeight="1" s="49">
      <c r="A50" s="8" t="inlineStr">
        <is>
          <t>49</t>
        </is>
      </c>
      <c r="B50" s="2" t="inlineStr">
        <is>
          <t>หญิงอายุ 32 ปี น ้าหนัก 60 กก. เพิ่งคลอดบุตรได้ 4 สัปดาห์ ต้องการคุมกำเนิด ควรให้ยาคุมกำเนิดชนิดใด</t>
        </is>
      </c>
      <c r="C50" s="2" t="n"/>
      <c r="D50" s="2" t="inlineStr">
        <is>
          <t>Norethisterone 5 mg</t>
        </is>
      </c>
      <c r="E50" s="2" t="inlineStr">
        <is>
          <t>Levonorgestrel 1.5 mg</t>
        </is>
      </c>
      <c r="F50" s="2" t="inlineStr">
        <is>
          <t>Dienogest 2 mg</t>
        </is>
      </c>
      <c r="G50" s="2" t="inlineStr">
        <is>
          <t>Desogestrel 75 mcg</t>
        </is>
      </c>
      <c r="H50" s="2" t="inlineStr">
        <is>
          <t>Ethinylestradiol 30 mcg + Drospirenone 3 mg</t>
        </is>
      </c>
      <c r="I50" s="8" t="n">
        <v>2</v>
      </c>
      <c r="J50" s="2" t="inlineStr">
        <is>
          <t>✅ คำตอบที่ถูกต้อง: ข้อ ข. Levonorgestrel 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2" t="n"/>
      <c r="L50" s="2" t="inlineStr">
        <is>
          <t>Oral contraceptive</t>
        </is>
      </c>
      <c r="M50" s="2" t="inlineStr">
        <is>
          <t>Contraception</t>
        </is>
      </c>
      <c r="N50" s="2" t="inlineStr">
        <is>
          <t>Mock PLE-CC 1 ข้อ 84</t>
        </is>
      </c>
      <c r="O50" s="2" t="n"/>
      <c r="P50" s="2" t="n"/>
      <c r="Q50" s="2" t="n"/>
    </row>
    <row r="51" ht="13.2" customHeight="1" s="49">
      <c r="A51" s="8" t="inlineStr">
        <is>
          <t>50</t>
        </is>
      </c>
      <c r="B51" s="2" t="inlineStr">
        <is>
          <t>ข้อใดไม่ใช่อาการข้างเคียงรุนแรงของยาคุมกำเนิดชนิดฮอร์โมนรวม</t>
        </is>
      </c>
      <c r="C51" s="2" t="n"/>
      <c r="D51" s="2" t="inlineStr">
        <is>
          <t>ปวดหัวรุนแรง</t>
        </is>
      </c>
      <c r="E51" s="2" t="inlineStr">
        <is>
          <t>ปวดท้องรุนแรง</t>
        </is>
      </c>
      <c r="F51" s="2" t="inlineStr">
        <is>
          <t>การมองเห็นผิดปกติ</t>
        </is>
      </c>
      <c r="G51" s="2" t="inlineStr">
        <is>
          <t>คัดตึงเต้านม</t>
        </is>
      </c>
      <c r="H51" s="2" t="inlineStr">
        <is>
          <t>หายใจล าบาก</t>
        </is>
      </c>
      <c r="I51" s="8" t="n">
        <v>2</v>
      </c>
      <c r="J51" s="2" t="inlineStr">
        <is>
          <t>✅ คำตอบที่ถูกต้อง: ข้อ ข. ปวดท้องรุนแรง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2" t="n"/>
      <c r="L51" s="2" t="inlineStr">
        <is>
          <t>Oral contraceptive</t>
        </is>
      </c>
      <c r="M51" s="2" t="inlineStr">
        <is>
          <t>Contraception</t>
        </is>
      </c>
      <c r="N51" s="2" t="inlineStr">
        <is>
          <t>Mock PLE-CC 1 ข้อ 85</t>
        </is>
      </c>
      <c r="O51" s="2" t="n"/>
      <c r="P51" s="2" t="n"/>
      <c r="Q51" s="2" t="n"/>
    </row>
    <row r="52" ht="13.2" customHeight="1" s="49">
      <c r="A52" s="8" t="inlineStr">
        <is>
          <t>51</t>
        </is>
      </c>
      <c r="B52" s="2" t="inlineStr">
        <is>
          <t>ข้อใดเป็นข้อแนะนำการใช้ ยาคุมแบบแผ่นแปะที่ถูกต้อง</t>
        </is>
      </c>
      <c r="C52" s="2" t="n"/>
      <c r="D52" s="2" t="inlineStr">
        <is>
          <t>เปลี่ยนใหม่ทุก 3 วัน</t>
        </is>
      </c>
      <c r="E52" s="2" t="inlineStr">
        <is>
          <t>แปะซ้อน 2 แผ่น กันลืม</t>
        </is>
      </c>
      <c r="F52" s="2" t="inlineStr">
        <is>
          <t>สามารถแปะครึ่งแผ่นได้ หากน ้าหนักตัวน้อย</t>
        </is>
      </c>
      <c r="G52" s="2" t="inlineStr">
        <is>
          <t>Ethinylestradiol 30 mcg + Levonorgestrel 150 mcg</t>
        </is>
      </c>
      <c r="H52" s="2" t="inlineStr">
        <is>
          <t>แปะแผ่นสัปดาห์ละ 1 แผ่น นาน 3 สัปดาห์ แล้วเว้น 1 สัปดาห์</t>
        </is>
      </c>
      <c r="I52" s="8" t="n">
        <v>4</v>
      </c>
      <c r="J52" s="2" t="inlineStr">
        <is>
          <t>✅ คำตอบที่ถูกต้อง: ข้อ ง.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2" t="n"/>
      <c r="L52" s="2" t="inlineStr">
        <is>
          <t>Oral contraceptive</t>
        </is>
      </c>
      <c r="M52" s="2" t="inlineStr">
        <is>
          <t>Contraception</t>
        </is>
      </c>
      <c r="N52" s="2" t="inlineStr">
        <is>
          <t>Mock PLE-CC 1 ข้อ 86</t>
        </is>
      </c>
      <c r="O52" s="2" t="n"/>
      <c r="P52" s="2" t="n"/>
      <c r="Q52" s="2" t="n"/>
    </row>
    <row r="53" ht="13.2" customHeight="1" s="49">
      <c r="A53" s="8" t="inlineStr">
        <is>
          <t>52</t>
        </is>
      </c>
      <c r="B53" s="2" t="inlineStr">
        <is>
          <t>ข้อใดอธิบายกลไกหลักของยาคุมชนิดฮอร์โมนรวม</t>
        </is>
      </c>
      <c r="C53" s="2" t="n"/>
      <c r="D53" s="2" t="inlineStr">
        <is>
          <t>Prevention of endometrial proliferation and maturation</t>
        </is>
      </c>
      <c r="E53" s="2" t="inlineStr">
        <is>
          <t>Feedback inhibitions to suppress LH surge</t>
        </is>
      </c>
      <c r="F53" s="2" t="inlineStr">
        <is>
          <t>Sensitize hypothalamus to the positive feedback of estrogen</t>
        </is>
      </c>
      <c r="G53" s="2" t="inlineStr">
        <is>
          <t>Delay ovulation</t>
        </is>
      </c>
      <c r="H53" s="2" t="inlineStr">
        <is>
          <t>Reduce chance of conception</t>
        </is>
      </c>
      <c r="I53" s="8" t="n">
        <v>1</v>
      </c>
      <c r="J53" s="2" t="inlineStr">
        <is>
          <t>✅ คำตอบที่ถูกต้อง: ข้อ ก. Prevention of endometrial proliferation and maturation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2" t="n"/>
      <c r="L53" s="2" t="inlineStr">
        <is>
          <t>Oral contraceptive</t>
        </is>
      </c>
      <c r="M53" s="2" t="inlineStr">
        <is>
          <t>Contraception</t>
        </is>
      </c>
      <c r="N53" s="2" t="inlineStr">
        <is>
          <t>Mock PLE-CC 1 ข้อ 87</t>
        </is>
      </c>
      <c r="O53" s="2" t="n"/>
      <c r="P53" s="2" t="n"/>
      <c r="Q53" s="2" t="n"/>
    </row>
    <row r="54" ht="13.2" customHeight="1" s="49">
      <c r="A54" s="8" t="inlineStr">
        <is>
          <t>53</t>
        </is>
      </c>
      <c r="B54" s="2" t="inlineStr">
        <is>
          <t>ข้อใดไม่จัดเป็นเกณฑ์ COA แผ่นแปะยาคุม</t>
        </is>
      </c>
      <c r="C54" s="2" t="n"/>
      <c r="D54" s="2" t="inlineStr">
        <is>
          <t>Identification</t>
        </is>
      </c>
      <c r="E54" s="2" t="inlineStr">
        <is>
          <t>Assay</t>
        </is>
      </c>
      <c r="F54" s="2" t="inlineStr">
        <is>
          <t>In vitro drug release</t>
        </is>
      </c>
      <c r="G54" s="2" t="inlineStr">
        <is>
          <t>Adhesion</t>
        </is>
      </c>
      <c r="H54" s="2" t="inlineStr">
        <is>
          <t>Uniformity of dosage unit</t>
        </is>
      </c>
      <c r="I54" s="8" t="n">
        <v>1</v>
      </c>
      <c r="J54" s="2" t="inlineStr">
        <is>
          <t>✅ คำตอบที่ถูกต้อง: ข้อ ก. Identification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2" t="n"/>
      <c r="L54" s="2" t="inlineStr">
        <is>
          <t>Oral contraceptive</t>
        </is>
      </c>
      <c r="M54" s="2" t="inlineStr">
        <is>
          <t>Contraception</t>
        </is>
      </c>
      <c r="N54" s="2" t="inlineStr">
        <is>
          <t>Mock PLE-CC 1 ข้อ 93</t>
        </is>
      </c>
      <c r="O54" s="2" t="n"/>
      <c r="P54" s="2" t="n"/>
      <c r="Q54" s="2" t="n"/>
    </row>
    <row r="55" ht="13.2" customHeight="1" s="49">
      <c r="A55" s="8" t="inlineStr">
        <is>
          <t>54</t>
        </is>
      </c>
      <c r="B55" s="2"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2" t="n"/>
      <c r="D55" s="2" t="inlineStr">
        <is>
          <t>Perceive susceptibility</t>
        </is>
      </c>
      <c r="E55" s="2" t="inlineStr">
        <is>
          <t>Perceive severity</t>
        </is>
      </c>
      <c r="F55" s="2" t="inlineStr">
        <is>
          <t>Perceive benefits</t>
        </is>
      </c>
      <c r="G55" s="2" t="inlineStr">
        <is>
          <t>Perceive barriers</t>
        </is>
      </c>
      <c r="H55" s="2" t="inlineStr">
        <is>
          <t>Self efficacy</t>
        </is>
      </c>
      <c r="I55" s="8" t="n">
        <v>1</v>
      </c>
      <c r="J55" s="2" t="inlineStr">
        <is>
          <t>✅ คำตอบที่ถูกต้อง: ข้อ ก. Perceive susceptibility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2" t="n"/>
      <c r="L55" s="2" t="inlineStr">
        <is>
          <t>Oral contraceptive</t>
        </is>
      </c>
      <c r="M55" s="2" t="inlineStr">
        <is>
          <t>Contraception</t>
        </is>
      </c>
      <c r="N55" s="2" t="inlineStr">
        <is>
          <t>Mock PLE-CC 1 ข้อ 94</t>
        </is>
      </c>
      <c r="O55" s="2" t="n"/>
      <c r="P55" s="2" t="n"/>
      <c r="Q55" s="2" t="n"/>
    </row>
    <row r="56" ht="13.2" customHeight="1" s="49">
      <c r="A56" s="8" t="inlineStr">
        <is>
          <t>55</t>
        </is>
      </c>
      <c r="B56" s="2" t="inlineStr">
        <is>
          <t>ยาต้านชักตัวไหนส่งผลต่อยาคุมน้อยสุด. ตัวเลือก</t>
        </is>
      </c>
      <c r="C56" s="2" t="n"/>
      <c r="D56" s="2" t="inlineStr">
        <is>
          <t>Contraception</t>
        </is>
      </c>
      <c r="E56" s="2" t="inlineStr">
        <is>
          <t>Tolterodine 2 mg BID</t>
        </is>
      </c>
      <c r="F56" s="2" t="inlineStr">
        <is>
          <t>Dydrogesterone 10 mg BID</t>
        </is>
      </c>
      <c r="G56" s="2" t="inlineStr">
        <is>
          <t>Ethinylestradiol 30 mcg + Levonorgestrel 150 mcg</t>
        </is>
      </c>
      <c r="H56" s="2" t="inlineStr">
        <is>
          <t>Ethinylestradiol 30 mcg + Drospirenone 3 mg</t>
        </is>
      </c>
      <c r="I56" s="8" t="n">
        <v>1</v>
      </c>
      <c r="J56"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2" t="n"/>
      <c r="L56" s="2" t="inlineStr">
        <is>
          <t>Oral contraceptive</t>
        </is>
      </c>
      <c r="M56" s="2" t="inlineStr">
        <is>
          <t>Contraception</t>
        </is>
      </c>
      <c r="N56" s="2" t="inlineStr">
        <is>
          <t>PLE-CC1 ปี 2566 Day 1 ข้อ 14</t>
        </is>
      </c>
      <c r="O56" s="2" t="n"/>
      <c r="P56" s="2" t="n"/>
    </row>
    <row r="57" ht="13.2" customHeight="1" s="49">
      <c r="A57" s="8" t="inlineStr">
        <is>
          <t>56</t>
        </is>
      </c>
      <c r="B57" s="2" t="inlineStr">
        <is>
          <t>ยาคุมเพิ่งคลอดลูกได้2 week กำลังให้นมบุตร ตัวเลือก</t>
        </is>
      </c>
      <c r="C57" s="2" t="n"/>
      <c r="D57" s="2" t="inlineStr">
        <is>
          <t>Contraception</t>
        </is>
      </c>
      <c r="E57" s="2" t="inlineStr">
        <is>
          <t>Ethinylestradiol 30 mcg + Drospirenone 3 mg</t>
        </is>
      </c>
      <c r="F57" s="2" t="inlineStr">
        <is>
          <t>Ethinylestradiol 35 mcg + Cyproterone acetate 2 mg</t>
        </is>
      </c>
      <c r="G57" s="2" t="inlineStr">
        <is>
          <t>Desogestrel 75 mcg OD (Progestin-only)</t>
        </is>
      </c>
      <c r="H57" s="2" t="inlineStr">
        <is>
          <t>Levonorgestrel 1.5 mg stat (Emergency)</t>
        </is>
      </c>
      <c r="I57" s="8" t="n">
        <v>1</v>
      </c>
      <c r="J57"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2" t="n"/>
      <c r="L57" s="2" t="inlineStr">
        <is>
          <t>Oral contraceptive</t>
        </is>
      </c>
      <c r="M57" s="2" t="inlineStr">
        <is>
          <t>Contraception</t>
        </is>
      </c>
      <c r="N57" s="2" t="inlineStr">
        <is>
          <t>PLE-CC1 ปี 2566 Day 1 ข้อ 26</t>
        </is>
      </c>
      <c r="O57" s="2" t="n"/>
      <c r="P57" s="2" t="n"/>
    </row>
    <row r="58" ht="13.2" customHeight="1" s="49">
      <c r="A58" s="8" t="inlineStr">
        <is>
          <t>57</t>
        </is>
      </c>
      <c r="B58" s="2" t="inlineStr">
        <is>
          <t>EE + Drosperinone</t>
        </is>
      </c>
      <c r="C58" s="2" t="n"/>
      <c r="D58" s="2" t="inlineStr">
        <is>
          <t>Contraception</t>
        </is>
      </c>
      <c r="E58" s="2" t="inlineStr">
        <is>
          <t>Levonorgestrel 1.5 mg stat (Emergency)</t>
        </is>
      </c>
      <c r="F58" s="2" t="inlineStr">
        <is>
          <t>Mefenamic acid 500 mg TID</t>
        </is>
      </c>
      <c r="G58" s="2" t="inlineStr">
        <is>
          <t>Tamsulosin 0.4 mg HS</t>
        </is>
      </c>
      <c r="H58" s="2" t="inlineStr">
        <is>
          <t>Finasteride 5 mg OD</t>
        </is>
      </c>
      <c r="I58" s="8" t="n">
        <v>1</v>
      </c>
      <c r="J58"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2" t="n"/>
      <c r="L58" s="2" t="inlineStr">
        <is>
          <t>Oral contraceptive</t>
        </is>
      </c>
      <c r="M58" s="2" t="inlineStr">
        <is>
          <t>Contraception</t>
        </is>
      </c>
      <c r="N58" s="2" t="inlineStr">
        <is>
          <t>PLE-CC1 ปี 2566 Day 1 ข้อ 2</t>
        </is>
      </c>
      <c r="O58" s="2" t="n"/>
      <c r="P58" s="2" t="n"/>
    </row>
    <row r="59" ht="13.2" customHeight="1" s="49">
      <c r="A59" s="8" t="inlineStr">
        <is>
          <t>58</t>
        </is>
      </c>
      <c r="B59" s="2" t="inlineStr">
        <is>
          <t>ผลของยาคุมชนิดฮอร์โมนรวมในระยะยาว ตัวเลือก</t>
        </is>
      </c>
      <c r="C59" s="2" t="n"/>
      <c r="D59" s="2" t="inlineStr">
        <is>
          <t>Contraception</t>
        </is>
      </c>
      <c r="E59" s="2" t="inlineStr">
        <is>
          <t>Finasteride 5 mg OD</t>
        </is>
      </c>
      <c r="F59" s="2" t="inlineStr">
        <is>
          <t>Oxybutynin 5 mg BID</t>
        </is>
      </c>
      <c r="G59" s="2" t="inlineStr">
        <is>
          <t>Tolterodine 2 mg BID</t>
        </is>
      </c>
      <c r="H59" s="2" t="inlineStr">
        <is>
          <t>Dydrogesterone 10 mg BID</t>
        </is>
      </c>
      <c r="I59" s="8" t="n">
        <v>1</v>
      </c>
      <c r="J59"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2" t="n"/>
      <c r="L59" s="2" t="inlineStr">
        <is>
          <t>Oral contraceptive</t>
        </is>
      </c>
      <c r="M59" s="2" t="inlineStr">
        <is>
          <t>Contraception</t>
        </is>
      </c>
      <c r="N59" s="2" t="inlineStr">
        <is>
          <t>PLE-CC1 ปี 2566 Day 1 ข้อ 27</t>
        </is>
      </c>
      <c r="O59" s="2" t="n"/>
      <c r="P59" s="2" t="n"/>
    </row>
    <row r="60" ht="13.2" customHeight="1" s="49">
      <c r="A60" s="8" t="inlineStr">
        <is>
          <t>59</t>
        </is>
      </c>
      <c r="B60" s="2" t="inlineStr">
        <is>
          <t>Combined oral contraceptive pills 1x1 ทุกวัน</t>
        </is>
      </c>
      <c r="C60" s="2" t="n"/>
      <c r="D60" s="2" t="inlineStr">
        <is>
          <t>Contraception</t>
        </is>
      </c>
      <c r="E60" s="2" t="inlineStr">
        <is>
          <t>Dydrogesterone 10 mg BID</t>
        </is>
      </c>
      <c r="F60" s="2" t="inlineStr">
        <is>
          <t>Ethinylestradiol 30 mcg + Levonorgestrel 150 mcg</t>
        </is>
      </c>
      <c r="G60" s="2" t="inlineStr">
        <is>
          <t>Ethinylestradiol 30 mcg + Drospirenone 3 mg</t>
        </is>
      </c>
      <c r="H60" s="2" t="inlineStr">
        <is>
          <t>Ethinylestradiol 35 mcg + Cyproterone acetate 2 mg</t>
        </is>
      </c>
      <c r="I60" s="8" t="n">
        <v>1</v>
      </c>
      <c r="J60"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2" t="n"/>
      <c r="L60" s="2" t="inlineStr">
        <is>
          <t>Oral contraceptive</t>
        </is>
      </c>
      <c r="M60" s="2" t="inlineStr">
        <is>
          <t>Contraception</t>
        </is>
      </c>
      <c r="N60" s="2" t="inlineStr">
        <is>
          <t>PLE-CC1 ปี 2566 Day 2 ข้อ 3</t>
        </is>
      </c>
      <c r="O60" s="2" t="n"/>
      <c r="P60" s="2" t="n"/>
    </row>
    <row r="61" ht="13.2" customHeight="1" s="49">
      <c r="A61" s="8" t="inlineStr">
        <is>
          <t>60</t>
        </is>
      </c>
      <c r="B61" s="2" t="inlineStr">
        <is>
          <t>ผูป%วยรายนี้ควรไดยาคุมในขอใด</t>
        </is>
      </c>
      <c r="C61" s="2" t="n"/>
      <c r="D61" s="2" t="inlineStr">
        <is>
          <t>EE … mcg + Levonorgestrel 0.15 mg</t>
        </is>
      </c>
      <c r="E61" s="2" t="inlineStr">
        <is>
          <t>EE … mcg + Drosperinone 3 mg</t>
        </is>
      </c>
      <c r="F61" s="2" t="inlineStr">
        <is>
          <t>[NEED_REVIEW]</t>
        </is>
      </c>
      <c r="G61" s="2" t="inlineStr">
        <is>
          <t>[NEED_REVIEW]</t>
        </is>
      </c>
      <c r="H61" s="2" t="inlineStr">
        <is>
          <t>[NEED_REVIEW]</t>
        </is>
      </c>
      <c r="I61" s="8" t="n">
        <v>1</v>
      </c>
      <c r="J61" s="2" t="inlineStr">
        <is>
          <t>✅ คำตอบที่ถูกต้อง: ข้อ ก. EE … mcg + Levonorgestrel 0.15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Levonorgestrel เป็น 2nd generation progestin มีฤทธิ์ androgenic สูงกว่า 3rd generation อาจกระทบ lipid profile แต่ประสิทธิภาพสูง
• ข้อ ค. (EE … mcg + Drosperinone 3 mg): EE … mcg + Drosperinone 3 mg ไม่ตรงกับข้อบ่งใช้หรือกลไกการออกฤทธิ์ที่ถูกต้องตาม WHO Medical Eligibility Criteria for Contraceptive Use (5th edition, 2015)
• ข้อ ง. ([NEED_REVIEW]
• ข้อ จ. ([NEED_REVIEW]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2" t="n"/>
      <c r="L61" s="2" t="inlineStr">
        <is>
          <t>Oral contraceptive</t>
        </is>
      </c>
      <c r="M61" s="2" t="inlineStr">
        <is>
          <t>Contraception</t>
        </is>
      </c>
      <c r="N61" s="2" t="inlineStr">
        <is>
          <t>PLE_CC1_2565_Day1_Key ข้อ 65</t>
        </is>
      </c>
      <c r="O61" s="2" t="n"/>
      <c r="P61" s="2" t="n"/>
      <c r="Q61" s="2" t="n"/>
    </row>
    <row r="62" ht="13.2" customHeight="1" s="49">
      <c r="A62" s="8" t="inlineStr">
        <is>
          <t>61</t>
        </is>
      </c>
      <c r="B62" s="2" t="inlineStr">
        <is>
          <t>คำแนะนำในการใชยาคุมขอใดไม;ถูกตอง</t>
        </is>
      </c>
      <c r="C62" s="2" t="n"/>
      <c r="D62" s="2" t="inlineStr">
        <is>
          <t>ทานเม็ดฮอรçโมนเม็ดแรกในวันพรุ;งนี้</t>
        </is>
      </c>
      <c r="E62" s="2" t="inlineStr">
        <is>
          <t>ทานวันละ 1 เม็ดต;อเนื่องทุกวัน เวลาใดก็ไดแต;ใหเปMนเวลาเดียวกันทุกวัน</t>
        </is>
      </c>
      <c r="F62" s="2" t="inlineStr">
        <is>
          <t>หากมีเลือดออกกะปริบกะปรอยจากช;องคลอดใหรีบหยุดทานแลวมาปรึกษาเภสัชกร</t>
        </is>
      </c>
      <c r="G62" s="2" t="inlineStr">
        <is>
          <t>อาจมีอาการคลื่นไสอาเจียนช;วง 2-3 แผงแรก ใหรับประทานเปMนหลังอาหารเย็นหรือก;อนนอนจะช;วย ลดอาการ</t>
        </is>
      </c>
      <c r="H62" s="2" t="inlineStr">
        <is>
          <t>หากลืมรับประทานให#ทานทันทีที่นึกขึ้นได#</t>
        </is>
      </c>
      <c r="I62" s="8" t="n">
        <v>1</v>
      </c>
      <c r="J62" s="2" t="inlineStr">
        <is>
          <t>✅ คำตอบที่ถูกต้อง: ข้อ ก. ทานเม็ดฮอรçโมนเม็ดแรกในวันพรุ;งนี้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ทานเม็ดฮอรçโมนเม็ดแรกในวันพรุ;งนี้ ไม่ตรงกับข้อบ่งใช้หรือกลไกการออกฤทธิ์ที่ถูกต้องตาม WHO Medical Eligibility Criteria for Contraceptive Use (5th edition, 2015)
• ข้อ ค. (ทานวันละ 1 เม็ดต;อเนื่องทุกวัน เวลาใดก็ไดแต;ใหเปMนเวลาเดียวกันทุกวัน): ทานวันละ 1 เม็ดต;อเนื่องทุกวัน เวลาใดก็ไดแต;ใหเปMนเวลาเดียวกันทุกวัน ไม่ตรงกับข้อบ่งใช้หรือกลไกการออกฤทธิ์ที่ถูกต้องตาม WHO Medical Eligibility Criteria for Contraceptive Use (5th edition, 2015)
• ข้อ ง. (หากมีเลือดออกกะปริบกะปรอยจากช;องคลอดใหรีบหยุดทานแลวมาปรึกษาเภสัชกร): หากมีเลือดออกกะปริบกะปรอยจากช;องคลอดใหรีบหยุดทานแลวมาปรึกษาเภสัชกร ไม่ตรงกับข้อบ่งใช้หรือกลไกการออกฤทธิ์ที่ถูกต้องตาม WHO Medical Eligibility Criteria for Contraceptive Use (5th edition, 2015)
• ข้อ จ. (อาจมีอาการคลื่นไสอาเจียนช;วง 2-3 แผงแรก ใหรับประทานเปMนหลังอาหารเย็นหรือก;อนนอนจะช;วย ลดอาการ): อาจมีอาการคลื่นไสอาเจียนช;วง 2-3 แผงแรก ใหรับประทานเปMนหลังอาหารเย็นหรือก;อนนอนจะช;วย ลดอาการ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2" t="n"/>
      <c r="L62" s="2" t="inlineStr">
        <is>
          <t>Oral contraceptive</t>
        </is>
      </c>
      <c r="M62" s="2" t="inlineStr">
        <is>
          <t>Contraception</t>
        </is>
      </c>
      <c r="N62" s="2" t="inlineStr">
        <is>
          <t>PLE_CC1_2565_Day1_Key ข้อ 66</t>
        </is>
      </c>
      <c r="O62" s="2" t="n"/>
      <c r="P62" s="2" t="n"/>
      <c r="Q62" s="2" t="n"/>
    </row>
    <row r="63" ht="13.2" customHeight="1" s="49">
      <c r="A63" s="8" t="inlineStr">
        <is>
          <t>62</t>
        </is>
      </c>
      <c r="B63" s="2" t="inlineStr">
        <is>
          <t>Oral contraceptive</t>
        </is>
      </c>
      <c r="C63" s="2" t="n"/>
      <c r="D63" s="2" t="inlineStr">
        <is>
          <t>Contraception</t>
        </is>
      </c>
      <c r="E63" s="2" t="inlineStr">
        <is>
          <t>Oxybutynin 5 mg BID</t>
        </is>
      </c>
      <c r="F63" s="2" t="inlineStr">
        <is>
          <t>Tolterodine 2 mg BID</t>
        </is>
      </c>
      <c r="G63" s="2" t="inlineStr">
        <is>
          <t>Dydrogesterone 10 mg BID</t>
        </is>
      </c>
      <c r="H63" s="2" t="inlineStr">
        <is>
          <t>Ethinylestradiol 30 mcg + Levonorgestrel 150 mcg</t>
        </is>
      </c>
      <c r="I63" s="8" t="n">
        <v>1</v>
      </c>
      <c r="J63"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2" t="n"/>
      <c r="L63" s="2" t="inlineStr">
        <is>
          <t>Oral contraceptive</t>
        </is>
      </c>
      <c r="M63" s="2" t="inlineStr">
        <is>
          <t>Contraception</t>
        </is>
      </c>
      <c r="N63" s="2" t="inlineStr">
        <is>
          <t>PLE_CC1_2565_Day1_Key ข้อ 16</t>
        </is>
      </c>
      <c r="O63" s="2" t="n"/>
      <c r="P63" s="2" t="n"/>
    </row>
    <row r="64" ht="13.2" customHeight="1" s="49">
      <c r="A64" s="8" t="inlineStr">
        <is>
          <t>63</t>
        </is>
      </c>
      <c r="B64" s="2"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2" t="n"/>
      <c r="D64" s="2" t="inlineStr">
        <is>
          <t>Contraception</t>
        </is>
      </c>
      <c r="E64" s="2" t="inlineStr">
        <is>
          <t>Ethinylestradiol 30 mcg + Levonorgestrel 150 mcg</t>
        </is>
      </c>
      <c r="F64" s="2" t="inlineStr">
        <is>
          <t>Ethinylestradiol 30 mcg + Drospirenone 3 mg</t>
        </is>
      </c>
      <c r="G64" s="2" t="inlineStr">
        <is>
          <t>Ethinylestradiol 35 mcg + Cyproterone acetate 2 mg</t>
        </is>
      </c>
      <c r="H64" s="2" t="inlineStr">
        <is>
          <t>Desogestrel 75 mcg OD (Progestin-only)</t>
        </is>
      </c>
      <c r="I64" s="8" t="n">
        <v>1</v>
      </c>
      <c r="J64"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Oral contraceptive</t>
        </is>
      </c>
      <c r="M64" s="2" t="inlineStr">
        <is>
          <t>Contraception</t>
        </is>
      </c>
      <c r="N64" s="2" t="inlineStr">
        <is>
          <t>PLE_CC1_2564_All_Key ข้อ 26</t>
        </is>
      </c>
      <c r="O64" s="2" t="n"/>
      <c r="P64" s="2" t="n"/>
    </row>
    <row r="65" ht="13.2" customHeight="1" s="49">
      <c r="A65" s="8" t="inlineStr">
        <is>
          <t>64</t>
        </is>
      </c>
      <c r="B65" s="2" t="inlineStr">
        <is>
          <t>ใช้อะไรในการสกัด tree tea oil จากใบและกิ่งสด</t>
        </is>
      </c>
      <c r="C65" s="2" t="n"/>
      <c r="D65" s="2" t="inlineStr">
        <is>
          <t>Soxhlet extraction</t>
        </is>
      </c>
      <c r="E65" s="2" t="inlineStr">
        <is>
          <t>สกัดด้วยน้ำ</t>
        </is>
      </c>
      <c r="F65" s="2" t="inlineStr">
        <is>
          <t>กลั่นด้วยไอน้ำ</t>
        </is>
      </c>
      <c r="G65" s="2" t="inlineStr">
        <is>
          <t>Enfleurage</t>
        </is>
      </c>
      <c r="H65" s="2" t="inlineStr">
        <is>
          <t>Soxhlet extraction</t>
        </is>
      </c>
      <c r="I65" s="8" t="n">
        <v>2</v>
      </c>
      <c r="J65" s="2" t="inlineStr">
        <is>
          <t>✅ คำตอบที่ถูกต้อง: ข้อ ข. สกัดด้วยน้ำ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สกัดด้วยน้ำ ..............................................................................................................................................................................................................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(Soxhlet extraction): Soxhlet extraction ไม่ตรงกับข้อบ่งใช้หรือกลไกการออกฤทธิ์ที่ถูกต้องตาม WHO Medical Eligibility Criteria for Contraceptive Use (5th edition, 2015)
• ข้อ ง. (กลั่นด้วยไอน้ำ): กลั่นด้วยไอน้ำ ไม่ตรงกับข้อบ่งใช้หรือกลไกการออกฤทธิ์ที่ถูกต้องตาม WHO Medical Eligibility Criteria for Contraceptive Use (5th edition, 2015)
• ข้อ จ. (Enfleurage): Enfleurage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2" t="n"/>
      <c r="L65" s="2" t="inlineStr">
        <is>
          <t>Oral contraceptive</t>
        </is>
      </c>
      <c r="M65" s="2" t="inlineStr">
        <is>
          <t>Contraception</t>
        </is>
      </c>
      <c r="N65" s="2" t="inlineStr">
        <is>
          <t>PLE_CC1_2564_All_Key ข้อ 85</t>
        </is>
      </c>
      <c r="O65" s="2" t="n"/>
      <c r="P65" s="2" t="n"/>
      <c r="Q65" s="2" t="n"/>
    </row>
    <row r="66" ht="13.2" customHeight="1" s="49">
      <c r="A66" s="8" t="inlineStr">
        <is>
          <t>65</t>
        </is>
      </c>
      <c r="B66" s="2"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2" t="n"/>
      <c r="D66" s="2" t="inlineStr">
        <is>
          <t>Contraception</t>
        </is>
      </c>
      <c r="E66" s="2" t="inlineStr">
        <is>
          <t>43 Pseudoplastic C 0.47</t>
        </is>
      </c>
      <c r="F66" s="2" t="inlineStr">
        <is>
          <t>ตำรับ B มีแนวโน้มคษตัวดีกว่าตำรับ C</t>
        </is>
      </c>
      <c r="G66" s="2" t="inlineStr">
        <is>
          <t>เพิ่มความคงตัวของตำรับ C ได้โดยการเพิ่มปริมาณ wetting agent</t>
        </is>
      </c>
      <c r="H66" s="2" t="inlineStr">
        <is>
          <t>Tolterodine 2 mg BID</t>
        </is>
      </c>
      <c r="I66" s="8" t="n">
        <v>1</v>
      </c>
      <c r="J66"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2" t="n"/>
      <c r="L66" s="2" t="inlineStr">
        <is>
          <t>Oral contraceptive</t>
        </is>
      </c>
      <c r="M66" s="2" t="inlineStr">
        <is>
          <t>Contraception</t>
        </is>
      </c>
      <c r="N66" s="2" t="inlineStr">
        <is>
          <t>PLE_CC1_2563_Q ข้อ 27</t>
        </is>
      </c>
      <c r="O66" s="2" t="n"/>
      <c r="P66" s="2" t="n"/>
    </row>
    <row r="67" ht="13.2" customHeight="1" s="49">
      <c r="A67" s="8" t="inlineStr">
        <is>
          <t>65</t>
        </is>
      </c>
      <c r="B67" s="2" t="inlineStr">
        <is>
          <t>คำแนะนำใดที่เหมาะสม หากผู้ป่วยวางแผนจะตั้งครรภ์ &amp; aeveIndiana inactancia X Type B ADR Malenuresen</t>
        </is>
      </c>
      <c r="C67" s="2" t="n"/>
      <c r="D67" s="2" t="inlineStr">
        <is>
          <t>ให้ vitamin K จนกว่าจะคลอด</t>
        </is>
      </c>
      <c r="E67" s="2" t="inlineStr">
        <is>
          <t>ให้ folic acid เสริมตั้งแต่วันนี้เป็นต้นไป</t>
        </is>
      </c>
      <c r="F67" s="2" t="inlineStr">
        <is>
          <t>รักษาอาการชักจนหายก่อนวางแผนตั้งครรภ์</t>
        </is>
      </c>
      <c r="G67" s="2" t="inlineStr">
        <is>
          <t>หยุดยารักษาอาการชักก่อนการตั้งครรภ์</t>
        </is>
      </c>
      <c r="H67" s="2" t="inlineStr">
        <is>
          <t>เปลี่ยนยารักษาอาการชักเป็น valproic acid สำหรับหญิงตั้งครรภ์</t>
        </is>
      </c>
      <c r="I67" s="8" t="n">
        <v>1</v>
      </c>
      <c r="J67" s="2" t="inlineStr">
        <is>
          <t>✅ คำตอบที่ถูกต้อง: ข้อ ก. ให้ vitamin K จนกว่าจะคลอด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2" t="n"/>
      <c r="L67" s="2" t="inlineStr">
        <is>
          <t>Oral contraceptive</t>
        </is>
      </c>
      <c r="M67" s="2" t="inlineStr">
        <is>
          <t>Clinic</t>
        </is>
      </c>
      <c r="N67" s="2" t="inlineStr">
        <is>
          <t>ข้อ 99 (PLE_CC1_2562_Key.md)</t>
        </is>
      </c>
      <c r="O67" s="2" t="n"/>
      <c r="P67" s="2" t="n"/>
    </row>
    <row r="68" ht="13.2" customHeight="1" s="49">
      <c r="A68" s="8" t="inlineStr">
        <is>
          <t>66</t>
        </is>
      </c>
      <c r="B68" s="2" t="inlineStr">
        <is>
          <t>หากหญิงคนนี้กินยาฮอร์โมนรวมไปได้หลายวันแล้ว มีเลือดออกกระปิดกระปอยควรแนะนำอย่างไร</t>
        </is>
      </c>
      <c r="C68" s="2" t="n"/>
      <c r="D68" s="2" t="inlineStr">
        <is>
          <t>กินไปเหมือนเดิมแล้วอาการจะหายไปหลังใช้ยาต่อเนื่อง 2-3 เดือน</t>
        </is>
      </c>
      <c r="E68" s="2" t="inlineStr">
        <is>
          <t>เพิ่มปริมาณ estrogen</t>
        </is>
      </c>
      <c r="F68" s="2" t="inlineStr">
        <is>
          <t>ลดปริมาณ estrogen</t>
        </is>
      </c>
      <c r="G68" s="2" t="inlineStr">
        <is>
          <t>เพิ่มปริมาณ progesterone</t>
        </is>
      </c>
      <c r="H68" s="2" t="inlineStr">
        <is>
          <t>ลดปริมาณ progesterone</t>
        </is>
      </c>
      <c r="I68" s="8" t="n">
        <v>1</v>
      </c>
      <c r="J68" s="2" t="inlineStr">
        <is>
          <t>✅ คำตอบที่ถูกต้อง: ข้อ ก. กินไปเหมือนเดิมแล้วอาการจะหายไปหลังใช้ยาต่อเนื่อง 2-3 เดือน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2" t="n"/>
      <c r="L68" s="2" t="inlineStr">
        <is>
          <t>Oral contraceptive</t>
        </is>
      </c>
      <c r="M68" s="2" t="inlineStr">
        <is>
          <t>Clinic</t>
        </is>
      </c>
      <c r="N68" s="2" t="inlineStr">
        <is>
          <t>ข้อ 48 (PLE_CC1_2562_Key.md)</t>
        </is>
      </c>
      <c r="O68" s="2" t="n"/>
      <c r="P68" s="2" t="n"/>
    </row>
    <row r="69" ht="13.2" customHeight="1" s="49">
      <c r="A69" s="8" t="inlineStr">
        <is>
          <t>67</t>
        </is>
      </c>
      <c r="B69" s="2" t="inlineStr">
        <is>
          <t>ข้อใดคือข้อห(ามใช(ยาคุมกำเนิดแบบฮอรโมนรวมตาม WHO category 4</t>
        </is>
      </c>
      <c r="C69" s="2" t="n"/>
      <c r="D69" s="2" t="inlineStr">
        <is>
          <t>สูบบุหรี่ 10 มวน/วัน</t>
        </is>
      </c>
      <c r="E69" s="2" t="inlineStr">
        <is>
          <t>เป5นโรคเส(นเลือดขอด</t>
        </is>
      </c>
      <c r="F69" s="2" t="inlineStr">
        <is>
          <t>เป5นไมเกรนแบบมีออร.า</t>
        </is>
      </c>
      <c r="G69" s="2" t="inlineStr">
        <is>
          <t>ดัชนีมวลกาย 28 kg/m2 I</t>
        </is>
      </c>
      <c r="H69" s="2" t="inlineStr">
        <is>
          <t>ระดับไขมันในเลือดผิดปกติ</t>
        </is>
      </c>
      <c r="I69" s="8" t="n">
        <v>1</v>
      </c>
      <c r="J69" s="2" t="inlineStr">
        <is>
          <t>✅ คำตอบที่ถูกต้อง: ข้อ ก. สูบบุหรี่ 10 มวน/วัน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2" t="n"/>
      <c r="L69" s="2" t="inlineStr">
        <is>
          <t>Oral contraceptive</t>
        </is>
      </c>
      <c r="M69" s="2" t="inlineStr">
        <is>
          <t>Clinic</t>
        </is>
      </c>
      <c r="N69" s="2" t="inlineStr">
        <is>
          <t>ข้อ 55 (PLE_CC1_2561_Key.md)</t>
        </is>
      </c>
      <c r="O69" s="2" t="n"/>
      <c r="P69" s="2" t="n"/>
    </row>
    <row r="70" ht="13.2" customHeight="1" s="49">
      <c r="A70" s="8" t="inlineStr">
        <is>
          <t>68</t>
        </is>
      </c>
      <c r="B70" s="2" t="inlineStr">
        <is>
          <t>ข้อใดถูกต้องเกี่ยวกับยาคุมสูตรผสมชนิดแผ.นแปะ</t>
        </is>
      </c>
      <c r="C70" s="2" t="n"/>
      <c r="D70" s="2" t="inlineStr">
        <is>
          <t>ใช(กับผู(หญิงให(นมบุตรได(</t>
        </is>
      </c>
      <c r="E70" s="2" t="inlineStr">
        <is>
          <t>มีประสิทธิภาพดีกว.ายารับประทาน</t>
        </is>
      </c>
      <c r="F70" s="2" t="inlineStr">
        <is>
          <t>ใช(กับผู(หญิงที่เป5นไมเกรนแบบมีออร.าได(</t>
        </is>
      </c>
      <c r="G70" s="2" t="inlineStr">
        <is>
          <t>ไม.มีอันตรกิริยากับยาที่เหนี่ยวนำเอนไซม</t>
        </is>
      </c>
      <c r="H70" s="2" t="inlineStr">
        <is>
          <t>ความร.วมมือในการใช(ยาดีกว.ายารับประทาน progestin</t>
        </is>
      </c>
      <c r="I70" s="8" t="n">
        <v>1</v>
      </c>
      <c r="J70" s="2" t="inlineStr">
        <is>
          <t>✅ คำตอบที่ถูกต้อง: ข้อ ก. ใช(กับผู(หญิงให(นมบุตรได(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2" t="n"/>
      <c r="L70" s="2" t="inlineStr">
        <is>
          <t>Oral contraceptive</t>
        </is>
      </c>
      <c r="M70" s="2" t="inlineStr">
        <is>
          <t>Clinic</t>
        </is>
      </c>
      <c r="N70" s="2" t="inlineStr">
        <is>
          <t>ข้อ 56 (PLE_CC1_2561_Key.md)</t>
        </is>
      </c>
      <c r="O70" s="2" t="n"/>
      <c r="P70" s="2" t="n"/>
    </row>
    <row r="71" ht="13.2" customHeight="1" s="49">
      <c r="A71" s="8" t="inlineStr">
        <is>
          <t>69</t>
        </is>
      </c>
      <c r="B71" s="2" t="inlineStr">
        <is>
          <t>หากต(องการเปลี่ยนระบบกระจายยาจาก three day dose เป5น one day dose จะต(องใช(ระบบใดประกันคุณภาพ mm</t>
        </is>
      </c>
      <c r="C71" s="2" t="n"/>
      <c r="D71" s="2" t="inlineStr">
        <is>
          <t>GMP</t>
        </is>
      </c>
      <c r="E71" s="2" t="inlineStr">
        <is>
          <t>PIC/s</t>
        </is>
      </c>
      <c r="F71" s="2" t="inlineStr">
        <is>
          <t>PDCA</t>
        </is>
      </c>
      <c r="G71" s="2" t="inlineStr">
        <is>
          <t>HACCP</t>
        </is>
      </c>
      <c r="H71" s="2" t="inlineStr">
        <is>
          <t>GMP QA plando then at</t>
        </is>
      </c>
      <c r="I71" s="8" t="n">
        <v>1</v>
      </c>
      <c r="J71" s="2" t="inlineStr">
        <is>
          <t>✅ คำตอบที่ถูกต้อง: ข้อ ก. GMP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2" t="n"/>
      <c r="L71" s="2" t="inlineStr">
        <is>
          <t>Oral contraceptive</t>
        </is>
      </c>
      <c r="M71" s="2" t="inlineStr">
        <is>
          <t>Clinic</t>
        </is>
      </c>
      <c r="N71" s="2" t="inlineStr">
        <is>
          <t>ข้อ 86 (PLE_CC1_2561_Key.md)</t>
        </is>
      </c>
      <c r="O71" s="2" t="n"/>
      <c r="P71" s="2" t="n"/>
    </row>
    <row r="72" ht="13.2" customHeight="1" s="49">
      <c r="A72" s="8" t="inlineStr">
        <is>
          <t>70</t>
        </is>
      </c>
      <c r="B72" s="2" t="inlineStr">
        <is>
          <t>ยา Progestins ที่นิยมใช้ใน Progesterone only pills (POPs)</t>
        </is>
      </c>
      <c r="C72" s="2" t="n"/>
      <c r="D72" s="2" t="inlineStr">
        <is>
          <t>Desogestrel</t>
        </is>
      </c>
      <c r="E72" s="2" t="inlineStr">
        <is>
          <t>Norgestrel</t>
        </is>
      </c>
      <c r="F72" s="2" t="inlineStr">
        <is>
          <t>Gestodene</t>
        </is>
      </c>
      <c r="G72" s="2" t="inlineStr">
        <is>
          <t>Norgestimate</t>
        </is>
      </c>
      <c r="H72" s="2" t="inlineStr">
        <is>
          <t>Levonorgestrel</t>
        </is>
      </c>
      <c r="I72" s="8" t="n">
        <v>1</v>
      </c>
      <c r="J72" s="2"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Hormonal replacement</t>
        </is>
      </c>
      <c r="M72" s="2" t="inlineStr">
        <is>
          <t>Clinic</t>
        </is>
      </c>
      <c r="N72" s="2" t="inlineStr">
        <is>
          <t>ข้อ 3 (PLE_CC1_2560 22 April Set 1.md)</t>
        </is>
      </c>
      <c r="O72" s="2" t="n"/>
      <c r="P72" s="2" t="n"/>
    </row>
    <row r="73" ht="13.2" customHeight="1" s="49">
      <c r="A73" s="8" t="inlineStr">
        <is>
          <t>71</t>
        </is>
      </c>
      <c r="B73" s="2" t="inlineStr">
        <is>
          <t>ยาคุมก้าเนิดในข้อใด เหมาะสมที่สุด (โจทย์มีแค่นี แหละ)</t>
        </is>
      </c>
      <c r="C73" s="2" t="n"/>
      <c r="D73" s="2" t="inlineStr">
        <is>
          <t>Levonorgestrel</t>
        </is>
      </c>
      <c r="E73" s="2" t="inlineStr">
        <is>
          <t>Lynestrenol</t>
        </is>
      </c>
      <c r="F73" s="2" t="inlineStr">
        <is>
          <t>Ethinyl estradiol + Desogestrel</t>
        </is>
      </c>
      <c r="G73" s="2" t="inlineStr">
        <is>
          <t>Ethinyl estradiol + Levonorgestrel</t>
        </is>
      </c>
      <c r="H73" s="2" t="inlineStr">
        <is>
          <t>Ethinyl estradiol + Gestodene รวมโดย Phongsathorn Phlaisaithong Rx 9 UP 19 | P a g e</t>
        </is>
      </c>
      <c r="I73" s="8" t="n">
        <v>1</v>
      </c>
      <c r="J73" s="2"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2" t="n"/>
      <c r="L73" s="2" t="inlineStr">
        <is>
          <t>Oral contraceptive</t>
        </is>
      </c>
      <c r="M73" s="2" t="inlineStr">
        <is>
          <t>Clinic</t>
        </is>
      </c>
      <c r="N73" s="2" t="inlineStr">
        <is>
          <t>ข้อ 4 (PLE_CC1_2560 22 April Set 1.md)</t>
        </is>
      </c>
      <c r="O73" s="2" t="n"/>
      <c r="P73" s="2" t="n"/>
    </row>
    <row r="74" ht="13.2" customHeight="1" s="49">
      <c r="A74" s="8" t="inlineStr">
        <is>
          <t>72</t>
        </is>
      </c>
      <c r="B74" s="2"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2" t="n"/>
      <c r="D74" s="2" t="inlineStr">
        <is>
          <t>รับประทานยาคุมต่อไปตามปกติ</t>
        </is>
      </c>
      <c r="E74" s="2" t="inlineStr">
        <is>
          <t>รับประทานยาทันที 1 เม็ด และทานยาต่อไปตามปกติ</t>
        </is>
      </c>
      <c r="F74" s="2" t="inlineStr">
        <is>
          <t>รับประทานยาทันที 1 เม็ด และทานยาต่อไปตามปกติพร้อมทั งคุมก้าเนิดวิธีอื่นร่วมด้วย 7 วัน</t>
        </is>
      </c>
      <c r="G74" s="2" t="inlineStr">
        <is>
          <t>หยุดรับประทานยาทันที รอประจ้าเดือนมาและเริ่มรับประทานยาแผงใหม่</t>
        </is>
      </c>
      <c r="H74" s="2"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8" t="n">
        <v>1</v>
      </c>
      <c r="J74" s="2" t="inlineStr">
        <is>
          <t>✅ คำตอบที่ถูกต้อง: ข้อ ก. รับประทานยาคุมต่อไปตามปกติ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2" t="n"/>
      <c r="L74" s="2" t="inlineStr">
        <is>
          <t>Oral contraceptive</t>
        </is>
      </c>
      <c r="M74" s="2" t="inlineStr">
        <is>
          <t>Clinic</t>
        </is>
      </c>
      <c r="N74" s="2" t="inlineStr">
        <is>
          <t>ข้อ 42 (PLE_CC1_2559.md)</t>
        </is>
      </c>
      <c r="O74" s="2" t="n"/>
      <c r="P74" s="2" t="n"/>
    </row>
    <row r="75" ht="13.2" customHeight="1" s="49">
      <c r="A75" s="8" t="inlineStr">
        <is>
          <t>73</t>
        </is>
      </c>
      <c r="B75" s="2" t="inlineStr">
        <is>
          <t>ผู้ป่วยหญิงอายุ 16 ปี ให้ EE 30 + levonorgestrel 150 เป็นสิว น้ำหนักขึ้น มาปรึกษาที่ร้านยาข้อห้ามใช้ COC ในการคุมกำเนิด ยกเว้น ข้อใด</t>
        </is>
      </c>
      <c r="C75" s="2" t="n"/>
      <c r="D75" s="2" t="inlineStr">
        <is>
          <t>IHD</t>
        </is>
      </c>
      <c r="E75" s="2" t="inlineStr">
        <is>
          <t>DVT</t>
        </is>
      </c>
      <c r="F75" s="2" t="inlineStr">
        <is>
          <t>DM</t>
        </is>
      </c>
      <c r="G75" s="2" t="inlineStr">
        <is>
          <t>มะเร็งตับ</t>
        </is>
      </c>
      <c r="H75" s="2" t="inlineStr">
        <is>
          <t>โรคหลอดเลือดสมอง</t>
        </is>
      </c>
      <c r="I75" s="8" t="n">
        <v>1</v>
      </c>
      <c r="J75" s="2" t="inlineStr">
        <is>
          <t>✅ คำตอบที่ถูกต้อง: ข้อ ก. IHD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DVT ไม่ตรงกับข้อบ่งใช้หรือกลไกการออกฤทธิ์ที่ถูกต้องตาม WHO Medical Eligibility Criteria for Contraceptive Use (5th edition, 2015)
• ข้อ ค. (DM): DM ไม่ตรงกับข้อบ่งใช้หรือกลไกการออกฤทธิ์ที่ถูกต้องตาม WHO Medical Eligibility Criteria for Contraceptive Use (5th edition, 2015)
• ข้อ ง. (มะเร็งตับ): มะเร็งตับ ไม่ตรงกับข้อบ่งใช้หรือกลไกการออกฤทธิ์ที่ถูกต้องตาม WHO Medical Eligibility Criteria for Contraceptive Use (5th edition, 2015)
• ข้อ จ. (โรคหลอดเลือดสมอง): โรคหลอดเลือดสมอง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2" t="n"/>
      <c r="L75" s="2" t="inlineStr">
        <is>
          <t>Oral contraceptive</t>
        </is>
      </c>
      <c r="M75" s="2" t="inlineStr">
        <is>
          <t>Clinic</t>
        </is>
      </c>
      <c r="N75" s="2" t="inlineStr">
        <is>
          <t>ข้อ 77 (PLE_CC1_2558_Key.md)</t>
        </is>
      </c>
      <c r="O75" s="2" t="n"/>
      <c r="P75" s="2" t="n"/>
    </row>
    <row r="76" ht="13.2" customHeight="1" s="49">
      <c r="A76" s="8" t="inlineStr">
        <is>
          <t>74</t>
        </is>
      </c>
      <c r="B76" s="2" t="inlineStr">
        <is>
          <t>หากต้องการควบคุมน้ำหนักต้องใช้ progestin ตัวใด</t>
        </is>
      </c>
      <c r="C76" s="2" t="n"/>
      <c r="D76" s="2" t="inlineStr">
        <is>
          <t>Levonorgestrel</t>
        </is>
      </c>
      <c r="E76" s="2" t="inlineStr">
        <is>
          <t>Drospirenone</t>
        </is>
      </c>
      <c r="F76" s="2" t="inlineStr">
        <is>
          <t>Cyproterone</t>
        </is>
      </c>
      <c r="G76" s="2" t="inlineStr">
        <is>
          <t>Norgesthimate</t>
        </is>
      </c>
      <c r="H76" s="2" t="inlineStr">
        <is>
          <t>Desogestrel</t>
        </is>
      </c>
      <c r="I76" s="8" t="n">
        <v>1</v>
      </c>
      <c r="J76" s="2"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(Cyproterone): Cyproterone ไม่ตรงกับข้อบ่งใช้หรือกลไกการออกฤทธิ์ที่ถูกต้องตาม WHO Medical Eligibility Criteria for Contraceptive Use (5th edition, 2015)
• ข้อ ง. (Norgesthimate): Norgesthimate ไม่ตรงกับข้อบ่งใช้หรือกลไกการออกฤทธิ์ที่ถูกต้องตาม WHO Medical Eligibility Criteria for Contraceptive Use (5th edition, 2015)
• ข้อ จ. (Desogestrel): Desogestrel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2" t="n"/>
      <c r="L76" s="2" t="inlineStr">
        <is>
          <t>Oral contraceptive</t>
        </is>
      </c>
      <c r="M76" s="2" t="inlineStr">
        <is>
          <t>Clinic</t>
        </is>
      </c>
      <c r="N76" s="2" t="inlineStr">
        <is>
          <t>ข้อ 78 (PLE_CC1_2558_Key.md)</t>
        </is>
      </c>
      <c r="O76" s="2" t="n"/>
      <c r="P76" s="2" t="n"/>
    </row>
    <row r="77" ht="13.2" customHeight="1" s="49">
      <c r="A77" s="8" t="inlineStr">
        <is>
          <t>75</t>
        </is>
      </c>
      <c r="B77" s="2" t="inlineStr">
        <is>
          <t>วิธีการกินยาคุมฉุกเฉินที่ถูกต้อง</t>
        </is>
      </c>
      <c r="C77" s="2" t="n"/>
      <c r="D77" s="2" t="inlineStr">
        <is>
          <t>กิน levonorgrestrel 150 mcg 2 เม็ดใน 72 ชั่วโมง และตามด้วย 2 เม็ด ใน 12 ชม.ต่อมา</t>
        </is>
      </c>
      <c r="E77" s="2" t="inlineStr">
        <is>
          <t>กิน levonorgrestrel 150 mcg 1 เม็ดใน 72 ชั่วโมง และตามด้วย 2 เม็ด ใน 12 ชม.ต่อมา</t>
        </is>
      </c>
      <c r="F77" s="2" t="inlineStr">
        <is>
          <t>กิน levonorgrestrel 150 mcg 2 เม็ดใน 72 ชั่วโมง และตามด้วย 1 เม็ด ใน 12 ชม.ต่อมา</t>
        </is>
      </c>
      <c r="G77" s="2" t="inlineStr">
        <is>
          <t>กินยาคุม COC ที่มีปริมาณ EE รวม 300 mcg ใน 72ชั่วโมง และตามด้วย EE 300 mcg อีกครั้งใน 12 ชม.ต่อมา</t>
        </is>
      </c>
      <c r="H77" s="2" t="inlineStr">
        <is>
          <t>กิน levonorgrestrel 150 mcg 1 เม็ดใน 72 ชั่วโมง และตามด้วย 1 เม็ด ใน 12 ชม.ต่อมา</t>
        </is>
      </c>
      <c r="I77" s="8" t="n">
        <v>1</v>
      </c>
      <c r="J77" s="2" t="inlineStr">
        <is>
          <t>✅ คำตอบที่ถูกต้อง: ข้อ ก. กิน levonorgrestrel 150 mcg 2 เม็ดใน 72 ชั่วโมง และตามด้วย 2 เม็ด ใน 12 ชม.ต่อมา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กิน levonorgrestrel 150 mcg 1 เม็ดใน 72 ชั่วโมง และตามด้วย 2 เม็ด ใน 12 ชม.ต่อมา ไม่ตรงกับข้อบ่งใช้หรือกลไกการออกฤทธิ์ที่ถูกต้องตาม WHO Medical Eligibility Criteria for Contraceptive Use (5th edition, 2015)
• ข้อ ค. (กิน levonorgrestrel 150 mcg 2 เม็ดใน 72 ชั่วโมง และตามด้วย 1 เม็ด ใน 12 ชม.ต่อมา): กิน levonorgrestrel 150 mcg 2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ข้อ ง. (กินยาคุม COC ที่มีปริมาณ EE รวม 300 mcg ใน 72ชั่วโมง และตามด้วย EE 300 mcg อีกครั้งใน 12 ชม.ต่อมา): กินยาคุม COC ที่มีปริมาณ EE รวม 300 mcg ใน 72ชั่วโมง และตามด้วย EE 300 mcg อีกครั้งใน 12 ชม.ต่อมา ไม่ตรงกับข้อบ่งใช้หรือกลไกการออกฤทธิ์ที่ถูกต้องตาม WHO Medical Eligibility Criteria for Contraceptive Use (5th edition, 2015)
• ข้อ จ. (กิน levonorgrestrel 150 mcg 1 เม็ดใน 72 ชั่วโมง และตามด้วย 1 เม็ด ใน 12 ชม.ต่อมา): กิน levonorgrestrel 150 mcg 1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2" t="n"/>
      <c r="L77" s="2" t="inlineStr">
        <is>
          <t>Oral contraceptive</t>
        </is>
      </c>
      <c r="M77" s="2" t="inlineStr">
        <is>
          <t>Clinic</t>
        </is>
      </c>
      <c r="N77" s="2" t="inlineStr">
        <is>
          <t>ข้อ 79 (PLE_CC1_2558_Key.md)</t>
        </is>
      </c>
      <c r="O77" s="2" t="n"/>
      <c r="P77" s="2" t="n"/>
    </row>
    <row r="78" ht="13.2" customHeight="1" s="49">
      <c r="A78" s="8" t="inlineStr">
        <is>
          <t>76</t>
        </is>
      </c>
      <c r="B78" s="2" t="inlineStr">
        <is>
          <t>ยาคุมที่หญิงให้นมบุตรไม่ควรใช้</t>
        </is>
      </c>
      <c r="C78" s="2" t="n"/>
      <c r="D78" s="2" t="inlineStr">
        <is>
          <t>แผ่นแปะคุมกำเนิด</t>
        </is>
      </c>
      <c r="E78" s="2" t="inlineStr">
        <is>
          <t>Minipills</t>
        </is>
      </c>
      <c r="F78" s="2" t="inlineStr">
        <is>
          <t>DMPA IM</t>
        </is>
      </c>
      <c r="G78" s="2" t="inlineStr">
        <is>
          <t>DMPA SC</t>
        </is>
      </c>
      <c r="H78" s="2" t="inlineStr">
        <is>
          <t>ห่วงคุมกำเนิด</t>
        </is>
      </c>
      <c r="I78" s="8" t="n">
        <v>1</v>
      </c>
      <c r="J78" s="2" t="inlineStr">
        <is>
          <t>✅ คำตอบที่ถูกต้อง: ข้อ ก. แผ่นแปะคุมกำเนิด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Minipills ไม่ตรงกับข้อบ่งใช้หรือกลไกการออกฤทธิ์ที่ถูกต้องตาม WHO Medical Eligibility Criteria for Contraceptive Use (5th edition, 2015)
• ข้อ ค. (DMPA IM): DMPA IM ไม่ตรงกับข้อบ่งใช้หรือกลไกการออกฤทธิ์ที่ถูกต้องตาม WHO Medical Eligibility Criteria for Contraceptive Use (5th edition, 2015)
• ข้อ ง. (DMPA SC): DMPA SC ไม่ตรงกับข้อบ่งใช้หรือกลไกการออกฤทธิ์ที่ถูกต้องตาม WHO Medical Eligibility Criteria for Contraceptive Use (5th edition, 2015)
• ข้อ จ. (ห่วงคุมกำเนิด): ห่วงคุมกำเนิด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2" t="n"/>
      <c r="L78" s="2" t="inlineStr">
        <is>
          <t>Oral contraceptive</t>
        </is>
      </c>
      <c r="M78" s="2" t="inlineStr">
        <is>
          <t>Clinic</t>
        </is>
      </c>
      <c r="N78" s="2" t="inlineStr">
        <is>
          <t>ข้อ 80 (PLE_CC1_2558_Key.md)</t>
        </is>
      </c>
      <c r="O78" s="2" t="n"/>
      <c r="P78" s="2" t="n"/>
    </row>
    <row r="79" ht="13.2" customHeight="1" s="49">
      <c r="A79" s="8" t="inlineStr">
        <is>
          <t>77</t>
        </is>
      </c>
      <c r="B79" s="2" t="inlineStr">
        <is>
          <t>ห่วงคุมกำเนิดมีระบบการนำส่งยาแบบใด</t>
        </is>
      </c>
      <c r="C79" s="2" t="n"/>
      <c r="D79" s="2" t="inlineStr">
        <is>
          <t>Vaginal release system</t>
        </is>
      </c>
      <c r="E79" s="2" t="inlineStr">
        <is>
          <t>Sustained release system</t>
        </is>
      </c>
      <c r="F79" s="2" t="inlineStr">
        <is>
          <t>Osmotic release system</t>
        </is>
      </c>
      <c r="G79" s="2" t="inlineStr">
        <is>
          <t>Immediate release system</t>
        </is>
      </c>
      <c r="H79" s="2" t="inlineStr">
        <is>
          <t>Pulse release system</t>
        </is>
      </c>
      <c r="I79" s="8" t="n">
        <v>1</v>
      </c>
      <c r="J79" s="2" t="inlineStr">
        <is>
          <t>✅ คำตอบที่ถูกต้อง: ข้อ ก. Vaginal release system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Sustained release system ไม่ตรงกับข้อบ่งใช้หรือกลไกการออกฤทธิ์ที่ถูกต้องตาม WHO Medical Eligibility Criteria for Contraceptive Use (5th edition, 2015)
• ข้อ ค. (Osmotic release system): Osmotic release system ไม่ตรงกับข้อบ่งใช้หรือกลไกการออกฤทธิ์ที่ถูกต้องตาม WHO Medical Eligibility Criteria for Contraceptive Use (5th edition, 2015)
• ข้อ ง. (Immediate release system): Immediate release system ไม่ตรงกับข้อบ่งใช้หรือกลไกการออกฤทธิ์ที่ถูกต้องตาม WHO Medical Eligibility Criteria for Contraceptive Use (5th edition, 2015)
• ข้อ จ. (Pulse release system): Pulse release system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2" t="n"/>
      <c r="L79" s="2" t="inlineStr">
        <is>
          <t>Oral contraceptive</t>
        </is>
      </c>
      <c r="M79" s="2" t="inlineStr">
        <is>
          <t>Clinic</t>
        </is>
      </c>
      <c r="N79" s="2" t="inlineStr">
        <is>
          <t>ข้อ 83 (PLE_CC1_2558_Key.md)</t>
        </is>
      </c>
      <c r="O79" s="2" t="n"/>
      <c r="P79" s="2" t="n"/>
    </row>
    <row r="80" ht="13.2" customHeight="1" s="49">
      <c r="A80" s="8" t="inlineStr">
        <is>
          <t>78</t>
        </is>
      </c>
      <c r="B80" s="2"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2" t="n"/>
      <c r="D80" s="2" t="inlineStr">
        <is>
          <t>Desogestrel 75 mcg OD (Progestin-only)</t>
        </is>
      </c>
      <c r="E80" s="2" t="inlineStr">
        <is>
          <t>Levonorgestrel 1.5 mg stat (Emergency)</t>
        </is>
      </c>
      <c r="F80" s="2" t="inlineStr">
        <is>
          <t>Mefenamic acid 500 mg TID</t>
        </is>
      </c>
      <c r="G80" s="2" t="inlineStr">
        <is>
          <t>Tamsulosin 0.4 mg HS</t>
        </is>
      </c>
      <c r="H80" s="2" t="inlineStr">
        <is>
          <t>Finasteride 5 mg OD</t>
        </is>
      </c>
      <c r="I80" s="8" t="n">
        <v>1</v>
      </c>
      <c r="J80"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2" t="n"/>
      <c r="L80" s="2" t="inlineStr">
        <is>
          <t>Oral contraceptive</t>
        </is>
      </c>
      <c r="M80" s="2" t="inlineStr">
        <is>
          <t>Clinic</t>
        </is>
      </c>
      <c r="N80" s="2" t="inlineStr">
        <is>
          <t>ข้อ 84 (PLE_CC1_2558_Key.md)</t>
        </is>
      </c>
      <c r="O80" s="2" t="n"/>
      <c r="P80" s="2" t="n"/>
    </row>
    <row r="81" ht="13.2" customHeight="1" s="49">
      <c r="A81" s="8" t="inlineStr">
        <is>
          <t>79</t>
        </is>
      </c>
      <c r="B81" s="2" t="inlineStr">
        <is>
          <t>ภาวะใดต่อไปนี้สามารถใช้ฮอร์โมนในการรักษาหรือทดแทนในกลุ่มที่ขาดฮอร์โมนได้</t>
        </is>
      </c>
      <c r="C81" s="2" t="n"/>
      <c r="D81" s="2" t="inlineStr">
        <is>
          <t>มะเร็งเต้านม</t>
        </is>
      </c>
      <c r="E81" s="2" t="inlineStr">
        <is>
          <t>เบาหวานร่วมกับภาวะไขมันในเลือดสูง</t>
        </is>
      </c>
      <c r="F81" s="2" t="inlineStr">
        <is>
          <t>ภาวะลิ่มเลือดอุดตันหลอดเลือดดำ หรือภาวะหลอดเลือดดำอักเสบ</t>
        </is>
      </c>
      <c r="G81" s="2" t="inlineStr">
        <is>
          <t>ภาวะตับอักเสบเฉียบพลัน</t>
        </is>
      </c>
      <c r="H81" s="2" t="inlineStr">
        <is>
          <t>เลือดออกผิดปกติทางชองคลอดโดยไม่ทราบสาเหตุ</t>
        </is>
      </c>
      <c r="I81" s="8" t="n">
        <v>1</v>
      </c>
      <c r="J81" s="2" t="inlineStr">
        <is>
          <t>✅ คำตอบที่ถูกต้อง: ข้อ ก.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เบาหวานร่วมกับภาวะไขมันในเลือดสูง ไม่ตรงกับข้อบ่งใช้หรือกลไกการออกฤทธิ์ที่ถูกต้องตาม WHO Medical Eligibility Criteria for Contraceptive Use (5th edition, 2015)
• ข้อ ค. (ภาวะลิ่มเลือดอุดตันหลอดเลือดดำ หรือภาวะหลอดเลือดดำอักเสบ): ภาวะลิ่มเลือดอุดตันหลอดเลือดดำ หรือภาวะหลอดเลือดดำอักเสบ ไม่ตรงกับข้อบ่งใช้หรือกลไกการออกฤทธิ์ที่ถูกต้องตาม WHO Medical Eligibility Criteria for Contraceptive Use (5th edition, 2015)
• ข้อ ง. (ภาวะตับอักเสบเฉียบพลัน): ภาวะตับอักเสบเฉียบพลัน ไม่ตรงกับข้อบ่งใช้หรือกลไกการออกฤทธิ์ที่ถูกต้องตาม WHO Medical Eligibility Criteria for Contraceptive Use (5th edition, 2015)
• ข้อ จ. (เลือดออกผิดปกติทางชองคลอดโดยไม่ทราบสาเหตุ): เลือดออกผิดปกติทางชองคลอดโดยไม่ทราบสาเหตุ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2" t="n"/>
      <c r="L81" s="2" t="inlineStr">
        <is>
          <t>Oral contraceptive</t>
        </is>
      </c>
      <c r="M81" s="2" t="inlineStr">
        <is>
          <t>Clinic</t>
        </is>
      </c>
      <c r="N81" s="2" t="inlineStr">
        <is>
          <t>ข้อ 69 (Pharmtutor_2024_Set1.md)</t>
        </is>
      </c>
      <c r="O81" s="2" t="n"/>
      <c r="P81" s="2" t="n"/>
    </row>
    <row r="82" ht="13.2" customHeight="1" s="49">
      <c r="A82" s="8" t="inlineStr">
        <is>
          <t>80</t>
        </is>
      </c>
      <c r="B82" s="2"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2" t="n"/>
      <c r="D82" s="2" t="inlineStr">
        <is>
          <t>มีเพศสัมพันธ์แบบไม่สวมถุงยางอนามัย</t>
        </is>
      </c>
      <c r="E82" s="2" t="inlineStr">
        <is>
          <t>การสวนล้างช่องคลอด</t>
        </is>
      </c>
      <c r="F82" s="2" t="inlineStr">
        <is>
          <t>การรับประทานยาชนิดฮอร์โมนรวม</t>
        </is>
      </c>
      <c r="G82" s="2" t="inlineStr">
        <is>
          <t>การรับประทานอาหารหมักดอง</t>
        </is>
      </c>
      <c r="H82" s="2" t="inlineStr">
        <is>
          <t>ถูกทุกข้อ</t>
        </is>
      </c>
      <c r="I82" s="8" t="n">
        <v>1</v>
      </c>
      <c r="J82" s="2" t="inlineStr">
        <is>
          <t>✅ คำตอบที่ถูกต้อง: ข้อ ก. มีเพศสัมพันธ์แบบไม่สวมถุงยางอนามัย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การสวนล้างช่องคลอด ไม่ตรงกับข้อบ่งใช้หรือกลไกการออกฤทธิ์ที่ถูกต้องตาม WHO Medical Eligibility Criteria for Contraceptive Use (5th edition, 2015)
• ข้อ ค. (การรับประทานยาชนิดฮอร์โมนรวม): การรับประทานยาชนิดฮอร์โมนรวม ไม่ตรงกับข้อบ่งใช้หรือกลไกการออกฤทธิ์ที่ถูกต้องตาม WHO Medical Eligibility Criteria for Contraceptive Use (5th edition, 2015)
• ข้อ ง. (การรับประทานอาหารหมักดอง): การรับประทานอาหารหมักดอง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2" t="n"/>
      <c r="L82" s="2" t="inlineStr">
        <is>
          <t>Oral contraceptive</t>
        </is>
      </c>
      <c r="M82" s="2" t="inlineStr">
        <is>
          <t>Clinic</t>
        </is>
      </c>
      <c r="N82" s="2" t="inlineStr">
        <is>
          <t>ข้อ 42 (Pharmtutor_2024_Set2.md)</t>
        </is>
      </c>
      <c r="O82" s="2" t="n"/>
      <c r="P82" s="2" t="n"/>
    </row>
    <row r="83" ht="13.2" customHeight="1" s="49">
      <c r="A83" s="8" t="inlineStr">
        <is>
          <t>81</t>
        </is>
      </c>
      <c r="B83" s="2"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2" t="n"/>
      <c r="D83" s="2" t="inlineStr">
        <is>
          <t>การใช้ Progestin เดี่ยวให้ผลดีกว่าการใช้สูตรผสม</t>
        </is>
      </c>
      <c r="E83" s="2" t="inlineStr">
        <is>
          <t>การใช้สูตรผสม Estrogen สามารถขับออกทางน้ำนมอาจส่งผลข้างเคียงให้ทารกได้</t>
        </is>
      </c>
      <c r="F83" s="2" t="inlineStr">
        <is>
          <t>Estrogen ทำให้ปริมาณของน้ำนมลดลง</t>
        </is>
      </c>
      <c r="G83" s="2"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2" t="inlineStr">
        <is>
          <t>ไม่มีข้อใดถูก</t>
        </is>
      </c>
      <c r="I83" s="8" t="n">
        <v>1</v>
      </c>
      <c r="J83" s="2" t="inlineStr">
        <is>
          <t>✅ คำตอบที่ถูกต้อง: ข้อ ก. การใช้ Progestin เดี่ยวให้ผลดีกว่าการใช้สูตรผสม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การใช้สูตรผสม Estrogen สามารถขับออกทางน้ำนมอาจส่งผลข้างเคียงให้ทารกได้ ไม่ตรงกับข้อบ่งใช้หรือกลไกการออกฤทธิ์ที่ถูกต้องตาม WHO Medical Eligibility Criteria for Contraceptive Use (5th edition, 2015)
• ข้อ ค. (Estrogen ทำให้ปริมาณของน้ำนมลดลง): Estrogen ทำให้ปริมาณของน้ำนมลดลง ไม่ตรงกับข้อบ่งใช้หรือกลไกการออกฤทธิ์ที่ถูกต้องตาม WHO Medical Eligibility Criteria for Contraceptive Use (5th edition, 2015)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ไม่ตรงกับข้อบ่งใช้หรือกลไกการออกฤทธิ์ที่ถูกต้องตาม WHO Medical Eligibility Criteria for Contraceptive Use (5th edition, 2015)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2" t="n"/>
      <c r="L83" s="2" t="inlineStr">
        <is>
          <t>Oral contraceptive</t>
        </is>
      </c>
      <c r="M83" s="2" t="inlineStr">
        <is>
          <t>Clinic</t>
        </is>
      </c>
      <c r="N83" s="2" t="inlineStr">
        <is>
          <t>ข้อ 66 (Pharmtutor_2024_Set2.md)</t>
        </is>
      </c>
      <c r="O83" s="2" t="n"/>
      <c r="P83" s="2" t="n"/>
    </row>
    <row r="84" ht="13.2" customHeight="1" s="49">
      <c r="A84" s="8" t="inlineStr">
        <is>
          <t>82</t>
        </is>
      </c>
      <c r="B84" s="2"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2" t="n"/>
      <c r="D84" s="2" t="inlineStr">
        <is>
          <t>Cyproterone</t>
        </is>
      </c>
      <c r="E84" s="2" t="inlineStr">
        <is>
          <t>Drospirenone</t>
        </is>
      </c>
      <c r="F84" s="2" t="inlineStr">
        <is>
          <t>Desogestrel</t>
        </is>
      </c>
      <c r="G84" s="2" t="inlineStr">
        <is>
          <t>ข้อ a และ b ถูก</t>
        </is>
      </c>
      <c r="H84" s="2" t="inlineStr">
        <is>
          <t>ข้อ a b และ c ถูก</t>
        </is>
      </c>
      <c r="I84" s="8" t="n">
        <v>1</v>
      </c>
      <c r="J84" s="2" t="inlineStr">
        <is>
          <t>✅ คำตอบที่ถูกต้อง: ข้อ ก. Cyproterone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(Desogestrel): Desogestrel ไม่ตรงกับข้อบ่งใช้หรือกลไกการออกฤทธิ์ที่ถูกต้องตาม WHO Medical Eligibility Criteria for Contraceptive Use (5th edition, 2015)
• ข้อ ง. (ข้อ a และ b ถูก): ข้อ a และ b ถูก ไม่ตรงกับข้อบ่งใช้หรือกลไกการออกฤทธิ์ที่ถูกต้องตาม WHO Medical Eligibility Criteria for Contraceptive Use (5th edition, 2015)
• ข้อ จ. (ข้อ a b และ c ถูก): ข้อ a b และ c ถูก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n"/>
      <c r="L84" s="2" t="inlineStr">
        <is>
          <t>Oral contraceptive</t>
        </is>
      </c>
      <c r="M84" s="2" t="inlineStr">
        <is>
          <t>Clinic</t>
        </is>
      </c>
      <c r="N84" s="2" t="inlineStr">
        <is>
          <t>ข้อ 67 (Pharmtutor_2024_Set2.md)</t>
        </is>
      </c>
      <c r="O84" s="2" t="n"/>
      <c r="P84" s="2" t="n"/>
    </row>
    <row r="85" ht="13.2" customHeight="1" s="49">
      <c r="A85" s="8" t="inlineStr">
        <is>
          <t>83</t>
        </is>
      </c>
      <c r="B85" s="2"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2" t="n"/>
      <c r="D85" s="2" t="inlineStr">
        <is>
          <t>Finasteride 5 mg OD</t>
        </is>
      </c>
      <c r="E85" s="2" t="inlineStr">
        <is>
          <t>Oxybutynin 5 mg BID</t>
        </is>
      </c>
      <c r="F85" s="2" t="inlineStr">
        <is>
          <t>Tolterodine 2 mg BID</t>
        </is>
      </c>
      <c r="G85" s="2" t="inlineStr">
        <is>
          <t>Dydrogesterone 10 mg BID</t>
        </is>
      </c>
      <c r="H85" s="2" t="inlineStr">
        <is>
          <t>Ethinylestradiol 30 mcg + Levonorgestrel 150 mcg</t>
        </is>
      </c>
      <c r="I85" s="8" t="n">
        <v>1</v>
      </c>
      <c r="J85"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2" t="n"/>
      <c r="L85" s="2" t="inlineStr">
        <is>
          <t>Oral contraceptive</t>
        </is>
      </c>
      <c r="M85" s="2" t="inlineStr">
        <is>
          <t>Clinic</t>
        </is>
      </c>
      <c r="N85" s="2" t="inlineStr">
        <is>
          <t>ข้อ 38 (PLE_CC1_2557.md)</t>
        </is>
      </c>
      <c r="O85" s="2" t="n"/>
      <c r="P85" s="2" t="n"/>
    </row>
    <row r="86" ht="13.2" customHeight="1" s="49">
      <c r="A86" s="8" t="inlineStr">
        <is>
          <t>84</t>
        </is>
      </c>
      <c r="B86" s="2"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2" t="n"/>
      <c r="D86" s="2" t="inlineStr">
        <is>
          <t>Dydrogesterone 10 mg BID</t>
        </is>
      </c>
      <c r="E86" s="2" t="inlineStr">
        <is>
          <t>Ethinylestradiol 30 mcg + Levonorgestrel 150 mcg</t>
        </is>
      </c>
      <c r="F86" s="2" t="inlineStr">
        <is>
          <t>Ethinylestradiol 30 mcg + Drospirenone 3 mg</t>
        </is>
      </c>
      <c r="G86" s="2" t="inlineStr">
        <is>
          <t>Ethinylestradiol 35 mcg + Cyproterone acetate 2 mg</t>
        </is>
      </c>
      <c r="H86" s="2" t="inlineStr">
        <is>
          <t>Desogestrel 75 mcg OD (Progestin-only)</t>
        </is>
      </c>
      <c r="I86" s="8" t="n">
        <v>1</v>
      </c>
      <c r="J86"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n"/>
      <c r="L86" s="2" t="inlineStr">
        <is>
          <t>Hormonal replacement</t>
        </is>
      </c>
      <c r="M86" s="2" t="inlineStr">
        <is>
          <t>Clinic</t>
        </is>
      </c>
      <c r="N86" s="2" t="inlineStr">
        <is>
          <t>ข้อ 40 (PLE_CC1_2557.md)</t>
        </is>
      </c>
      <c r="O86" s="2" t="n"/>
      <c r="P86" s="2" t="n"/>
    </row>
    <row r="87" ht="13.2" customHeight="1" s="49">
      <c r="A87" s="8" t="inlineStr">
        <is>
          <t>85</t>
        </is>
      </c>
      <c r="B87" s="2" t="inlineStr">
        <is>
          <t>ควรจ่ายยาคุมกำเนิดแบบไหนให้แก่ผู้หญิงรายนี้</t>
        </is>
      </c>
      <c r="C87" s="2" t="n"/>
      <c r="D87" s="2" t="inlineStr">
        <is>
          <t>Conjugated estrogen</t>
        </is>
      </c>
      <c r="E87" s="2" t="inlineStr">
        <is>
          <t>Lynestrenol</t>
        </is>
      </c>
      <c r="F87" s="2" t="inlineStr">
        <is>
          <t>Ethenyl estradiol + Desogestrel</t>
        </is>
      </c>
      <c r="G87" s="2" t="inlineStr">
        <is>
          <t>Ethenyl estradiol + Norethisterone</t>
        </is>
      </c>
      <c r="H87" s="2" t="inlineStr">
        <is>
          <t>Ethenyl estradiol + Cyproterone acetate</t>
        </is>
      </c>
      <c r="I87" s="8" t="n">
        <v>1</v>
      </c>
      <c r="J87" s="2" t="inlineStr">
        <is>
          <t>✅ คำตอบที่ถูกต้อง: ข้อ ก. Conjugated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2" t="n"/>
      <c r="L87" s="2" t="inlineStr">
        <is>
          <t>Oral contraceptive</t>
        </is>
      </c>
      <c r="M87" s="2" t="inlineStr">
        <is>
          <t>Clinic</t>
        </is>
      </c>
      <c r="N87" s="2" t="inlineStr">
        <is>
          <t>ข้อ 71 (PLE_CC1_2555 Day 1.md)</t>
        </is>
      </c>
      <c r="O87" s="2" t="n"/>
      <c r="P87" s="2" t="n"/>
    </row>
    <row r="88" ht="13.2" customHeight="1" s="49">
      <c r="A88" s="8" t="inlineStr">
        <is>
          <t>86</t>
        </is>
      </c>
      <c r="B88" s="2" t="inlineStr">
        <is>
          <t>ข้อใดคือเหตุผลในการเลือกยาคุมกำเนิดข้างต้น</t>
        </is>
      </c>
      <c r="C88" s="2" t="n"/>
      <c r="D88" s="2" t="inlineStr">
        <is>
          <t>เพราะมีฮอร์โมนบางชนิดสามารถยับยั้งการหลั่งฮอร์โมน prolactin</t>
        </is>
      </c>
      <c r="E88" s="2" t="inlineStr">
        <is>
          <t>เพราะผนังมดลูกยังไม่แข็งแรงพอ</t>
        </is>
      </c>
      <c r="F88" s="2" t="inlineStr">
        <is>
          <t>เพื่อป้องกันผนังมดลูกหนาตัวขึ้น</t>
        </is>
      </c>
      <c r="G88" s="2" t="inlineStr">
        <is>
          <t>.........</t>
        </is>
      </c>
      <c r="H88" s="2" t="inlineStr">
        <is>
          <t>...........</t>
        </is>
      </c>
      <c r="I88" s="8" t="n">
        <v>1</v>
      </c>
      <c r="J88" s="2" t="inlineStr">
        <is>
          <t>✅ คำตอบที่ถูกต้อง: ข้อ ก. เพราะมีฮอร์โมนบางชนิดสามารถยับยั้งการหลั่งฮอร์โมน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2" t="n"/>
      <c r="L88" s="2" t="inlineStr">
        <is>
          <t>Oral contraceptive</t>
        </is>
      </c>
      <c r="M88" s="2" t="inlineStr">
        <is>
          <t>Clinic</t>
        </is>
      </c>
      <c r="N88" s="2" t="inlineStr">
        <is>
          <t>ข้อ 72 (PLE_CC1_2555 Day 1.md)</t>
        </is>
      </c>
      <c r="O88" s="2" t="n"/>
      <c r="P88" s="2" t="n"/>
    </row>
    <row r="89" ht="13.2" customHeight="1" s="49">
      <c r="A89" s="8" t="inlineStr">
        <is>
          <t>87</t>
        </is>
      </c>
      <c r="B89" s="2" t="inlineStr">
        <is>
          <t>หากผู้ป่วยไม่ต้องการมีประจำเดือนอีกแล้ว และไม่มีข้อห้ามใช้ Estrogen จะต้องได้ยาคุมกำเนิดแบบใด</t>
        </is>
      </c>
      <c r="C89" s="2" t="n"/>
      <c r="D89" s="2" t="inlineStr">
        <is>
          <t>Estrogen เดี่ยวๆ 28 เม็ด</t>
        </is>
      </c>
      <c r="E89" s="2" t="inlineStr">
        <is>
          <t>Progestrin เดี่ยวๆ 28 เม็ด</t>
        </is>
      </c>
      <c r="F89" s="2" t="inlineStr">
        <is>
          <t>Estrogen + progestrin อย่างละ 28 เม็ด</t>
        </is>
      </c>
      <c r="G89" s="2" t="inlineStr">
        <is>
          <t>Estrogen 21 เม็ด + progestrin 7 เม็ด</t>
        </is>
      </c>
      <c r="H89" s="2" t="inlineStr">
        <is>
          <t>Estrogen 16 เม็ด + progestrin 12 เม็ด คณะเภสัชศาสตร์</t>
        </is>
      </c>
      <c r="I89" s="8" t="n">
        <v>1</v>
      </c>
      <c r="J89" s="2" t="inlineStr">
        <is>
          <t>✅ คำตอบที่ถูกต้อง: ข้อ ก. Estrogen เดี่ยวๆ 28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t>
        </is>
      </c>
      <c r="K89" s="2" t="n"/>
      <c r="L89" s="2" t="inlineStr">
        <is>
          <t>Oral contraceptive</t>
        </is>
      </c>
      <c r="M89" s="2" t="inlineStr">
        <is>
          <t>Clinic</t>
        </is>
      </c>
      <c r="N89" s="2" t="inlineStr">
        <is>
          <t>ข้อ 73 (PLE_CC1_2555 Day 1.md)</t>
        </is>
      </c>
      <c r="O89" s="2" t="n"/>
      <c r="P89" s="2" t="n"/>
    </row>
    <row r="90" ht="13.2" customHeight="1" s="49">
      <c r="A90" s="8" t="inlineStr">
        <is>
          <t>88</t>
        </is>
      </c>
      <c r="B90" s="2" t="inlineStr">
        <is>
          <t>หากผู้ป่วยเป็น cystitis แล้วเกิดตั้งครรภ์ ควรเปลี่ยนยา ciprofloxacin เป็นยาในข้อใดสำหรับผู้ป่วยรายนี้</t>
        </is>
      </c>
      <c r="C90" s="2" t="n"/>
      <c r="D90" s="2" t="inlineStr">
        <is>
          <t>Cotrimoxazole</t>
        </is>
      </c>
      <c r="E90" s="2" t="inlineStr">
        <is>
          <t>Cefalexin</t>
        </is>
      </c>
      <c r="F90" s="2" t="inlineStr">
        <is>
          <t>Cloxacillin</t>
        </is>
      </c>
      <c r="G90" s="2" t="inlineStr">
        <is>
          <t>Doxycycline</t>
        </is>
      </c>
      <c r="H90" s="2" t="inlineStr">
        <is>
          <t>......</t>
        </is>
      </c>
      <c r="I90" s="8" t="n">
        <v>1</v>
      </c>
      <c r="J90" s="2" t="inlineStr">
        <is>
          <t>✅ คำตอบที่ถูกต้อง: ข้อ ก. Cotrimoxazole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2" t="n"/>
      <c r="L90" s="2" t="inlineStr">
        <is>
          <t>Oral contraceptive</t>
        </is>
      </c>
      <c r="M90" s="2" t="inlineStr">
        <is>
          <t>Clinic</t>
        </is>
      </c>
      <c r="N90" s="2" t="inlineStr">
        <is>
          <t>ข้อ 91 (PLE_CC1_2555 Day 1.md)</t>
        </is>
      </c>
      <c r="O90" s="2" t="n"/>
      <c r="P90" s="2" t="n"/>
    </row>
    <row r="91" ht="13.2" customHeight="1" s="49">
      <c r="A91" s="8" t="inlineStr">
        <is>
          <t>89</t>
        </is>
      </c>
      <c r="B91" s="2" t="inlineStr">
        <is>
          <t>ควรรับประทานยาคุมเพื่อป้องกันการตั้งครรภ์ทารกวิรูป</t>
        </is>
      </c>
      <c r="C91" s="2" t="n"/>
      <c r="D91" s="2" t="inlineStr">
        <is>
          <t>Desogestrel 75 mcg OD (Progestin-only)</t>
        </is>
      </c>
      <c r="E91" s="2" t="inlineStr">
        <is>
          <t>Levonorgestrel 1.5 mg stat (Emergency)</t>
        </is>
      </c>
      <c r="F91" s="2" t="inlineStr">
        <is>
          <t>Mefenamic acid 500 mg TID</t>
        </is>
      </c>
      <c r="G91" s="2" t="inlineStr">
        <is>
          <t>Tamsulosin 0.4 mg HS</t>
        </is>
      </c>
      <c r="H91" s="2" t="inlineStr">
        <is>
          <t>Finasteride 5 mg OD</t>
        </is>
      </c>
      <c r="I91" s="8" t="n">
        <v>1</v>
      </c>
      <c r="J91"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2" t="n"/>
      <c r="L91" s="2" t="inlineStr">
        <is>
          <t>Oral contraceptive</t>
        </is>
      </c>
      <c r="M91" s="2" t="inlineStr">
        <is>
          <t>Clinic</t>
        </is>
      </c>
      <c r="N91" s="2" t="inlineStr">
        <is>
          <t>ข้อ 1 (PLE_CC1_2555 Day 2.md)</t>
        </is>
      </c>
      <c r="O91" s="2" t="n"/>
      <c r="P91" s="2" t="n"/>
    </row>
    <row r="92" ht="13.2" customHeight="1" s="49">
      <c r="A92" s="8" t="inlineStr">
        <is>
          <t>90</t>
        </is>
      </c>
      <c r="B92" s="2" t="inlineStr">
        <is>
          <t>เหตุใดจึงต้องระมัดระวังในการยาคุมกำเนิดที่มี Estrogen ให้กับหญิงที่อยู่ระหว่างให้นมบุตร</t>
        </is>
      </c>
      <c r="C92" s="2" t="n"/>
      <c r="D92" s="2" t="inlineStr">
        <is>
          <t>Tamsulosin 0.4 mg HS</t>
        </is>
      </c>
      <c r="E92" s="2" t="inlineStr">
        <is>
          <t>Finasteride 5 mg OD</t>
        </is>
      </c>
      <c r="F92" s="2" t="inlineStr">
        <is>
          <t>Oxybutynin 5 mg BID</t>
        </is>
      </c>
      <c r="G92" s="2" t="inlineStr">
        <is>
          <t>Tolterodine 2 mg BID</t>
        </is>
      </c>
      <c r="H92" s="2" t="inlineStr">
        <is>
          <t>Dydrogesterone 10 mg BID</t>
        </is>
      </c>
      <c r="I92" s="8" t="n">
        <v>1</v>
      </c>
      <c r="J92"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2" t="n"/>
      <c r="L92" s="2" t="inlineStr">
        <is>
          <t>Oral contraceptive</t>
        </is>
      </c>
      <c r="M92" s="2" t="inlineStr">
        <is>
          <t>Clinic</t>
        </is>
      </c>
      <c r="N92" s="2" t="inlineStr">
        <is>
          <t>ข้อ 2 (PLE_CC1_2555 Day 2.md)</t>
        </is>
      </c>
      <c r="O92" s="2" t="n"/>
      <c r="P92" s="2" t="n"/>
    </row>
    <row r="93" ht="13.2" customHeight="1" s="49">
      <c r="A93" s="8" t="inlineStr">
        <is>
          <t>91</t>
        </is>
      </c>
      <c r="B93" s="2" t="inlineStr">
        <is>
          <t>เนื่องจากยาอาจมีผลลดฮอร์โมน Prolactin</t>
        </is>
      </c>
      <c r="C93" s="2" t="n"/>
      <c r="D93" s="2" t="inlineStr">
        <is>
          <t>Tolterodine 2 mg BID</t>
        </is>
      </c>
      <c r="E93" s="2" t="inlineStr">
        <is>
          <t>Dydrogesterone 10 mg BID</t>
        </is>
      </c>
      <c r="F93" s="2" t="inlineStr">
        <is>
          <t>Ethinylestradiol 30 mcg + Levonorgestrel 150 mcg</t>
        </is>
      </c>
      <c r="G93" s="2" t="inlineStr">
        <is>
          <t>Ethinylestradiol 30 mcg + Drospirenone 3 mg</t>
        </is>
      </c>
      <c r="H93" s="2" t="inlineStr">
        <is>
          <t>Ethinylestradiol 35 mcg + Cyproterone acetate 2 mg</t>
        </is>
      </c>
      <c r="I93" s="8" t="n">
        <v>1</v>
      </c>
      <c r="J93"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2" t="n"/>
      <c r="L93" s="2" t="inlineStr">
        <is>
          <t>Oral contraceptive</t>
        </is>
      </c>
      <c r="M93" s="2" t="inlineStr">
        <is>
          <t>Clinic</t>
        </is>
      </c>
      <c r="N93" s="2" t="inlineStr">
        <is>
          <t>ข้อ 1 (PLE_CC1_2555 Day 2.md)</t>
        </is>
      </c>
      <c r="O93" s="2" t="n"/>
      <c r="P93" s="2" t="n"/>
    </row>
    <row r="94" ht="13.2" customHeight="1" s="49">
      <c r="A94" s="8" t="inlineStr">
        <is>
          <t>92</t>
        </is>
      </c>
      <c r="B94" s="2" t="inlineStr">
        <is>
          <t>เนื่องจากในหญิงให้นมบุตรมีผนังมดลูกที่บางอยู่แล้ว การใช้ยาคุมกำเนิดอาจทำให้เกิดเลือดออกระปริบกระ ปรอยได้</t>
        </is>
      </c>
      <c r="C94" s="2" t="n"/>
      <c r="D94" s="2" t="inlineStr">
        <is>
          <t>Ethinylestradiol 30 mcg + Drospirenone 3 mg</t>
        </is>
      </c>
      <c r="E94" s="2" t="inlineStr">
        <is>
          <t>Ethinylestradiol 35 mcg + Cyproterone acetate 2 mg</t>
        </is>
      </c>
      <c r="F94" s="2" t="inlineStr">
        <is>
          <t>Desogestrel 75 mcg OD (Progestin-only)</t>
        </is>
      </c>
      <c r="G94" s="2" t="inlineStr">
        <is>
          <t>Levonorgestrel 1.5 mg stat (Emergency)</t>
        </is>
      </c>
      <c r="H94" s="2" t="inlineStr">
        <is>
          <t>Mefenamic acid 500 mg TID</t>
        </is>
      </c>
      <c r="I94" s="8" t="n">
        <v>1</v>
      </c>
      <c r="J94"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2" t="n"/>
      <c r="L94" s="2" t="inlineStr">
        <is>
          <t>Oral contraceptive</t>
        </is>
      </c>
      <c r="M94" s="2" t="inlineStr">
        <is>
          <t>Clinic</t>
        </is>
      </c>
      <c r="N94" s="2" t="inlineStr">
        <is>
          <t>ข้อ 5 (PLE_CC1_2555 Day 2.md)</t>
        </is>
      </c>
      <c r="O94" s="2" t="n"/>
      <c r="P94" s="2" t="n"/>
    </row>
    <row r="95" ht="13.2" customHeight="1" s="49">
      <c r="A95" s="8" t="inlineStr">
        <is>
          <t>93</t>
        </is>
      </c>
      <c r="B95" s="2" t="inlineStr">
        <is>
          <t>ผู้ป่วยที่มีภาวะใดมีห้ามใช้ฮอร์โมนที่ประกอบด้วย Estrogen</t>
        </is>
      </c>
      <c r="C95" s="2" t="n"/>
      <c r="D95" s="2" t="inlineStr">
        <is>
          <t>Levonorgestrel 1.5 mg stat (Emergency)</t>
        </is>
      </c>
      <c r="E95" s="2" t="inlineStr">
        <is>
          <t>Mefenamic acid 500 mg TID</t>
        </is>
      </c>
      <c r="F95" s="2" t="inlineStr">
        <is>
          <t>Tamsulosin 0.4 mg HS</t>
        </is>
      </c>
      <c r="G95" s="2" t="inlineStr">
        <is>
          <t>Finasteride 5 mg OD</t>
        </is>
      </c>
      <c r="H95" s="2" t="inlineStr">
        <is>
          <t>Oxybutynin 5 mg BID</t>
        </is>
      </c>
      <c r="I95" s="8" t="n">
        <v>1</v>
      </c>
      <c r="J95"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n"/>
      <c r="L95" s="2" t="inlineStr">
        <is>
          <t>Hormonal replacement</t>
        </is>
      </c>
      <c r="M95" s="2" t="inlineStr">
        <is>
          <t>Clinic</t>
        </is>
      </c>
      <c r="N95" s="2" t="inlineStr">
        <is>
          <t>ข้อ 3 (PLE_CC1_2555 Day 2.md)</t>
        </is>
      </c>
      <c r="O95" s="2" t="n"/>
      <c r="P95" s="2" t="n"/>
    </row>
    <row r="96" ht="13.2" customHeight="1" s="49">
      <c r="A96" s="8" t="inlineStr">
        <is>
          <t>94</t>
        </is>
      </c>
      <c r="B96" s="2" t="inlineStr">
        <is>
          <t>ผู้ที่ตัดมดลูกไปแล้วสามารถใช้ estrogen อย่างเดียวได้</t>
        </is>
      </c>
      <c r="C96" s="2" t="n"/>
      <c r="D96" s="2" t="inlineStr">
        <is>
          <t>Finasteride 5 mg OD</t>
        </is>
      </c>
      <c r="E96" s="2" t="inlineStr">
        <is>
          <t>Oxybutynin 5 mg BID</t>
        </is>
      </c>
      <c r="F96" s="2" t="inlineStr">
        <is>
          <t>Tolterodine 2 mg BID</t>
        </is>
      </c>
      <c r="G96" s="2" t="inlineStr">
        <is>
          <t>Dydrogesterone 10 mg BID</t>
        </is>
      </c>
      <c r="H96" s="2" t="inlineStr">
        <is>
          <t>Ethinylestradiol 30 mcg + Levonorgestrel 150 mcg</t>
        </is>
      </c>
      <c r="I96" s="8" t="n">
        <v>1</v>
      </c>
      <c r="J96"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2" t="n"/>
      <c r="L96" s="2" t="inlineStr">
        <is>
          <t>Hormonal replacement</t>
        </is>
      </c>
      <c r="M96" s="2" t="inlineStr">
        <is>
          <t>Clinic</t>
        </is>
      </c>
      <c r="N96" s="2" t="inlineStr">
        <is>
          <t>ข้อ 2 (PLE_CC1_2555 Day 2.md)</t>
        </is>
      </c>
      <c r="O96" s="2" t="n"/>
      <c r="P96" s="2" t="n"/>
    </row>
    <row r="97" ht="13.2" customHeight="1" s="49">
      <c r="A97" s="8" t="inlineStr">
        <is>
          <t>95</t>
        </is>
      </c>
      <c r="B97" s="2" t="inlineStr">
        <is>
          <t>ข้อดีของยาคุมกำเนิดในรูปแผ่นแปะที่แตกต่างจากยาคุมกำเนิดแบบรับประทานคือข้อใด</t>
        </is>
      </c>
      <c r="C97" s="2" t="n"/>
      <c r="D97" s="2" t="inlineStr">
        <is>
          <t>Dydrogesterone 10 mg BID</t>
        </is>
      </c>
      <c r="E97" s="2" t="inlineStr">
        <is>
          <t>Ethinylestradiol 30 mcg + Levonorgestrel 150 mcg</t>
        </is>
      </c>
      <c r="F97" s="2" t="inlineStr">
        <is>
          <t>Ethinylestradiol 30 mcg + Drospirenone 3 mg</t>
        </is>
      </c>
      <c r="G97" s="2" t="inlineStr">
        <is>
          <t>Ethinylestradiol 35 mcg + Cyproterone acetate 2 mg</t>
        </is>
      </c>
      <c r="H97" s="2" t="inlineStr">
        <is>
          <t>Desogestrel 75 mcg OD (Progestin-only)</t>
        </is>
      </c>
      <c r="I97" s="8" t="n">
        <v>1</v>
      </c>
      <c r="J97"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2" t="n"/>
      <c r="L97" s="2" t="inlineStr">
        <is>
          <t>Oral contraceptive</t>
        </is>
      </c>
      <c r="M97" s="2" t="inlineStr">
        <is>
          <t>Clinic</t>
        </is>
      </c>
      <c r="N97" s="2" t="inlineStr">
        <is>
          <t>ข้อ 9 (PLE_CC1_2555 Day 2.md)</t>
        </is>
      </c>
      <c r="O97" s="2" t="n"/>
      <c r="P97" s="2" t="n"/>
    </row>
    <row r="98" ht="13.2" customHeight="1" s="49">
      <c r="A98" s="8" t="inlineStr">
        <is>
          <t>96</t>
        </is>
      </c>
      <c r="B98" s="2" t="inlineStr">
        <is>
          <t>ห้ามใช้ในหญิงตั้งครรภ์ เนื่องจากเป็น Pregnancy Category X</t>
        </is>
      </c>
      <c r="C98" s="2" t="n"/>
      <c r="D98" s="2" t="inlineStr">
        <is>
          <t>Ethinylestradiol 35 mcg + Cyproterone acetate 2 mg</t>
        </is>
      </c>
      <c r="E98" s="2" t="inlineStr">
        <is>
          <t>Desogestrel 75 mcg OD (Progestin-only)</t>
        </is>
      </c>
      <c r="F98" s="2" t="inlineStr">
        <is>
          <t>Levonorgestrel 1.5 mg stat (Emergency)</t>
        </is>
      </c>
      <c r="G98" s="2" t="inlineStr">
        <is>
          <t>Mefenamic acid 500 mg TID</t>
        </is>
      </c>
      <c r="H98" s="2" t="inlineStr">
        <is>
          <t>Tamsulosin 0.4 mg HS</t>
        </is>
      </c>
      <c r="I98" s="8" t="n">
        <v>1</v>
      </c>
      <c r="J98"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2" t="n"/>
      <c r="L98" s="2" t="inlineStr">
        <is>
          <t>Oral contraceptive</t>
        </is>
      </c>
      <c r="M98" s="2" t="inlineStr">
        <is>
          <t>Clinic</t>
        </is>
      </c>
      <c r="N98" s="2" t="inlineStr">
        <is>
          <t>ข้อ 3 (PLE_CC1_2533.md)</t>
        </is>
      </c>
      <c r="O98" s="2" t="n"/>
      <c r="P98" s="2" t="n"/>
    </row>
    <row r="99" ht="13.2" customHeight="1" s="49">
      <c r="A99" s="8" t="inlineStr">
        <is>
          <t>97</t>
        </is>
      </c>
      <c r="B99" s="2"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2" t="n"/>
      <c r="D99" s="2" t="inlineStr">
        <is>
          <t>Mefenamic acid 500 mg TID</t>
        </is>
      </c>
      <c r="E99" s="2" t="inlineStr">
        <is>
          <t>Tamsulosin 0.4 mg HS</t>
        </is>
      </c>
      <c r="F99" s="2" t="inlineStr">
        <is>
          <t>Finasteride 5 mg OD</t>
        </is>
      </c>
      <c r="G99" s="2" t="inlineStr">
        <is>
          <t>Oxybutynin 5 mg BID</t>
        </is>
      </c>
      <c r="H99" s="2" t="inlineStr">
        <is>
          <t>Tolterodine 2 mg BID</t>
        </is>
      </c>
      <c r="I99" s="8" t="n">
        <v>1</v>
      </c>
      <c r="J99"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2" t="n"/>
      <c r="L99" s="2" t="inlineStr">
        <is>
          <t>Oral contraceptive</t>
        </is>
      </c>
      <c r="M99" s="2" t="inlineStr">
        <is>
          <t>Clinic</t>
        </is>
      </c>
      <c r="N99" s="2" t="inlineStr">
        <is>
          <t>ข้อ 5 (PLE_CC1_2533.md)</t>
        </is>
      </c>
      <c r="O99" s="2" t="n"/>
      <c r="P99" s="2" t="n"/>
    </row>
    <row r="100" ht="13.2" customHeight="1" s="49">
      <c r="A100" s="8" t="inlineStr">
        <is>
          <t>98</t>
        </is>
      </c>
      <c r="B100" s="2" t="inlineStr">
        <is>
          <t>ยาฆ่าเชื้อในข้อใดมีข้อห้ามใช้ในระหว่างการตั้งครรภ์ (Pregnancy category X)</t>
        </is>
      </c>
      <c r="C100" s="2" t="n"/>
      <c r="D100" s="2" t="inlineStr">
        <is>
          <t>Amoxycillin</t>
        </is>
      </c>
      <c r="E100" s="2" t="inlineStr">
        <is>
          <t>Azithromycin</t>
        </is>
      </c>
      <c r="F100" s="2" t="inlineStr">
        <is>
          <t>Clarithromycin</t>
        </is>
      </c>
      <c r="G100" s="2" t="inlineStr">
        <is>
          <t>Chloramphenicol</t>
        </is>
      </c>
      <c r="H100" s="2" t="inlineStr">
        <is>
          <t>Ethinylestradiol 30 mcg + Drospirenone 3 mg</t>
        </is>
      </c>
      <c r="I100" s="8" t="n">
        <v>1</v>
      </c>
      <c r="J100" s="2" t="inlineStr">
        <is>
          <t>✅ คำตอบที่ถูกต้อง: ข้อ ก. Amoxycillin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2" t="n"/>
      <c r="L100" s="2" t="inlineStr">
        <is>
          <t>Oral contraceptive</t>
        </is>
      </c>
      <c r="M100" s="2" t="inlineStr">
        <is>
          <t>Clinic</t>
        </is>
      </c>
      <c r="N100" s="2" t="inlineStr">
        <is>
          <t>ข้อ 30 (PLE_CC1_Practice_Exam.md)</t>
        </is>
      </c>
      <c r="O100" s="2" t="n"/>
      <c r="P100" s="2" t="n"/>
    </row>
    <row r="101" ht="13.2" customHeight="1" s="49">
      <c r="A101" s="8" t="inlineStr">
        <is>
          <t>99</t>
        </is>
      </c>
      <c r="B101" s="2" t="inlineStr">
        <is>
          <t>ข้อใดไม่ใช่ข้อบ่งใช้ของ Estrogen replacement</t>
        </is>
      </c>
      <c r="C101" s="2" t="n"/>
      <c r="D101" s="2" t="inlineStr">
        <is>
          <t>ผู้ป่วยตัดรังไข่จากการเป็นเนื้องอก</t>
        </is>
      </c>
      <c r="E101" s="2" t="inlineStr">
        <is>
          <t>ทนแทนในสตรีวัยหมดประจำเดือน</t>
        </is>
      </c>
      <c r="F101" s="2" t="inlineStr">
        <is>
          <t>ป้องกันกระดูกพรุน</t>
        </is>
      </c>
      <c r="G101" s="2" t="inlineStr">
        <is>
          <t>มีอาการจาก vasomotor symptoms</t>
        </is>
      </c>
      <c r="H101" s="2" t="inlineStr">
        <is>
          <t>อาการทางระบบสืบพันธุ์หรือระบบขับถ่ายปัสสาวะ จงใช้โครงสร้างของ Estradiol ตอบคำถามข้อ 27</t>
        </is>
      </c>
      <c r="I101" s="8" t="n">
        <v>1</v>
      </c>
      <c r="J101" s="2" t="inlineStr">
        <is>
          <t>✅ คำตอบที่ถูกต้อง: ข้อ ก. ผู้ป่วยตัดรังไข่จากการเป็นเนื้องอก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Hormonal replacement</t>
        </is>
      </c>
      <c r="M101" s="2" t="inlineStr">
        <is>
          <t>Clinic</t>
        </is>
      </c>
      <c r="N101" s="2" t="inlineStr">
        <is>
          <t>ข้อ 26 (PLE_CC1_Practice_Exam.md)</t>
        </is>
      </c>
      <c r="O101" s="2" t="n"/>
      <c r="P101" s="2" t="n"/>
    </row>
    <row r="102" ht="13.2" customHeight="1" s="49">
      <c r="A102" s="8" t="inlineStr">
        <is>
          <t>100</t>
        </is>
      </c>
      <c r="B102" s="2"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2" t="n"/>
      <c r="D102" s="2" t="inlineStr">
        <is>
          <t>ตาปลาเกิดจากการสวมรองเท้าที่ไม่พอดี</t>
        </is>
      </c>
      <c r="E102" s="2" t="inlineStr">
        <is>
          <t>ตาปลาเกิดจากการไม่ชอบสวมรองเท้าเดิน</t>
        </is>
      </c>
      <c r="F102" s="2" t="inlineStr">
        <is>
          <t>ตาปลาอาจเกิดได้จากรูปเท้าที่ผิดปกติ</t>
        </is>
      </c>
      <c r="G102" s="2" t="inlineStr">
        <is>
          <t>ตาปลาเกิดจากการติดเชื้อ ซึ่งมักเกิดตามมาหลังจากเป็นแผลที่เท้า</t>
        </is>
      </c>
      <c r="H102" s="2" t="inlineStr">
        <is>
          <t>ข้อที่กล่าวมาข้างต้นไม่มีข้อใดผิด</t>
        </is>
      </c>
      <c r="I102" s="8" t="n">
        <v>1</v>
      </c>
      <c r="J102" s="2" t="inlineStr">
        <is>
          <t>✅ คำตอบที่ถูกต้อง: ข้อ ก. ตาปลาเกิดจากการสวมรองเท้าที่ไม่พอดี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t>
        </is>
      </c>
      <c r="K102" s="2" t="n"/>
      <c r="L102" s="2" t="inlineStr">
        <is>
          <t>Oral contraceptive</t>
        </is>
      </c>
      <c r="M102" s="2" t="inlineStr">
        <is>
          <t>Clinic</t>
        </is>
      </c>
      <c r="N102" s="2" t="inlineStr">
        <is>
          <t>ข้อ 20 (PLE_CC1_Practice_Exam.md)</t>
        </is>
      </c>
      <c r="O102" s="2" t="n"/>
      <c r="P102" s="2" t="n"/>
    </row>
    <row r="103" ht="13.2" customHeight="1" s="49">
      <c r="A103" s="8" t="inlineStr">
        <is>
          <t>101</t>
        </is>
      </c>
      <c r="B103" s="2" t="inlineStr">
        <is>
          <t>จากข้อ 28 หากผู้ป่วยกำลังตั้งครรภ์ ควรได้รับการรักษาด้วยยาในข้อใด</t>
        </is>
      </c>
      <c r="C103" s="2" t="n"/>
      <c r="D103" s="2" t="inlineStr">
        <is>
          <t>1% Gamma-benzene hexachloride ข. 25 % Benzyl benzoate</t>
        </is>
      </c>
      <c r="E103" s="2" t="inlineStr">
        <is>
          <t>12.5 % Benzyl benzoate</t>
        </is>
      </c>
      <c r="F103" s="2" t="inlineStr">
        <is>
          <t>10 - 15% Precipitated sulfur</t>
        </is>
      </c>
      <c r="G103" s="2" t="inlineStr">
        <is>
          <t>5% Permethrin cream</t>
        </is>
      </c>
      <c r="H103" s="2" t="inlineStr">
        <is>
          <t>Dydrogesterone 10 mg BID</t>
        </is>
      </c>
      <c r="I103" s="8" t="n">
        <v>1</v>
      </c>
      <c r="J103" s="2" t="inlineStr">
        <is>
          <t>✅ คำตอบที่ถูกต้อง: ข้อ ก. 1% Gamma-benzene hexachloride ข. 25 % Benzyl benzoate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2" t="n"/>
      <c r="L103" s="2" t="inlineStr">
        <is>
          <t>Oral contraceptive</t>
        </is>
      </c>
      <c r="M103" s="2" t="inlineStr">
        <is>
          <t>Clinic</t>
        </is>
      </c>
      <c r="N103" s="2" t="inlineStr">
        <is>
          <t>ข้อ 30 (PLE_CC1_Practice_Exam.md)</t>
        </is>
      </c>
      <c r="O103" s="2" t="n"/>
      <c r="P103" s="2" t="n"/>
    </row>
    <row r="104" ht="13.2" customHeight="1" s="49">
      <c r="A104" s="8" t="inlineStr">
        <is>
          <t>102</t>
        </is>
      </c>
      <c r="B104" s="2" t="inlineStr">
        <is>
          <t>ผู้ป่วยที่ตั้งครรภ์</t>
        </is>
      </c>
      <c r="C104" s="2" t="n"/>
      <c r="D104" s="2" t="inlineStr">
        <is>
          <t>Tolterodine 2 mg BID</t>
        </is>
      </c>
      <c r="E104" s="2" t="inlineStr">
        <is>
          <t>Dydrogesterone 10 mg BID</t>
        </is>
      </c>
      <c r="F104" s="2" t="inlineStr">
        <is>
          <t>Ethinylestradiol 30 mcg + Levonorgestrel 150 mcg</t>
        </is>
      </c>
      <c r="G104" s="2" t="inlineStr">
        <is>
          <t>Ethinylestradiol 30 mcg + Drospirenone 3 mg</t>
        </is>
      </c>
      <c r="H104" s="2" t="inlineStr">
        <is>
          <t>Ethinylestradiol 35 mcg + Cyproterone acetate 2 mg</t>
        </is>
      </c>
      <c r="I104" s="8" t="n">
        <v>1</v>
      </c>
      <c r="J104"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2" t="n"/>
      <c r="L104" s="2" t="inlineStr">
        <is>
          <t>Oral contraceptive</t>
        </is>
      </c>
      <c r="M104" s="2" t="inlineStr">
        <is>
          <t>Clinic</t>
        </is>
      </c>
      <c r="N104" s="2" t="inlineStr">
        <is>
          <t>ข้อ 5 (PLE_CC1_Practice_Exam.md)</t>
        </is>
      </c>
      <c r="O104" s="2" t="n"/>
      <c r="P104" s="2" t="n"/>
    </row>
    <row r="105" ht="13.2" customHeight="1" s="49">
      <c r="A105" s="8" t="inlineStr">
        <is>
          <t>103</t>
        </is>
      </c>
      <c r="B105" s="2" t="inlineStr">
        <is>
          <t>ข้อใดผิดเกี่ยวกับกลไกออกฤทธิ์ของยาคุมกำเนิด</t>
        </is>
      </c>
      <c r="C105" s="2" t="n"/>
      <c r="D105" s="2" t="inlineStr">
        <is>
          <t>Estrogen ยับยั้งการหลั่ง FSH กดการเจริญของ follicle</t>
        </is>
      </c>
      <c r="E105" s="2" t="inlineStr">
        <is>
          <t>Progesterone ยับยั้งการหลั่ง LH ทำให้ไม่เกิดการตกไข่</t>
        </is>
      </c>
      <c r="F105" s="2" t="inlineStr">
        <is>
          <t>Estrogen มีผลทำให้มูกที่ปากมดลูกข้นเหนียว ทำให้ sperm ผ่านได้ยาก</t>
        </is>
      </c>
      <c r="G105" s="2" t="inlineStr">
        <is>
          <t>ปริมาณของ hormone เพิ่มมากขึ้น มีผลต่อการ contraction ของ uterus และ fallopian tube</t>
        </is>
      </c>
      <c r="H105" s="2" t="inlineStr">
        <is>
          <t>ปริมาณ Estrogen และ Progesterone ไม่เหมาะสมต่อการฝังตัวของตัวอ่อน</t>
        </is>
      </c>
      <c r="I105" s="8" t="n">
        <v>1</v>
      </c>
      <c r="J105" s="2" t="inlineStr">
        <is>
          <t>✅ คำตอบที่ถูกต้อง: ข้อ ก. Estrogen ยับยั้งการหลั่ง FSH กดการเจริญของ follicle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2" t="n"/>
      <c r="L105" s="2" t="inlineStr">
        <is>
          <t>Oral contraceptive</t>
        </is>
      </c>
      <c r="M105" s="2" t="inlineStr">
        <is>
          <t>Clinic</t>
        </is>
      </c>
      <c r="N105" s="2" t="inlineStr">
        <is>
          <t>ข้อ 7 (PLE_CC1_Practice_Exam.md)</t>
        </is>
      </c>
      <c r="O105" s="2" t="n"/>
      <c r="P105" s="2" t="n"/>
    </row>
    <row r="106" ht="13.2" customHeight="1" s="49">
      <c r="A106" s="8" t="inlineStr">
        <is>
          <t>104</t>
        </is>
      </c>
      <c r="B106" s="2" t="inlineStr">
        <is>
          <t>ยาคุมกำเนิดรับประทานขณะให้นมบุตร คือข้อใด</t>
        </is>
      </c>
      <c r="C106" s="2" t="n"/>
      <c r="D106" s="2" t="inlineStr">
        <is>
          <t>Lynestrenol</t>
        </is>
      </c>
      <c r="E106" s="2" t="inlineStr">
        <is>
          <t>Levonorgestrel</t>
        </is>
      </c>
      <c r="F106" s="2" t="inlineStr">
        <is>
          <t>Ethinyl estradiol + Levonorgestrel</t>
        </is>
      </c>
      <c r="G106" s="2" t="inlineStr">
        <is>
          <t>Ethinyl estradiol + Desogestrol</t>
        </is>
      </c>
      <c r="H106" s="2" t="inlineStr">
        <is>
          <t>Oxybutynin 5 mg BID</t>
        </is>
      </c>
      <c r="I106" s="8" t="n">
        <v>1</v>
      </c>
      <c r="J106"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2" t="n"/>
      <c r="L106" s="2" t="inlineStr">
        <is>
          <t>Oral contraceptive</t>
        </is>
      </c>
      <c r="M106" s="2" t="inlineStr">
        <is>
          <t>Clinic</t>
        </is>
      </c>
      <c r="N106" s="2" t="inlineStr">
        <is>
          <t>ข้อ 13 (PLE_CC1_Practice_Exam.md)</t>
        </is>
      </c>
      <c r="O106" s="2" t="n"/>
      <c r="P106" s="2" t="n"/>
    </row>
    <row r="107" ht="13.2" customHeight="1" s="49">
      <c r="A107" s="8" t="inlineStr">
        <is>
          <t>105</t>
        </is>
      </c>
      <c r="B107" s="2"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2" t="n"/>
      <c r="D107" s="2" t="inlineStr">
        <is>
          <t>ควรเลือกจ่าย POPs ก่อน COCs เพราะ POPs ไม่จำเป็นต้องกินยาให้ตรงเวลาเหมือน COCs</t>
        </is>
      </c>
      <c r="E107" s="2" t="inlineStr">
        <is>
          <t>สามารถเริ่มกินยาในวันใดก็ได้ ที่มั่นใจว่าไม่มีการตั้งครรภ์ และไม่ต้องมีการ Back Up</t>
        </is>
      </c>
      <c r="F107" s="2" t="inlineStr">
        <is>
          <t>เริ่มกินยาภายในไม่เกิน 5 วันแรกของการมีประจำเดือน และต้องทำการ Back Up 7 วัน</t>
        </is>
      </c>
      <c r="G107" s="2" t="inlineStr">
        <is>
          <t>กรณีลืมกินยา 1 เม็ด สามารถกินยาเม็ดที่ลืมทันทีที่นึกได้ แล้วกินเม็ดต่อไปได้ตามปกติ</t>
        </is>
      </c>
      <c r="H107" s="2"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I107" s="8" t="n">
        <v>1</v>
      </c>
      <c r="J107" s="2" t="inlineStr">
        <is>
          <t>✅ คำตอบที่ถูกต้อง: ข้อ ก. ควรเลือกจ่าย POPs ก่อน COCs เพราะ POPs ไม่จำเป็นต้องกินยาให้ตรงเวลาเหมือน COCs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K107" s="2" t="n"/>
      <c r="L107" s="2" t="inlineStr">
        <is>
          <t>Oral contraceptive</t>
        </is>
      </c>
      <c r="M107" s="2" t="inlineStr">
        <is>
          <t>Clinic</t>
        </is>
      </c>
      <c r="N107" s="2" t="inlineStr">
        <is>
          <t>ข้อ 29 (PLE_CC1_Practice_Exam.md)</t>
        </is>
      </c>
      <c r="O107" s="2" t="n"/>
      <c r="P107" s="2" t="n"/>
    </row>
    <row r="108" ht="13.2" customHeight="1" s="49">
      <c r="A108" s="8" t="inlineStr">
        <is>
          <t>106</t>
        </is>
      </c>
      <c r="B108" s="2" t="inlineStr">
        <is>
          <t>ยาใดห้ำมให้ในหญิงตั้งครรภ์</t>
        </is>
      </c>
      <c r="C108" s="2" t="n"/>
      <c r="D108" s="2" t="inlineStr">
        <is>
          <t>Dydrogesterone 10 mg BID</t>
        </is>
      </c>
      <c r="E108" s="2" t="inlineStr">
        <is>
          <t>Ethinylestradiol 30 mcg + Levonorgestrel 150 mcg</t>
        </is>
      </c>
      <c r="F108" s="2" t="inlineStr">
        <is>
          <t>Ethinylestradiol 30 mcg + Drospirenone 3 mg</t>
        </is>
      </c>
      <c r="G108" s="2" t="inlineStr">
        <is>
          <t>Ethinylestradiol 35 mcg + Cyproterone acetate 2 mg</t>
        </is>
      </c>
      <c r="H108" s="2" t="inlineStr">
        <is>
          <t>Desogestrel 75 mcg OD (Progestin-only)</t>
        </is>
      </c>
      <c r="I108" s="8" t="n">
        <v>1</v>
      </c>
      <c r="J108"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2" t="n"/>
      <c r="L108" s="2" t="inlineStr">
        <is>
          <t>Oral contraceptive</t>
        </is>
      </c>
      <c r="M108" s="2" t="inlineStr">
        <is>
          <t>Clinic</t>
        </is>
      </c>
      <c r="N108" s="2" t="inlineStr">
        <is>
          <t>ข้อ 3 (PLE_CC1_Key_Rx20_UBU.md)</t>
        </is>
      </c>
      <c r="O108" s="2" t="n"/>
      <c r="P108" s="2" t="n"/>
    </row>
    <row r="109" ht="13.2" customHeight="1" s="49">
      <c r="A109" s="8" t="inlineStr">
        <is>
          <t>107</t>
        </is>
      </c>
      <c r="B109" s="2" t="inlineStr">
        <is>
          <t>ผู้หญิงต้องคุมกำเนิดตั้งแต่เดือนแรกที่ใช้ยา</t>
        </is>
      </c>
      <c r="C109" s="2" t="n"/>
      <c r="D109" s="2" t="inlineStr">
        <is>
          <t>Ethinylestradiol 35 mcg + Cyproterone acetate 2 mg</t>
        </is>
      </c>
      <c r="E109" s="2" t="inlineStr">
        <is>
          <t>Desogestrel 75 mcg OD (Progestin-only)</t>
        </is>
      </c>
      <c r="F109" s="2" t="inlineStr">
        <is>
          <t>Levonorgestrel 1.5 mg stat (Emergency)</t>
        </is>
      </c>
      <c r="G109" s="2" t="inlineStr">
        <is>
          <t>Mefenamic acid 500 mg TID</t>
        </is>
      </c>
      <c r="H109" s="2" t="inlineStr">
        <is>
          <t>Tamsulosin 0.4 mg HS</t>
        </is>
      </c>
      <c r="I109" s="8" t="n">
        <v>1</v>
      </c>
      <c r="J109"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2" t="n"/>
      <c r="L109" s="2" t="inlineStr">
        <is>
          <t>Oral contraceptive</t>
        </is>
      </c>
      <c r="M109" s="2" t="inlineStr">
        <is>
          <t>Clinic</t>
        </is>
      </c>
      <c r="N109" s="2" t="inlineStr">
        <is>
          <t>ข้อ 1 (PLE_CC1_Key_Rx20_UBU.md)</t>
        </is>
      </c>
      <c r="O109" s="2" t="n"/>
      <c r="P109" s="2" t="n"/>
    </row>
    <row r="110" ht="13.2" customHeight="1" s="49">
      <c r="A110" s="8" t="inlineStr">
        <is>
          <t>108</t>
        </is>
      </c>
      <c r="B110" s="2"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2" t="n"/>
      <c r="D110" s="2" t="inlineStr">
        <is>
          <t>Mefenamic acid 500 mg TID</t>
        </is>
      </c>
      <c r="E110" s="2" t="inlineStr">
        <is>
          <t>Tamsulosin 0.4 mg HS</t>
        </is>
      </c>
      <c r="F110" s="2" t="inlineStr">
        <is>
          <t>Finasteride 5 mg OD</t>
        </is>
      </c>
      <c r="G110" s="2" t="inlineStr">
        <is>
          <t>Oxybutynin 5 mg BID</t>
        </is>
      </c>
      <c r="H110" s="2" t="inlineStr">
        <is>
          <t>Tolterodine 2 mg BID</t>
        </is>
      </c>
      <c r="I110" s="8" t="n">
        <v>4</v>
      </c>
      <c r="J110" s="2" t="inlineStr">
        <is>
          <t>✅ คำตอบที่ถูกต้อง: ข้อ ง.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2" t="n"/>
      <c r="L110" s="2" t="inlineStr">
        <is>
          <t>Oral contraceptive</t>
        </is>
      </c>
      <c r="M110" s="2" t="inlineStr">
        <is>
          <t>Clinic</t>
        </is>
      </c>
      <c r="N110" s="2" t="inlineStr">
        <is>
          <t>ข้อ 5 (PLE_CC1_Key_Rx20_UBU.md)</t>
        </is>
      </c>
      <c r="O110" s="2" t="n"/>
      <c r="P110" s="2" t="n"/>
    </row>
    <row r="111" ht="13.2" customHeight="1" s="49">
      <c r="A111" s="8" t="inlineStr">
        <is>
          <t>109</t>
        </is>
      </c>
      <c r="B111" s="2" t="inlineStr">
        <is>
          <t>เหตุใดจึงต้องระมัดระวังในการยาคุมกำเนิดที่มี Estrogen ให้กับหญิงที่อยู่ระหว่างให้นมบุตร</t>
        </is>
      </c>
      <c r="C111" s="2" t="n"/>
      <c r="D111" s="2" t="inlineStr">
        <is>
          <t>เนื่องจากยาอาจมีผลลดฮอร์โมน Prolactin</t>
        </is>
      </c>
      <c r="E111" s="2" t="inlineStr">
        <is>
          <t>เนื่องจากยาสามารถผ่านน้ำนมได้และอาจมีผลต่อตับของทารก</t>
        </is>
      </c>
      <c r="F111" s="2" t="inlineStr">
        <is>
          <t>Dydrogesterone 10 mg BID</t>
        </is>
      </c>
      <c r="G111" s="2" t="inlineStr">
        <is>
          <t>Ethinylestradiol 30 mcg + Levonorgestrel 150 mcg</t>
        </is>
      </c>
      <c r="H111" s="2" t="inlineStr">
        <is>
          <t>เนื่องจากในหญิงให้นมบุตรอาจทำให้เกิดเลือดออกกะปริบกะปรอยได้</t>
        </is>
      </c>
      <c r="I111" s="8" t="n">
        <v>1</v>
      </c>
      <c r="J111" s="2" t="inlineStr">
        <is>
          <t>✅ คำตอบที่ถูกต้อง: ข้อ ก. เนื่องจากยาอาจมีผลลดฮอร์โมน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2" t="n"/>
      <c r="L111" s="2" t="inlineStr">
        <is>
          <t>Oral contraceptive</t>
        </is>
      </c>
      <c r="M111" s="2" t="inlineStr">
        <is>
          <t>Clinic</t>
        </is>
      </c>
      <c r="N111" s="2" t="inlineStr">
        <is>
          <t>ข้อ 2 (PLE_CC1_Key_Rx20_UBU.md)</t>
        </is>
      </c>
      <c r="O111" s="2" t="n"/>
      <c r="P111" s="2" t="n"/>
    </row>
    <row r="112" ht="13.2" customHeight="1" s="49">
      <c r="A112" s="8" t="inlineStr">
        <is>
          <t>110</t>
        </is>
      </c>
      <c r="B112" s="2" t="inlineStr">
        <is>
          <t>ผู้ป่วยที่มีภาวะใดมีห้ามใช้ฮอร์โมนที่ประกอบด้วย Estrogen</t>
        </is>
      </c>
      <c r="C112" s="2" t="n"/>
      <c r="D112" s="2" t="inlineStr">
        <is>
          <t>Ethinylestradiol 30 mcg + Levonorgestrel 150 mcg</t>
        </is>
      </c>
      <c r="E112" s="2" t="inlineStr">
        <is>
          <t>Ethinylestradiol 30 mcg + Drospirenone 3 mg</t>
        </is>
      </c>
      <c r="F112" s="2" t="inlineStr">
        <is>
          <t>ลมชัก</t>
        </is>
      </c>
      <c r="G112" s="2" t="inlineStr">
        <is>
          <t>มีภาวะลิ่มเลือดอุดตัน</t>
        </is>
      </c>
      <c r="H112" s="2" t="inlineStr">
        <is>
          <t>Levonorgestrel 1.5 mg stat (Emergency)</t>
        </is>
      </c>
      <c r="I112" s="8" t="n">
        <v>4</v>
      </c>
      <c r="J112" s="2" t="inlineStr">
        <is>
          <t>✅ คำตอบที่ถูกต้อง: ข้อ ง. มีภาวะลิ่มเลือดอุดตัน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n"/>
      <c r="L112" s="2" t="inlineStr">
        <is>
          <t>Hormonal replacement</t>
        </is>
      </c>
      <c r="M112" s="2" t="inlineStr">
        <is>
          <t>Clinic</t>
        </is>
      </c>
      <c r="N112" s="2" t="inlineStr">
        <is>
          <t>ข้อ 3 (PLE_CC1_Key_Rx20_UBU.md)</t>
        </is>
      </c>
      <c r="O112" s="2" t="n"/>
      <c r="P112" s="2" t="n"/>
    </row>
    <row r="113" ht="13.2" customHeight="1" s="49">
      <c r="A113" s="8" t="inlineStr">
        <is>
          <t>111</t>
        </is>
      </c>
      <c r="B113" s="2" t="inlineStr">
        <is>
          <t>ข้อดีของยาคุมกำเนิดในรูปแผ่นแปะที่แตกต่างจากยาคุมกำเนิดแบบรับประทานคือข้อใด</t>
        </is>
      </c>
      <c r="C113" s="2" t="n"/>
      <c r="D113" s="2" t="inlineStr">
        <is>
          <t>Patch ทำให้เกิดผลข้างเคียงได้น้อยกว่า oral contraceptive</t>
        </is>
      </c>
      <c r="E113" s="2" t="inlineStr">
        <is>
          <t>Patch ไม่ทำให้เกิดมะเร็งเต้านมเหมือน oral contraceptive</t>
        </is>
      </c>
      <c r="F113" s="2" t="inlineStr">
        <is>
          <t>Patch ลด first pass metabolism ของ oral contraceptive</t>
        </is>
      </c>
      <c r="G113" s="2" t="inlineStr">
        <is>
          <t>Tamsulosin 0.4 mg HS</t>
        </is>
      </c>
      <c r="H113" s="2" t="inlineStr">
        <is>
          <t>Finasteride 5 mg OD</t>
        </is>
      </c>
      <c r="I113" s="8" t="n">
        <v>3</v>
      </c>
      <c r="J113" s="2" t="inlineStr">
        <is>
          <t>✅ คำตอบที่ถูกต้อง: ข้อ ค. Patch ลด first pass metabolism ของ oral contraceptive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2" t="n"/>
      <c r="L113" s="2" t="inlineStr">
        <is>
          <t>Oral contraceptive</t>
        </is>
      </c>
      <c r="M113" s="2" t="inlineStr">
        <is>
          <t>Clinic</t>
        </is>
      </c>
      <c r="N113" s="2" t="inlineStr">
        <is>
          <t>ข้อ 9 (PLE_CC1_Key_Rx20_UBU.md)</t>
        </is>
      </c>
      <c r="O113" s="2" t="n"/>
      <c r="P113" s="2" t="n"/>
    </row>
    <row r="114" ht="13.2" customHeight="1" s="49">
      <c r="A114" s="8" t="inlineStr">
        <is>
          <t>112</t>
        </is>
      </c>
      <c r="B114" s="2" t="inlineStr">
        <is>
          <t>หากผู้ป่วย cystitis รายนี้กำลังตั้งครรภ์ด้วย ควรพิจารณายาใดให้แก่ผู้ป่วย</t>
        </is>
      </c>
      <c r="C114" s="2" t="n"/>
      <c r="D114" s="2" t="inlineStr">
        <is>
          <t>Tamsulosin 0.4 mg HS</t>
        </is>
      </c>
      <c r="E114" s="2" t="inlineStr">
        <is>
          <t>Finasteride 5 mg OD</t>
        </is>
      </c>
      <c r="F114" s="2" t="inlineStr">
        <is>
          <t>Oxybutynin 5 mg BID</t>
        </is>
      </c>
      <c r="G114" s="2" t="inlineStr">
        <is>
          <t>Tolterodine 2 mg BID</t>
        </is>
      </c>
      <c r="H114" s="2" t="inlineStr">
        <is>
          <t>Dydrogesterone 10 mg BID</t>
        </is>
      </c>
      <c r="I114" s="8" t="n">
        <v>1</v>
      </c>
      <c r="J114"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2" t="n"/>
      <c r="L114" s="2" t="inlineStr">
        <is>
          <t>Oral contraceptive</t>
        </is>
      </c>
      <c r="M114" s="2" t="inlineStr">
        <is>
          <t>Clinic</t>
        </is>
      </c>
      <c r="N114" s="2" t="inlineStr">
        <is>
          <t>ข้อ 7 (PLE_CC1_Key_Rx20_UBU.md)</t>
        </is>
      </c>
      <c r="O114" s="2" t="n"/>
      <c r="P114" s="2" t="n"/>
    </row>
    <row r="115" ht="13.2" customHeight="1" s="49">
      <c r="A115" s="8" t="inlineStr">
        <is>
          <t>113</t>
        </is>
      </c>
      <c r="B115" s="2"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2" t="n"/>
      <c r="D115" s="2" t="inlineStr">
        <is>
          <t>Tolterodine 2 mg BID</t>
        </is>
      </c>
      <c r="E115" s="2" t="inlineStr">
        <is>
          <t>Dydrogesterone 10 mg BID</t>
        </is>
      </c>
      <c r="F115" s="2" t="inlineStr">
        <is>
          <t>Ethinylestradiol 30 mcg + Levonorgestrel 150 mcg</t>
        </is>
      </c>
      <c r="G115" s="2" t="inlineStr">
        <is>
          <t>Ethinylestradiol 30 mcg + Drospirenone 3 mg</t>
        </is>
      </c>
      <c r="H115" s="2" t="inlineStr">
        <is>
          <t>Ethinylestradiol 35 mcg + Cyproterone acetate 2 mg</t>
        </is>
      </c>
      <c r="I115" s="8" t="n">
        <v>1</v>
      </c>
      <c r="J115"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Oral contraceptive</t>
        </is>
      </c>
      <c r="M115" s="2" t="inlineStr">
        <is>
          <t>Clinic</t>
        </is>
      </c>
      <c r="N115" s="2" t="inlineStr">
        <is>
          <t>ข้อ 86 (PLE_CC1_Key_Rx20_UBU.md)</t>
        </is>
      </c>
      <c r="O115" s="2" t="n"/>
      <c r="P115" s="2" t="n"/>
    </row>
    <row r="116" ht="13.2" customHeight="1" s="49">
      <c r="A116" s="8" t="inlineStr">
        <is>
          <t>114</t>
        </is>
      </c>
      <c r="B116" s="2" t="inlineStr">
        <is>
          <t>ถ้าผู้ป่วยรายนี้ ซึ่งเป็นโรค psoriasis ตั้งครรภ์จะสามารถใช้ยาใดต่อไปนี้ได้</t>
        </is>
      </c>
      <c r="C116" s="2" t="n"/>
      <c r="D116" s="2" t="inlineStr">
        <is>
          <t>Ethinylestradiol 30 mcg + Drospirenone 3 mg</t>
        </is>
      </c>
      <c r="E116" s="2" t="inlineStr">
        <is>
          <t>Ethinylestradiol 35 mcg + Cyproterone acetate 2 mg</t>
        </is>
      </c>
      <c r="F116" s="2" t="inlineStr">
        <is>
          <t>Desogestrel 75 mcg OD (Progestin-only)</t>
        </is>
      </c>
      <c r="G116" s="2" t="inlineStr">
        <is>
          <t>Levonorgestrel 1.5 mg stat (Emergency)</t>
        </is>
      </c>
      <c r="H116" s="2" t="inlineStr">
        <is>
          <t>Mefenamic acid 500 mg TID</t>
        </is>
      </c>
      <c r="I116" s="8" t="n">
        <v>1</v>
      </c>
      <c r="J116"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2" t="n"/>
      <c r="L116" s="2" t="inlineStr">
        <is>
          <t>Oral contraceptive</t>
        </is>
      </c>
      <c r="M116" s="2" t="inlineStr">
        <is>
          <t>Clinic</t>
        </is>
      </c>
      <c r="N116" s="2" t="inlineStr">
        <is>
          <t>ข้อ 95 (PLE_CC1_Key_Rx20_UBU.md)</t>
        </is>
      </c>
      <c r="O116" s="2" t="n"/>
      <c r="P116" s="2" t="n"/>
    </row>
    <row r="117" ht="13.2" customHeight="1" s="49">
      <c r="A117" s="8" t="inlineStr">
        <is>
          <t>115</t>
        </is>
      </c>
      <c r="B117" s="2" t="inlineStr">
        <is>
          <t>ผู้หญิงวัยเจริญพันธุ์ไม่ต้องคุมกำเนิด</t>
        </is>
      </c>
      <c r="C117" s="2" t="n"/>
      <c r="D117" s="2" t="inlineStr">
        <is>
          <t>Levonorgestrel 1.5 mg stat (Emergency)</t>
        </is>
      </c>
      <c r="E117" s="2" t="inlineStr">
        <is>
          <t>Mefenamic acid 500 mg TID</t>
        </is>
      </c>
      <c r="F117" s="2" t="inlineStr">
        <is>
          <t>Tamsulosin 0.4 mg HS</t>
        </is>
      </c>
      <c r="G117" s="2" t="inlineStr">
        <is>
          <t>Finasteride 5 mg OD</t>
        </is>
      </c>
      <c r="H117" s="2" t="inlineStr">
        <is>
          <t>Oxybutynin 5 mg BID</t>
        </is>
      </c>
      <c r="I117" s="8" t="n">
        <v>1</v>
      </c>
      <c r="J117"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2" t="n"/>
      <c r="L117" s="2" t="inlineStr">
        <is>
          <t>Oral contraceptive</t>
        </is>
      </c>
      <c r="M117" s="2" t="inlineStr">
        <is>
          <t>Clinic</t>
        </is>
      </c>
      <c r="N117" s="2" t="inlineStr">
        <is>
          <t>ข้อ 1 (PLE_CC1_Key_Rx20_UBU.md)</t>
        </is>
      </c>
      <c r="O117" s="2" t="n"/>
      <c r="P117" s="2" t="n"/>
    </row>
    <row r="118" ht="13.2" customHeight="1" s="49">
      <c r="A118" s="8" t="inlineStr">
        <is>
          <t>116</t>
        </is>
      </c>
      <c r="B118" s="2" t="inlineStr">
        <is>
          <t>ไม่ต้องคุมกำเนิดในระหว่างการรับประทานยา</t>
        </is>
      </c>
      <c r="C118" s="2" t="n"/>
      <c r="D118" s="2" t="inlineStr">
        <is>
          <t>Finasteride 5 mg OD</t>
        </is>
      </c>
      <c r="E118" s="2" t="inlineStr">
        <is>
          <t>Oxybutynin 5 mg BID</t>
        </is>
      </c>
      <c r="F118" s="2" t="inlineStr">
        <is>
          <t>Tolterodine 2 mg BID</t>
        </is>
      </c>
      <c r="G118" s="2" t="inlineStr">
        <is>
          <t>Dydrogesterone 10 mg BID</t>
        </is>
      </c>
      <c r="H118" s="2" t="inlineStr">
        <is>
          <t>Ethinylestradiol 30 mcg + Levonorgestrel 150 mcg</t>
        </is>
      </c>
      <c r="I118" s="8" t="n">
        <v>1</v>
      </c>
      <c r="J118"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2" t="n"/>
      <c r="L118" s="2" t="inlineStr">
        <is>
          <t>Oral contraceptive</t>
        </is>
      </c>
      <c r="M118" s="2" t="inlineStr">
        <is>
          <t>Clinic</t>
        </is>
      </c>
      <c r="N118" s="2" t="inlineStr">
        <is>
          <t>ข้อ 1 (PLE_CC1_Key_Rx20_UBU.md)</t>
        </is>
      </c>
      <c r="O118" s="2" t="n"/>
      <c r="P118" s="2" t="n"/>
    </row>
    <row r="119" ht="13.2" customHeight="1" s="49">
      <c r="A119" s="8" t="inlineStr">
        <is>
          <t>117</t>
        </is>
      </c>
      <c r="B119" s="2" t="inlineStr">
        <is>
          <t>ไม่ต้องคุมกำเนิดก่อน แต่คุมระหว่างได้รับยา</t>
        </is>
      </c>
      <c r="C119" s="2" t="n"/>
      <c r="D119" s="2" t="inlineStr">
        <is>
          <t>Dydrogesterone 10 mg BID</t>
        </is>
      </c>
      <c r="E119" s="2" t="inlineStr">
        <is>
          <t>Ethinylestradiol 30 mcg + Levonorgestrel 150 mcg</t>
        </is>
      </c>
      <c r="F119" s="2" t="inlineStr">
        <is>
          <t>Ethinylestradiol 30 mcg + Drospirenone 3 mg</t>
        </is>
      </c>
      <c r="G119" s="2" t="inlineStr">
        <is>
          <t>Ethinylestradiol 35 mcg + Cyproterone acetate 2 mg</t>
        </is>
      </c>
      <c r="H119" s="2" t="inlineStr">
        <is>
          <t>Desogestrel 75 mcg OD (Progestin-only)</t>
        </is>
      </c>
      <c r="I119" s="8" t="n">
        <v>1</v>
      </c>
      <c r="J119"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2" t="n"/>
      <c r="L119" s="2" t="inlineStr">
        <is>
          <t>Oral contraceptive</t>
        </is>
      </c>
      <c r="M119" s="2" t="inlineStr">
        <is>
          <t>Clinic</t>
        </is>
      </c>
      <c r="N119" s="2" t="inlineStr">
        <is>
          <t>ข้อ 2 (PLE_CC1_Key_Rx20_UBU.md)</t>
        </is>
      </c>
      <c r="O119" s="2" t="n"/>
      <c r="P119" s="2" t="n"/>
    </row>
    <row r="120" ht="13.2" customHeight="1" s="49">
      <c r="A120" s="8" t="inlineStr">
        <is>
          <t>118</t>
        </is>
      </c>
      <c r="B120" s="2" t="inlineStr">
        <is>
          <t>คุมกำเนิดก่อนใช้ยา 1 เดือน และระหว่างใช้ยา</t>
        </is>
      </c>
      <c r="C120" s="2" t="n"/>
      <c r="D120" s="2" t="inlineStr">
        <is>
          <t>Ethinylestradiol 35 mcg + Cyproterone acetate 2 mg</t>
        </is>
      </c>
      <c r="E120" s="2" t="inlineStr">
        <is>
          <t>Desogestrel 75 mcg OD (Progestin-only)</t>
        </is>
      </c>
      <c r="F120" s="2" t="inlineStr">
        <is>
          <t>Levonorgestrel 1.5 mg stat (Emergency)</t>
        </is>
      </c>
      <c r="G120" s="2" t="inlineStr">
        <is>
          <t>Mefenamic acid 500 mg TID</t>
        </is>
      </c>
      <c r="H120" s="2" t="inlineStr">
        <is>
          <t>Tamsulosin 0.4 mg HS</t>
        </is>
      </c>
      <c r="I120" s="8" t="n">
        <v>1</v>
      </c>
      <c r="J120"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2" t="n"/>
      <c r="L120" s="2" t="inlineStr">
        <is>
          <t>Oral contraceptive</t>
        </is>
      </c>
      <c r="M120" s="2" t="inlineStr">
        <is>
          <t>Clinic</t>
        </is>
      </c>
      <c r="N120" s="2" t="inlineStr">
        <is>
          <t>ข้อ 3 (PLE_CC1_Key_Rx20_UBU.md)</t>
        </is>
      </c>
      <c r="O120" s="2" t="n"/>
      <c r="P120" s="2" t="n"/>
    </row>
    <row r="121" ht="13.2" customHeight="1" s="49">
      <c r="A121" s="8" t="inlineStr">
        <is>
          <t>119</t>
        </is>
      </c>
      <c r="B121" s="2" t="inlineStr">
        <is>
          <t>คุมกำเนิดก่อนใช้ยา 1 เดือน และหลังใช้ยา 3 เดือน</t>
        </is>
      </c>
      <c r="C121" s="2" t="n"/>
      <c r="D121" s="2" t="inlineStr">
        <is>
          <t>Mefenamic acid 500 mg TID</t>
        </is>
      </c>
      <c r="E121" s="2" t="inlineStr">
        <is>
          <t>Tamsulosin 0.4 mg HS</t>
        </is>
      </c>
      <c r="F121" s="2" t="inlineStr">
        <is>
          <t>Finasteride 5 mg OD</t>
        </is>
      </c>
      <c r="G121" s="2" t="inlineStr">
        <is>
          <t>Oxybutynin 5 mg BID</t>
        </is>
      </c>
      <c r="H121" s="2" t="inlineStr">
        <is>
          <t>Tolterodine 2 mg BID</t>
        </is>
      </c>
      <c r="I121" s="8" t="n">
        <v>1</v>
      </c>
      <c r="J121"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2" t="n"/>
      <c r="L121" s="2" t="inlineStr">
        <is>
          <t>Oral contraceptive</t>
        </is>
      </c>
      <c r="M121" s="2" t="inlineStr">
        <is>
          <t>Clinic</t>
        </is>
      </c>
      <c r="N121" s="2" t="inlineStr">
        <is>
          <t>ข้อ 4 (PLE_CC1_Key_Rx20_UBU.md)</t>
        </is>
      </c>
      <c r="O121" s="2" t="n"/>
      <c r="P121" s="2" t="n"/>
    </row>
    <row r="122" ht="13.2" customHeight="1" s="49">
      <c r="A122" s="8" t="inlineStr">
        <is>
          <t>120</t>
        </is>
      </c>
      <c r="B122" s="2" t="inlineStr">
        <is>
          <t>คุมกำเนิดก่อนใช้ยา 1 เดือน ระหว่างใช้ยา และหลังใช้ยา 1 เดือน</t>
        </is>
      </c>
      <c r="C122" s="2" t="n"/>
      <c r="D122" s="2" t="inlineStr">
        <is>
          <t>Oxybutynin 5 mg BID</t>
        </is>
      </c>
      <c r="E122" s="2" t="inlineStr">
        <is>
          <t>Tolterodine 2 mg BID</t>
        </is>
      </c>
      <c r="F122" s="2" t="inlineStr">
        <is>
          <t>Dydrogesterone 10 mg BID</t>
        </is>
      </c>
      <c r="G122" s="2" t="inlineStr">
        <is>
          <t>Ethinylestradiol 30 mcg + Levonorgestrel 150 mcg</t>
        </is>
      </c>
      <c r="H122" s="2" t="inlineStr">
        <is>
          <t>Ethinylestradiol 30 mcg + Drospirenone 3 mg</t>
        </is>
      </c>
      <c r="I122" s="8" t="n">
        <v>1</v>
      </c>
      <c r="J122"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2" t="n"/>
      <c r="L122" s="2" t="inlineStr">
        <is>
          <t>Oral contraceptive</t>
        </is>
      </c>
      <c r="M122" s="2" t="inlineStr">
        <is>
          <t>Clinic</t>
        </is>
      </c>
      <c r="N122" s="2" t="inlineStr">
        <is>
          <t>ข้อ 5 (PLE_CC1_Key_Rx20_UBU.md)</t>
        </is>
      </c>
      <c r="O122" s="2" t="n"/>
      <c r="P122" s="2" t="n"/>
    </row>
    <row r="123" ht="13.2" customHeight="1" s="49">
      <c r="A123" s="8" t="inlineStr">
        <is>
          <t>121</t>
        </is>
      </c>
      <c r="B123" s="2"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2" t="n"/>
      <c r="D123" s="2" t="inlineStr">
        <is>
          <t>Ethinylestradiol 30 mcg + Levonorgestrel 150 mcg</t>
        </is>
      </c>
      <c r="E123" s="2" t="inlineStr">
        <is>
          <t>Ethinylestradiol 30 mcg + Drospirenone 3 mg</t>
        </is>
      </c>
      <c r="F123" s="2" t="inlineStr">
        <is>
          <t>Ethinylestradiol 35 mcg + Cyproterone acetate 2 mg</t>
        </is>
      </c>
      <c r="G123" s="2" t="inlineStr">
        <is>
          <t>Desogestrel 75 mcg OD (Progestin-only)</t>
        </is>
      </c>
      <c r="H123" s="2" t="inlineStr">
        <is>
          <t>Levonorgestrel 1.5 mg stat (Emergency)</t>
        </is>
      </c>
      <c r="I123" s="8" t="n">
        <v>1</v>
      </c>
      <c r="J123"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2" t="n"/>
      <c r="L123" s="2" t="inlineStr">
        <is>
          <t>Oral contraceptive</t>
        </is>
      </c>
      <c r="M123" s="2" t="inlineStr">
        <is>
          <t>Clinic</t>
        </is>
      </c>
      <c r="N123" s="2" t="inlineStr">
        <is>
          <t>ข้อ 5 (PLE_CC1_Key_Rx20_UBU.md)</t>
        </is>
      </c>
      <c r="O123" s="2" t="n"/>
      <c r="P123" s="2" t="n"/>
    </row>
    <row r="124" ht="13.2" customHeight="1" s="49">
      <c r="A124" s="8" t="inlineStr">
        <is>
          <t>122</t>
        </is>
      </c>
      <c r="B124" s="2" t="inlineStr">
        <is>
          <t>วิธีการคุมกำเนิดใดเหมาะสมกับผู้ป่วยรายนี้ - ._</t>
        </is>
      </c>
      <c r="C124" s="2" t="n"/>
      <c r="D124" s="2" t="inlineStr">
        <is>
          <t>Desogestrel 75 mcg OD (Progestin-only)</t>
        </is>
      </c>
      <c r="E124" s="2" t="inlineStr">
        <is>
          <t>Levonorgestrel 1.5 mg stat (Emergency)</t>
        </is>
      </c>
      <c r="F124" s="2" t="inlineStr">
        <is>
          <t>Mefenamic acid 500 mg TID</t>
        </is>
      </c>
      <c r="G124" s="2" t="inlineStr">
        <is>
          <t>Tamsulosin 0.4 mg HS</t>
        </is>
      </c>
      <c r="H124" s="2" t="inlineStr">
        <is>
          <t>Finasteride 5 mg OD</t>
        </is>
      </c>
      <c r="I124" s="8" t="n">
        <v>1</v>
      </c>
      <c r="J124"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2" t="n"/>
      <c r="L124" s="2" t="inlineStr">
        <is>
          <t>Oral contraceptive</t>
        </is>
      </c>
      <c r="M124" s="2" t="inlineStr">
        <is>
          <t>Clinic</t>
        </is>
      </c>
      <c r="N124" s="2" t="inlineStr">
        <is>
          <t>ข้อ 76 (PLE_CC1_Key_Rx20_UBU.md)</t>
        </is>
      </c>
      <c r="O124" s="2" t="n"/>
      <c r="P124" s="2" t="n"/>
    </row>
    <row r="125" ht="13.2" customHeight="1" s="49">
      <c r="A125" s="8" t="inlineStr">
        <is>
          <t>123</t>
        </is>
      </c>
      <c r="B125" s="2" t="inlineStr">
        <is>
          <t>ถ้าผู้ป่วยตัดสินใจเลือกยาคุมแบบรับประทาน ยาคุมชนิดใดที่เหมาะสมกับผู้ป่วยรายนี้</t>
        </is>
      </c>
      <c r="C125" s="2" t="n"/>
      <c r="D125" s="2" t="inlineStr">
        <is>
          <t>Tamsulosin 0.4 mg HS</t>
        </is>
      </c>
      <c r="E125" s="2" t="inlineStr">
        <is>
          <t>Finasteride 5 mg OD</t>
        </is>
      </c>
      <c r="F125" s="2" t="inlineStr">
        <is>
          <t>Oxybutynin 5 mg BID</t>
        </is>
      </c>
      <c r="G125" s="2" t="inlineStr">
        <is>
          <t>Tolterodine 2 mg BID</t>
        </is>
      </c>
      <c r="H125" s="2" t="inlineStr">
        <is>
          <t>Dydrogesterone 10 mg BID</t>
        </is>
      </c>
      <c r="I125" s="8" t="n">
        <v>1</v>
      </c>
      <c r="J125"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2" t="n"/>
      <c r="L125" s="2" t="inlineStr">
        <is>
          <t>Oral contraceptive</t>
        </is>
      </c>
      <c r="M125" s="2" t="inlineStr">
        <is>
          <t>Clinic</t>
        </is>
      </c>
      <c r="N125" s="2" t="inlineStr">
        <is>
          <t>ข้อ 77 (PLE_CC1_Key_Rx20_UBU.md)</t>
        </is>
      </c>
      <c r="O125" s="2" t="n"/>
      <c r="P125" s="2" t="n"/>
    </row>
    <row r="126" ht="13.2" customHeight="1" s="49">
      <c r="A126" s="8" t="inlineStr">
        <is>
          <t>124</t>
        </is>
      </c>
      <c r="B126" s="2" t="inlineStr">
        <is>
          <t>EE 30 + drospirenone</t>
        </is>
      </c>
      <c r="C126" s="2" t="n"/>
      <c r="D126" s="2" t="inlineStr">
        <is>
          <t>Tolterodine 2 mg BID</t>
        </is>
      </c>
      <c r="E126" s="2" t="inlineStr">
        <is>
          <t>Dydrogesterone 10 mg BID</t>
        </is>
      </c>
      <c r="F126" s="2" t="inlineStr">
        <is>
          <t>Ethinylestradiol 30 mcg + Levonorgestrel 150 mcg</t>
        </is>
      </c>
      <c r="G126" s="2" t="inlineStr">
        <is>
          <t>Ethinylestradiol 30 mcg + Drospirenone 3 mg</t>
        </is>
      </c>
      <c r="H126" s="2" t="inlineStr">
        <is>
          <t>Ethinylestradiol 35 mcg + Cyproterone acetate 2 mg</t>
        </is>
      </c>
      <c r="I126" s="8" t="n">
        <v>1</v>
      </c>
      <c r="J126"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2" t="n"/>
      <c r="L126" s="2" t="inlineStr">
        <is>
          <t>Oral contraceptive</t>
        </is>
      </c>
      <c r="M126" s="2" t="inlineStr">
        <is>
          <t>Clinic</t>
        </is>
      </c>
      <c r="N126" s="2" t="inlineStr">
        <is>
          <t>ข้อ 3 (PLE_CC1_Key_Rx20_UBU.md)</t>
        </is>
      </c>
      <c r="O126" s="2" t="n"/>
      <c r="P126" s="2" t="n"/>
    </row>
    <row r="127" ht="13.2" customHeight="1" s="49">
      <c r="A127" s="8" t="inlineStr">
        <is>
          <t>125</t>
        </is>
      </c>
      <c r="B127" s="2" t="inlineStr">
        <is>
          <t>EE 30 + Levonorgestrel</t>
        </is>
      </c>
      <c r="C127" s="2" t="n"/>
      <c r="D127" s="2" t="inlineStr">
        <is>
          <t>Ethinylestradiol 30 mcg + Drospirenone 3 mg</t>
        </is>
      </c>
      <c r="E127" s="2" t="inlineStr">
        <is>
          <t>Ethinylestradiol 35 mcg + Cyproterone acetate 2 mg</t>
        </is>
      </c>
      <c r="F127" s="2" t="inlineStr">
        <is>
          <t>Desogestrel 75 mcg OD (Progestin-only)</t>
        </is>
      </c>
      <c r="G127" s="2" t="inlineStr">
        <is>
          <t>Levonorgestrel 1.5 mg stat (Emergency)</t>
        </is>
      </c>
      <c r="H127" s="2" t="inlineStr">
        <is>
          <t>Mefenamic acid 500 mg TID</t>
        </is>
      </c>
      <c r="I127" s="8" t="n">
        <v>1</v>
      </c>
      <c r="J127"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2" t="n"/>
      <c r="L127" s="2" t="inlineStr">
        <is>
          <t>Oral contraceptive</t>
        </is>
      </c>
      <c r="M127" s="2" t="inlineStr">
        <is>
          <t>Clinic</t>
        </is>
      </c>
      <c r="N127" s="2" t="inlineStr">
        <is>
          <t>ข้อ 4 (PLE_CC1_Key_Rx20_UBU.md)</t>
        </is>
      </c>
      <c r="O127" s="2" t="n"/>
      <c r="P127" s="2" t="n"/>
    </row>
    <row r="128" ht="13.2" customHeight="1" s="49">
      <c r="A128" s="8" t="inlineStr">
        <is>
          <t>126</t>
        </is>
      </c>
      <c r="B128" s="2" t="inlineStr">
        <is>
          <t>คำแนะนำในการใช้ยาคุมกำเนิด ในเรื่องของอาการไม่พึงประสงค์คือข้อใด</t>
        </is>
      </c>
      <c r="C128" s="2" t="n"/>
      <c r="D128" s="2" t="inlineStr">
        <is>
          <t>Levonorgestrel 1.5 mg stat (Emergency)</t>
        </is>
      </c>
      <c r="E128" s="2" t="inlineStr">
        <is>
          <t>Mefenamic acid 500 mg TID</t>
        </is>
      </c>
      <c r="F128" s="2" t="inlineStr">
        <is>
          <t>Tamsulosin 0.4 mg HS</t>
        </is>
      </c>
      <c r="G128" s="2" t="inlineStr">
        <is>
          <t>Finasteride 5 mg OD</t>
        </is>
      </c>
      <c r="H128" s="2" t="inlineStr">
        <is>
          <t>Oxybutynin 5 mg BID</t>
        </is>
      </c>
      <c r="I128" s="8" t="n">
        <v>1</v>
      </c>
      <c r="J128"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2" t="n"/>
      <c r="L128" s="2" t="inlineStr">
        <is>
          <t>Oral contraceptive</t>
        </is>
      </c>
      <c r="M128" s="2" t="inlineStr">
        <is>
          <t>Clinic</t>
        </is>
      </c>
      <c r="N128" s="2" t="inlineStr">
        <is>
          <t>ข้อ 78 (PLE_CC1_Key_Rx20_UBU.md)</t>
        </is>
      </c>
      <c r="O128" s="2" t="n"/>
      <c r="P128" s="2" t="n"/>
    </row>
    <row r="129" ht="13.2" customHeight="1" s="49">
      <c r="A129" s="8" t="inlineStr">
        <is>
          <t>127</t>
        </is>
      </c>
      <c r="B129" s="2" t="inlineStr">
        <is>
          <t>หากมีประจำเดือนมากผิดปกติ ให้แจ้งเพื่อปรับขนาดยาให้มี Estrogen ที่สูงขึ้น</t>
        </is>
      </c>
      <c r="C129" s="2" t="n"/>
      <c r="D129" s="2" t="inlineStr">
        <is>
          <t>Finasteride 5 mg OD</t>
        </is>
      </c>
      <c r="E129" s="2" t="inlineStr">
        <is>
          <t>Oxybutynin 5 mg BID</t>
        </is>
      </c>
      <c r="F129" s="2" t="inlineStr">
        <is>
          <t>Tolterodine 2 mg BID</t>
        </is>
      </c>
      <c r="G129" s="2" t="inlineStr">
        <is>
          <t>Dydrogesterone 10 mg BID</t>
        </is>
      </c>
      <c r="H129" s="2" t="inlineStr">
        <is>
          <t>Ethinylestradiol 30 mcg + Levonorgestrel 150 mcg</t>
        </is>
      </c>
      <c r="I129" s="8" t="n">
        <v>1</v>
      </c>
      <c r="J129"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Hormonal replacement</t>
        </is>
      </c>
      <c r="M129" s="2" t="inlineStr">
        <is>
          <t>Clinic</t>
        </is>
      </c>
      <c r="N129" s="2" t="inlineStr">
        <is>
          <t>ข้อ 3 (PLE_CC1_Key_Rx20_UBU.md)</t>
        </is>
      </c>
      <c r="O129" s="2" t="n"/>
      <c r="P129" s="2" t="n"/>
    </row>
    <row r="130" ht="13.2" customHeight="1" s="49">
      <c r="A130" s="8" t="inlineStr">
        <is>
          <t>128</t>
        </is>
      </c>
      <c r="B130" s="2" t="inlineStr">
        <is>
          <t>หากผู้ป่วยใช้ยาคุมกำเนิดชนิด EE 30 าg แล้วลืมกินไป 2 เม็ดจะต้องให้คำแนะนำแก่ผู้ป่วยอย่างไร -</t>
        </is>
      </c>
      <c r="C130" s="2" t="n"/>
      <c r="D130" s="2" t="inlineStr">
        <is>
          <t>Dydrogesterone 10 mg BID</t>
        </is>
      </c>
      <c r="E130" s="2" t="inlineStr">
        <is>
          <t>Ethinylestradiol 30 mcg + Levonorgestrel 150 mcg</t>
        </is>
      </c>
      <c r="F130" s="2" t="inlineStr">
        <is>
          <t>Ethinylestradiol 30 mcg + Drospirenone 3 mg</t>
        </is>
      </c>
      <c r="G130" s="2" t="inlineStr">
        <is>
          <t>Ethinylestradiol 35 mcg + Cyproterone acetate 2 mg</t>
        </is>
      </c>
      <c r="H130" s="2" t="inlineStr">
        <is>
          <t>Desogestrel 75 mcg OD (Progestin-only)</t>
        </is>
      </c>
      <c r="I130" s="8" t="n">
        <v>1</v>
      </c>
      <c r="J130"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2" t="n"/>
      <c r="L130" s="2" t="inlineStr">
        <is>
          <t>Oral contraceptive</t>
        </is>
      </c>
      <c r="M130" s="2" t="inlineStr">
        <is>
          <t>Clinic</t>
        </is>
      </c>
      <c r="N130" s="2" t="inlineStr">
        <is>
          <t>ข้อ 79 (PLE_CC1_Key_Rx20_UBU.md)</t>
        </is>
      </c>
      <c r="O130" s="2" t="n"/>
      <c r="P130" s="2" t="n"/>
    </row>
    <row r="131" ht="13.2" customHeight="1" s="49">
      <c r="A131" s="8" t="inlineStr">
        <is>
          <t>129</t>
        </is>
      </c>
      <c r="B131" s="2" t="inlineStr">
        <is>
          <t>ให้กิน 2 เม็ดทันที แล้วกินต่อตามปกติและใช้การคุมกำเนิดวิธีอื่นร่วมด้วย</t>
        </is>
      </c>
      <c r="C131" s="2" t="n"/>
      <c r="D131" s="2" t="inlineStr">
        <is>
          <t>Ethinylestradiol 35 mcg + Cyproterone acetate 2 mg</t>
        </is>
      </c>
      <c r="E131" s="2" t="inlineStr">
        <is>
          <t>Desogestrel 75 mcg OD (Progestin-only)</t>
        </is>
      </c>
      <c r="F131" s="2" t="inlineStr">
        <is>
          <t>Levonorgestrel 1.5 mg stat (Emergency)</t>
        </is>
      </c>
      <c r="G131" s="2" t="inlineStr">
        <is>
          <t>Mefenamic acid 500 mg TID</t>
        </is>
      </c>
      <c r="H131" s="2" t="inlineStr">
        <is>
          <t>Tamsulosin 0.4 mg HS</t>
        </is>
      </c>
      <c r="I131" s="8" t="n">
        <v>1</v>
      </c>
      <c r="J131"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2" t="n"/>
      <c r="L131" s="2" t="inlineStr">
        <is>
          <t>Oral contraceptive</t>
        </is>
      </c>
      <c r="M131" s="2" t="inlineStr">
        <is>
          <t>Clinic</t>
        </is>
      </c>
      <c r="N131" s="2" t="inlineStr">
        <is>
          <t>ข้อ 1 (PLE_CC1_Key_Rx20_UBU.md)</t>
        </is>
      </c>
      <c r="O131" s="2" t="n"/>
      <c r="P131" s="2" t="n"/>
    </row>
    <row r="132" ht="13.2" customHeight="1" s="49">
      <c r="A132" s="8" t="inlineStr">
        <is>
          <t>130</t>
        </is>
      </c>
      <c r="B132" s="2" t="inlineStr">
        <is>
          <t>ให้กินยาวันละ 2 เม็ด เป็นเวลา 2 วัน แล้วกินต่อตามปกติและใช้การคุมกำเนิดวิธีอื่นร่วม</t>
        </is>
      </c>
      <c r="C132" s="2" t="n"/>
      <c r="D132" s="2" t="inlineStr">
        <is>
          <t>Mefenamic acid 500 mg TID</t>
        </is>
      </c>
      <c r="E132" s="2" t="inlineStr">
        <is>
          <t>Tamsulosin 0.4 mg HS</t>
        </is>
      </c>
      <c r="F132" s="2" t="inlineStr">
        <is>
          <t>Finasteride 5 mg OD</t>
        </is>
      </c>
      <c r="G132" s="2" t="inlineStr">
        <is>
          <t>Oxybutynin 5 mg BID</t>
        </is>
      </c>
      <c r="H132" s="2" t="inlineStr">
        <is>
          <t>Tolterodine 2 mg BID</t>
        </is>
      </c>
      <c r="I132" s="8" t="n">
        <v>1</v>
      </c>
      <c r="J132"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2" t="n"/>
      <c r="L132" s="2" t="inlineStr">
        <is>
          <t>Oral contraceptive</t>
        </is>
      </c>
      <c r="M132" s="2" t="inlineStr">
        <is>
          <t>Clinic</t>
        </is>
      </c>
      <c r="N132" s="2" t="inlineStr">
        <is>
          <t>ข้อ 2 (PLE_CC1_Key_Rx20_UBU.md)</t>
        </is>
      </c>
      <c r="O132" s="2" t="n"/>
      <c r="P132" s="2" t="n"/>
    </row>
    <row r="133" ht="13.2" customHeight="1" s="49">
      <c r="A133" s="8" t="inlineStr">
        <is>
          <t>131</t>
        </is>
      </c>
      <c r="B133" s="2" t="inlineStr">
        <is>
          <t>ให้กินยาคุมกำเนิดฉุกเฉินทันที</t>
        </is>
      </c>
      <c r="C133" s="2" t="n"/>
      <c r="D133" s="2" t="inlineStr">
        <is>
          <t>Oxybutynin 5 mg BID</t>
        </is>
      </c>
      <c r="E133" s="2" t="inlineStr">
        <is>
          <t>Tolterodine 2 mg BID</t>
        </is>
      </c>
      <c r="F133" s="2" t="inlineStr">
        <is>
          <t>Dydrogesterone 10 mg BID</t>
        </is>
      </c>
      <c r="G133" s="2" t="inlineStr">
        <is>
          <t>Ethinylestradiol 30 mcg + Levonorgestrel 150 mcg</t>
        </is>
      </c>
      <c r="H133" s="2" t="inlineStr">
        <is>
          <t>Ethinylestradiol 30 mcg + Drospirenone 3 mg</t>
        </is>
      </c>
      <c r="I133" s="8" t="n">
        <v>1</v>
      </c>
      <c r="J133"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2" t="n"/>
      <c r="L133" s="2" t="inlineStr">
        <is>
          <t>Oral contraceptive</t>
        </is>
      </c>
      <c r="M133" s="2" t="inlineStr">
        <is>
          <t>Clinic</t>
        </is>
      </c>
      <c r="N133" s="2" t="inlineStr">
        <is>
          <t>ข้อ 3 (PLE_CC1_Key_Rx20_UBU.md)</t>
        </is>
      </c>
      <c r="O133" s="2" t="n"/>
      <c r="P133" s="2" t="n"/>
    </row>
    <row r="134" ht="13.2" customHeight="1" s="49">
      <c r="A134" s="8" t="inlineStr">
        <is>
          <t>132</t>
        </is>
      </c>
      <c r="B134" s="2"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2" t="n"/>
      <c r="D134" s="2" t="inlineStr">
        <is>
          <t>Ethinylestradiol 30 mcg + Levonorgestrel 150 mcg</t>
        </is>
      </c>
      <c r="E134" s="2" t="inlineStr">
        <is>
          <t>Ethinylestradiol 30 mcg + Drospirenone 3 mg</t>
        </is>
      </c>
      <c r="F134" s="2" t="inlineStr">
        <is>
          <t>Ethinylestradiol 35 mcg + Cyproterone acetate 2 mg</t>
        </is>
      </c>
      <c r="G134" s="2" t="inlineStr">
        <is>
          <t>Desogestrel 75 mcg OD (Progestin-only)</t>
        </is>
      </c>
      <c r="H134" s="2" t="inlineStr">
        <is>
          <t>Levonorgestrel 1.5 mg stat (Emergency)</t>
        </is>
      </c>
      <c r="I134" s="8" t="n">
        <v>1</v>
      </c>
      <c r="J134"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2" t="n"/>
      <c r="L134" s="2" t="inlineStr">
        <is>
          <t>Oral contraceptive</t>
        </is>
      </c>
      <c r="M134" s="2" t="inlineStr">
        <is>
          <t>Clinic</t>
        </is>
      </c>
      <c r="N134" s="2" t="inlineStr">
        <is>
          <t>ข้อ 5 (PLE_CC1_Key_Rx20_UBU.md)</t>
        </is>
      </c>
      <c r="O134" s="2" t="n"/>
      <c r="P134" s="2" t="n"/>
    </row>
    <row r="135" ht="13.2" customHeight="1" s="49">
      <c r="A135" s="8" t="inlineStr">
        <is>
          <t>133</t>
        </is>
      </c>
      <c r="B135" s="2" t="inlineStr">
        <is>
          <t>ยาใดมีอันตรกิริยากับยาคุมกำเนิดอย่างมีนัยสำคัญทางคลินิก ๐ และใhการsมtเuดvนwวมxายาyน -</t>
        </is>
      </c>
      <c r="C135" s="2" t="n"/>
      <c r="D135" s="2" t="inlineStr">
        <is>
          <t>Desogestrel 75 mcg OD (Progestin-only)</t>
        </is>
      </c>
      <c r="E135" s="2" t="inlineStr">
        <is>
          <t>Levonorgestrel 1.5 mg stat (Emergency)</t>
        </is>
      </c>
      <c r="F135" s="2" t="inlineStr">
        <is>
          <t>Mefenamic acid 500 mg TID</t>
        </is>
      </c>
      <c r="G135" s="2" t="inlineStr">
        <is>
          <t>Tamsulosin 0.4 mg HS</t>
        </is>
      </c>
      <c r="H135" s="2" t="inlineStr">
        <is>
          <t>Finasteride 5 mg OD</t>
        </is>
      </c>
      <c r="I135" s="8" t="n">
        <v>1</v>
      </c>
      <c r="J135"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2" t="n"/>
      <c r="L135" s="2" t="inlineStr">
        <is>
          <t>Oral contraceptive</t>
        </is>
      </c>
      <c r="M135" s="2" t="inlineStr">
        <is>
          <t>Clinic</t>
        </is>
      </c>
      <c r="N135" s="2" t="inlineStr">
        <is>
          <t>ข้อ 80 (PLE_CC1_Key_Rx20_UBU.md)</t>
        </is>
      </c>
      <c r="O135" s="2" t="n"/>
      <c r="P135" s="2" t="n"/>
    </row>
    <row r="136" ht="13.2" customHeight="1" s="49">
      <c r="A136" s="8" t="inlineStr">
        <is>
          <t>134</t>
        </is>
      </c>
      <c r="B136" s="2" t="inlineStr">
        <is>
          <t>Metronidazole ตอบ 4. Rifampicin ผ่าน CYP 2C9 inducer เพิ่มการ metabolism ของยาคุมกำเนิด ทำให้ลด efficacy ของยาคุมกำเนิดลง - -0</t>
        </is>
      </c>
      <c r="C136" s="2" t="n"/>
      <c r="D136" s="2" t="inlineStr">
        <is>
          <t>Tamsulosin 0.4 mg HS</t>
        </is>
      </c>
      <c r="E136" s="2" t="inlineStr">
        <is>
          <t>Finasteride 5 mg OD</t>
        </is>
      </c>
      <c r="F136" s="2" t="inlineStr">
        <is>
          <t>Oxybutynin 5 mg BID</t>
        </is>
      </c>
      <c r="G136" s="2" t="inlineStr">
        <is>
          <t>Tolterodine 2 mg BID</t>
        </is>
      </c>
      <c r="H136" s="2" t="inlineStr">
        <is>
          <t>Dydrogesterone 10 mg BID</t>
        </is>
      </c>
      <c r="I136" s="8" t="n">
        <v>1</v>
      </c>
      <c r="J136"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2" t="n"/>
      <c r="L136" s="2" t="inlineStr">
        <is>
          <t>Oral contraceptive</t>
        </is>
      </c>
      <c r="M136" s="2" t="inlineStr">
        <is>
          <t>Clinic</t>
        </is>
      </c>
      <c r="N136" s="2" t="inlineStr">
        <is>
          <t>ข้อ 5 (PLE_CC1_Key_Rx20_UBU.md)</t>
        </is>
      </c>
      <c r="O136" s="2" t="n"/>
      <c r="P136" s="2" t="n"/>
    </row>
    <row r="137" ht="13.2" customHeight="1" s="49">
      <c r="A137" s="8" t="inlineStr">
        <is>
          <t>135</t>
        </is>
      </c>
      <c r="B137" s="2" t="inlineStr">
        <is>
          <t>EE 0.035 mg + cypoterone acetate 2 mg เพื่อนแนะนำให$ซื้อยา isotetrinoin capsule ทางอินเตอร_เนต</t>
        </is>
      </c>
      <c r="C137" s="2" t="n"/>
      <c r="D137" s="2" t="inlineStr">
        <is>
          <t>Tolterodine 2 mg BID</t>
        </is>
      </c>
      <c r="E137" s="2" t="inlineStr">
        <is>
          <t>Dydrogesterone 10 mg BID</t>
        </is>
      </c>
      <c r="F137" s="2" t="inlineStr">
        <is>
          <t>Ethinylestradiol 30 mcg + Levonorgestrel 150 mcg</t>
        </is>
      </c>
      <c r="G137" s="2" t="inlineStr">
        <is>
          <t>Ethinylestradiol 30 mcg + Drospirenone 3 mg</t>
        </is>
      </c>
      <c r="H137" s="2" t="inlineStr">
        <is>
          <t>Ethinylestradiol 35 mcg + Cyproterone acetate 2 mg</t>
        </is>
      </c>
      <c r="I137" s="8" t="n">
        <v>2</v>
      </c>
      <c r="J137" s="2"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2" t="n"/>
      <c r="L137" s="2" t="inlineStr">
        <is>
          <t>Oral contraceptive</t>
        </is>
      </c>
      <c r="M137" s="2" t="inlineStr">
        <is>
          <t>Clinic</t>
        </is>
      </c>
      <c r="N137" s="2" t="inlineStr">
        <is>
          <t>ข้อ 5 (PLE_CC1_Key_Rx20_UBU.md)</t>
        </is>
      </c>
      <c r="O137" s="2" t="n"/>
      <c r="P137" s="2" t="n"/>
    </row>
    <row r="138" ht="13.2" customHeight="1" s="49">
      <c r="A138" s="8" t="inlineStr">
        <is>
          <t>136</t>
        </is>
      </c>
      <c r="B138" s="2" t="inlineStr">
        <is>
          <t>ต$องคุมกำเนิดกGอนใช$ยา 1 เดือน</t>
        </is>
      </c>
      <c r="C138" s="2" t="n"/>
      <c r="D138" s="2" t="inlineStr">
        <is>
          <t>Ethinylestradiol 30 mcg + Drospirenone 3 mg</t>
        </is>
      </c>
      <c r="E138" s="2" t="inlineStr">
        <is>
          <t>Ethinylestradiol 35 mcg + Cyproterone acetate 2 mg</t>
        </is>
      </c>
      <c r="F138" s="2" t="inlineStr">
        <is>
          <t>Desogestrel 75 mcg OD (Progestin-only)</t>
        </is>
      </c>
      <c r="G138" s="2" t="inlineStr">
        <is>
          <t>Levonorgestrel 1.5 mg stat (Emergency)</t>
        </is>
      </c>
      <c r="H138" s="2" t="inlineStr">
        <is>
          <t>Mefenamic acid 500 mg TID</t>
        </is>
      </c>
      <c r="I138" s="8" t="n">
        <v>1</v>
      </c>
      <c r="J138"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2" t="n"/>
      <c r="L138" s="2" t="inlineStr">
        <is>
          <t>Oral contraceptive</t>
        </is>
      </c>
      <c r="M138" s="2" t="inlineStr">
        <is>
          <t>Clinic</t>
        </is>
      </c>
      <c r="N138" s="2" t="inlineStr">
        <is>
          <t>ข้อ 3 (PLE_CC1_Key_Rx20_UBU.md)</t>
        </is>
      </c>
      <c r="O138" s="2" t="n"/>
      <c r="P138" s="2" t="n"/>
    </row>
    <row r="139" ht="13.2" customHeight="1" s="49">
      <c r="A139" s="8" t="inlineStr">
        <is>
          <t>137</t>
        </is>
      </c>
      <c r="B139" s="2" t="inlineStr">
        <is>
          <t>ไมGควรเริ่มยาคุมกำเนิดในวันแรกที่มีประจำเดือน เนื่องจากจะทำให$....</t>
        </is>
      </c>
      <c r="C139" s="2" t="n"/>
      <c r="D139" s="2" t="inlineStr">
        <is>
          <t>Levonorgestrel 1.5 mg stat (Emergency)</t>
        </is>
      </c>
      <c r="E139" s="2" t="inlineStr">
        <is>
          <t>Mefenamic acid 500 mg TID</t>
        </is>
      </c>
      <c r="F139" s="2" t="inlineStr">
        <is>
          <t>Tamsulosin 0.4 mg HS</t>
        </is>
      </c>
      <c r="G139" s="2" t="inlineStr">
        <is>
          <t>Finasteride 5 mg OD</t>
        </is>
      </c>
      <c r="H139" s="2" t="inlineStr">
        <is>
          <t>Oxybutynin 5 mg BID</t>
        </is>
      </c>
      <c r="I139" s="8" t="n">
        <v>1</v>
      </c>
      <c r="J139"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2" t="n"/>
      <c r="L139" s="2" t="inlineStr">
        <is>
          <t>Oral contraceptive</t>
        </is>
      </c>
      <c r="M139" s="2" t="inlineStr">
        <is>
          <t>Clinic</t>
        </is>
      </c>
      <c r="N139" s="2" t="inlineStr">
        <is>
          <t>ข้อ 2 (PLE_CC1_Key_Rx20_UBU.md)</t>
        </is>
      </c>
      <c r="O139" s="2" t="n"/>
      <c r="P139" s="2" t="n"/>
    </row>
    <row r="140" ht="13.2" customHeight="1" s="49">
      <c r="A140" s="8" t="inlineStr">
        <is>
          <t>138</t>
        </is>
      </c>
      <c r="B140" s="2" t="inlineStr">
        <is>
          <t>หากลืมกินยาคุมกำเนิด 2 เม็ดใน 14 วันแรกให$รับประทานมื้อตGอไปได$ปกติ</t>
        </is>
      </c>
      <c r="C140" s="2" t="n"/>
      <c r="D140" s="2" t="inlineStr">
        <is>
          <t>Finasteride 5 mg OD</t>
        </is>
      </c>
      <c r="E140" s="2" t="inlineStr">
        <is>
          <t>Oxybutynin 5 mg BID</t>
        </is>
      </c>
      <c r="F140" s="2" t="inlineStr">
        <is>
          <t>Tolterodine 2 mg BID</t>
        </is>
      </c>
      <c r="G140" s="2" t="inlineStr">
        <is>
          <t>Dydrogesterone 10 mg BID</t>
        </is>
      </c>
      <c r="H140" s="2" t="inlineStr">
        <is>
          <t>Ethinylestradiol 30 mcg + Levonorgestrel 150 mcg</t>
        </is>
      </c>
      <c r="I140" s="8" t="n">
        <v>1</v>
      </c>
      <c r="J140"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2" t="n"/>
      <c r="L140" s="2" t="inlineStr">
        <is>
          <t>Oral contraceptive</t>
        </is>
      </c>
      <c r="M140" s="2" t="inlineStr">
        <is>
          <t>Clinic</t>
        </is>
      </c>
      <c r="N140" s="2" t="inlineStr">
        <is>
          <t>ข้อ 3 (PLE_CC1_Key_Rx20_UBU.md)</t>
        </is>
      </c>
      <c r="O140" s="2" t="n"/>
      <c r="P140" s="2" t="n"/>
    </row>
    <row r="141" ht="13.2" customHeight="1" s="49">
      <c r="A141" s="8" t="inlineStr">
        <is>
          <t>139</t>
        </is>
      </c>
      <c r="B141" s="2" t="inlineStr">
        <is>
          <t>หากลืมทานยาคุมกำเนิด 2 เม็ดใน 14 วันหลัง ให$รับประทานยาคุม 2 เม็ดเปญนเวลา 2 วันและคุมกำเนิดอื่นรGวมด$วย 7 วัน</t>
        </is>
      </c>
      <c r="C141" s="2" t="n"/>
      <c r="D141" s="2" t="inlineStr">
        <is>
          <t>Dydrogesterone 10 mg BID</t>
        </is>
      </c>
      <c r="E141" s="2" t="inlineStr">
        <is>
          <t>Ethinylestradiol 30 mcg + Levonorgestrel 150 mcg</t>
        </is>
      </c>
      <c r="F141" s="2" t="inlineStr">
        <is>
          <t>Ethinylestradiol 30 mcg + Drospirenone 3 mg</t>
        </is>
      </c>
      <c r="G141" s="2" t="inlineStr">
        <is>
          <t>Ethinylestradiol 35 mcg + Cyproterone acetate 2 mg</t>
        </is>
      </c>
      <c r="H141" s="2" t="inlineStr">
        <is>
          <t>Desogestrel 75 mcg OD (Progestin-only)</t>
        </is>
      </c>
      <c r="I141" s="8" t="n">
        <v>1</v>
      </c>
      <c r="J141"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2" t="n"/>
      <c r="L141" s="2" t="inlineStr">
        <is>
          <t>Oral contraceptive</t>
        </is>
      </c>
      <c r="M141" s="2" t="inlineStr">
        <is>
          <t>Clinic</t>
        </is>
      </c>
      <c r="N141" s="2" t="inlineStr">
        <is>
          <t>ข้อ 4 (PLE_CC1_Key_Rx20_UBU.md)</t>
        </is>
      </c>
      <c r="O141" s="2" t="n"/>
      <c r="P141" s="2" t="n"/>
    </row>
    <row r="142" ht="13.2" customHeight="1" s="49">
      <c r="A142" s="8" t="inlineStr">
        <is>
          <t>140</t>
        </is>
      </c>
      <c r="B142" s="2" t="inlineStr">
        <is>
          <t>ข$อใดไมGใชGอาการไมGพึงประสงค_จากการใช$ยาคุมกำเนิดชนิดฮอร_โมนรวม</t>
        </is>
      </c>
      <c r="C142" s="2" t="n"/>
      <c r="D142" s="2" t="inlineStr">
        <is>
          <t>Ethinylestradiol 35 mcg + Cyproterone acetate 2 mg</t>
        </is>
      </c>
      <c r="E142" s="2" t="inlineStr">
        <is>
          <t>Desogestrel 75 mcg OD (Progestin-only)</t>
        </is>
      </c>
      <c r="F142" s="2" t="inlineStr">
        <is>
          <t>Levonorgestrel 1.5 mg stat (Emergency)</t>
        </is>
      </c>
      <c r="G142" s="2" t="inlineStr">
        <is>
          <t>Mefenamic acid 500 mg TID</t>
        </is>
      </c>
      <c r="H142" s="2" t="inlineStr">
        <is>
          <t>Tamsulosin 0.4 mg HS</t>
        </is>
      </c>
      <c r="I142" s="8" t="n">
        <v>1</v>
      </c>
      <c r="J142"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2" t="n"/>
      <c r="L142" s="2" t="inlineStr">
        <is>
          <t>Oral contraceptive</t>
        </is>
      </c>
      <c r="M142" s="2" t="inlineStr">
        <is>
          <t>Clinic</t>
        </is>
      </c>
      <c r="N142" s="2" t="inlineStr">
        <is>
          <t>ข้อ 43 (PLE_CC1_Key_Rx20_UBU.md)</t>
        </is>
      </c>
      <c r="O142" s="2" t="n"/>
      <c r="P142" s="2" t="n"/>
    </row>
    <row r="143" ht="13.2" customHeight="1" s="49">
      <c r="A143" s="8" t="inlineStr">
        <is>
          <t>141</t>
        </is>
      </c>
      <c r="B143" s="2"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2" t="n"/>
      <c r="D143" s="2" t="inlineStr">
        <is>
          <t>Mefenamic acid 500 mg TID</t>
        </is>
      </c>
      <c r="E143" s="2" t="inlineStr">
        <is>
          <t>Tamsulosin 0.4 mg HS</t>
        </is>
      </c>
      <c r="F143" s="2" t="inlineStr">
        <is>
          <t>Finasteride 5 mg OD</t>
        </is>
      </c>
      <c r="G143" s="2" t="inlineStr">
        <is>
          <t>Oxybutynin 5 mg BID</t>
        </is>
      </c>
      <c r="H143" s="2" t="inlineStr">
        <is>
          <t>Tolterodine 2 mg BID</t>
        </is>
      </c>
      <c r="I143" s="8" t="n">
        <v>2</v>
      </c>
      <c r="J143" s="2" t="inlineStr">
        <is>
          <t>✅ คำตอบที่ถูกต้อง: ข้อ ข.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2" t="n"/>
      <c r="L143" s="2" t="inlineStr">
        <is>
          <t>Oral contraceptive</t>
        </is>
      </c>
      <c r="M143" s="2" t="inlineStr">
        <is>
          <t>Clinic</t>
        </is>
      </c>
      <c r="N143" s="2" t="inlineStr">
        <is>
          <t>ข้อ 5 (PLE_CC1_Key_Rx20_UBU.md)</t>
        </is>
      </c>
      <c r="O143" s="2" t="n"/>
      <c r="P143" s="2" t="n"/>
    </row>
    <row r="144" ht="13.2" customHeight="1" s="49">
      <c r="A144" s="8" t="inlineStr">
        <is>
          <t>142</t>
        </is>
      </c>
      <c r="B144" s="2" t="inlineStr">
        <is>
          <t>ข$อใดเปญนวิธีการแก$ไขอาการไมGพึงประสงค_จากยาคุมกำเนิดชนิดฮอร_โมรวมที่เหมาะสมที่สุด</t>
        </is>
      </c>
      <c r="C144" s="2" t="n"/>
      <c r="D144" s="2" t="inlineStr">
        <is>
          <t>Oxybutynin 5 mg BID</t>
        </is>
      </c>
      <c r="E144" s="2" t="inlineStr">
        <is>
          <t>Tolterodine 2 mg BID</t>
        </is>
      </c>
      <c r="F144" s="2" t="inlineStr">
        <is>
          <t>Dydrogesterone 10 mg BID</t>
        </is>
      </c>
      <c r="G144" s="2" t="inlineStr">
        <is>
          <t>Ethinylestradiol 30 mcg + Levonorgestrel 150 mcg</t>
        </is>
      </c>
      <c r="H144" s="2" t="inlineStr">
        <is>
          <t>Ethinylestradiol 30 mcg + Drospirenone 3 mg</t>
        </is>
      </c>
      <c r="I144" s="8" t="n">
        <v>1</v>
      </c>
      <c r="J144"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2" t="n"/>
      <c r="L144" s="2" t="inlineStr">
        <is>
          <t>Oral contraceptive</t>
        </is>
      </c>
      <c r="M144" s="2" t="inlineStr">
        <is>
          <t>Clinic</t>
        </is>
      </c>
      <c r="N144" s="2" t="inlineStr">
        <is>
          <t>ข้อ 44 (PLE_CC1_Key_Rx20_UBU.md)</t>
        </is>
      </c>
      <c r="O144" s="2" t="n"/>
      <c r="P144" s="2" t="n"/>
    </row>
    <row r="145" ht="13.2" customHeight="1" s="49">
      <c r="A145" s="8" t="inlineStr">
        <is>
          <t>143</t>
        </is>
      </c>
      <c r="B145" s="2" t="inlineStr">
        <is>
          <t>ในชGวง 1-10 วันแรกของการใช$ยาคุมกำเนิด หากมีเลือดออกกระปØดกระปอยควรปรับเพิ่มปริมาณ เอสโตรเจนให$สูงขึ้น</t>
        </is>
      </c>
      <c r="C145" s="2" t="n"/>
      <c r="D145" s="2" t="inlineStr">
        <is>
          <t>Ethinylestradiol 30 mcg + Levonorgestrel 150 mcg</t>
        </is>
      </c>
      <c r="E145" s="2" t="inlineStr">
        <is>
          <t>Ethinylestradiol 30 mcg + Drospirenone 3 mg</t>
        </is>
      </c>
      <c r="F145" s="2" t="inlineStr">
        <is>
          <t>Ethinylestradiol 35 mcg + Cyproterone acetate 2 mg</t>
        </is>
      </c>
      <c r="G145" s="2" t="inlineStr">
        <is>
          <t>Desogestrel 75 mcg OD (Progestin-only)</t>
        </is>
      </c>
      <c r="H145" s="2" t="inlineStr">
        <is>
          <t>Levonorgestrel 1.5 mg stat (Emergency)</t>
        </is>
      </c>
      <c r="I145" s="8" t="n">
        <v>1</v>
      </c>
      <c r="J145"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2" t="n"/>
      <c r="L145" s="2" t="inlineStr">
        <is>
          <t>Oral contraceptive</t>
        </is>
      </c>
      <c r="M145" s="2" t="inlineStr">
        <is>
          <t>Clinic</t>
        </is>
      </c>
      <c r="N145" s="2" t="inlineStr">
        <is>
          <t>ข้อ 1 (PLE_CC1_Key_Rx20_UBU.md)</t>
        </is>
      </c>
      <c r="O145" s="2" t="n"/>
      <c r="P145" s="2" t="n"/>
    </row>
    <row r="146" ht="13.2" customHeight="1" s="49">
      <c r="A146" s="8" t="inlineStr">
        <is>
          <t>144</t>
        </is>
      </c>
      <c r="B146" s="2" t="inlineStr">
        <is>
          <t>หากผู้ป่วยให้นมบุตร ไม่ควรใช้ยาคุมกำเนิดแบบใด</t>
        </is>
      </c>
      <c r="C146" s="2" t="n"/>
      <c r="D146" s="2" t="inlineStr">
        <is>
          <t>Desogestrel 75 mcg OD (Progestin-only)</t>
        </is>
      </c>
      <c r="E146" s="2" t="inlineStr">
        <is>
          <t>Levonorgestrel 1.5 mg stat (Emergency)</t>
        </is>
      </c>
      <c r="F146" s="2" t="inlineStr">
        <is>
          <t>Mefenamic acid 500 mg TID</t>
        </is>
      </c>
      <c r="G146" s="2" t="inlineStr">
        <is>
          <t>Tamsulosin 0.4 mg HS</t>
        </is>
      </c>
      <c r="H146" s="2" t="inlineStr">
        <is>
          <t>Finasteride 5 mg OD</t>
        </is>
      </c>
      <c r="I146" s="8" t="n">
        <v>1</v>
      </c>
      <c r="J146"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2" t="n"/>
      <c r="L146" s="2" t="inlineStr">
        <is>
          <t>Oral contraceptive</t>
        </is>
      </c>
      <c r="M146" s="2" t="inlineStr">
        <is>
          <t>Clinic</t>
        </is>
      </c>
      <c r="N146" s="2" t="inlineStr">
        <is>
          <t>ข้อ 3 (PLE_CC1_Key_Rx20_UBU.md)</t>
        </is>
      </c>
      <c r="O146" s="2" t="n"/>
      <c r="P146" s="2" t="n"/>
    </row>
    <row r="147" ht="13.2" customHeight="1" s="49">
      <c r="A147" s="8" t="inlineStr">
        <is>
          <t>145</t>
        </is>
      </c>
      <c r="B147" s="2" t="inlineStr">
        <is>
          <t>ยาคุมแบบห่วงอนามัย</t>
        </is>
      </c>
      <c r="C147" s="2" t="n"/>
      <c r="D147" s="2" t="inlineStr">
        <is>
          <t>Tamsulosin 0.4 mg HS</t>
        </is>
      </c>
      <c r="E147" s="2" t="inlineStr">
        <is>
          <t>Finasteride 5 mg OD</t>
        </is>
      </c>
      <c r="F147" s="2" t="inlineStr">
        <is>
          <t>Oxybutynin 5 mg BID</t>
        </is>
      </c>
      <c r="G147" s="2" t="inlineStr">
        <is>
          <t>Tolterodine 2 mg BID</t>
        </is>
      </c>
      <c r="H147" s="2" t="inlineStr">
        <is>
          <t>Dydrogesterone 10 mg BID</t>
        </is>
      </c>
      <c r="I147" s="8" t="n">
        <v>1</v>
      </c>
      <c r="J147"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2" t="n"/>
      <c r="L147" s="2" t="inlineStr">
        <is>
          <t>Oral contraceptive</t>
        </is>
      </c>
      <c r="M147" s="2" t="inlineStr">
        <is>
          <t>Clinic</t>
        </is>
      </c>
      <c r="N147" s="2" t="inlineStr">
        <is>
          <t>ข้อ 3 (PLE_CC1_Key_Rx20_UBU.md)</t>
        </is>
      </c>
      <c r="O147" s="2" t="n"/>
      <c r="P147" s="2" t="n"/>
    </row>
    <row r="148" ht="13.2" customHeight="1" s="49">
      <c r="A148" s="8" t="inlineStr">
        <is>
          <t>146</t>
        </is>
      </c>
      <c r="B148" s="2" t="inlineStr">
        <is>
          <t>ยาคุมแบบฝังใต้ผิวหนัง</t>
        </is>
      </c>
      <c r="C148" s="2" t="n"/>
      <c r="D148" s="2" t="inlineStr">
        <is>
          <t>Tolterodine 2 mg BID</t>
        </is>
      </c>
      <c r="E148" s="2" t="inlineStr">
        <is>
          <t>Dydrogesterone 10 mg BID</t>
        </is>
      </c>
      <c r="F148" s="2" t="inlineStr">
        <is>
          <t>Ethinylestradiol 30 mcg + Levonorgestrel 150 mcg</t>
        </is>
      </c>
      <c r="G148" s="2" t="inlineStr">
        <is>
          <t>Ethinylestradiol 30 mcg + Drospirenone 3 mg</t>
        </is>
      </c>
      <c r="H148" s="2" t="inlineStr">
        <is>
          <t>Ethinylestradiol 35 mcg + Cyproterone acetate 2 mg</t>
        </is>
      </c>
      <c r="I148" s="8" t="n">
        <v>1</v>
      </c>
      <c r="J148"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n"/>
      <c r="L148" s="2" t="inlineStr">
        <is>
          <t>Oral contraceptive</t>
        </is>
      </c>
      <c r="M148" s="2" t="inlineStr">
        <is>
          <t>Clinic</t>
        </is>
      </c>
      <c r="N148" s="2" t="inlineStr">
        <is>
          <t>ข้อ 4 (PLE_CC1_Key_Rx20_UBU.md)</t>
        </is>
      </c>
      <c r="O148" s="2" t="n"/>
      <c r="P148" s="2" t="n"/>
    </row>
    <row r="149" ht="13.2" customHeight="1" s="49">
      <c r="A149" s="8" t="inlineStr">
        <is>
          <t>147</t>
        </is>
      </c>
      <c r="B149" s="2" t="inlineStr">
        <is>
          <t>ยาคุมแบบฉีด</t>
        </is>
      </c>
      <c r="C149" s="2" t="n"/>
      <c r="D149" s="2" t="inlineStr">
        <is>
          <t>Ethinylestradiol 30 mcg + Drospirenone 3 mg</t>
        </is>
      </c>
      <c r="E149" s="2" t="inlineStr">
        <is>
          <t>Ethinylestradiol 35 mcg + Cyproterone acetate 2 mg</t>
        </is>
      </c>
      <c r="F149" s="2" t="inlineStr">
        <is>
          <t>Desogestrel 75 mcg OD (Progestin-only)</t>
        </is>
      </c>
      <c r="G149" s="2" t="inlineStr">
        <is>
          <t>Levonorgestrel 1.5 mg stat (Emergency)</t>
        </is>
      </c>
      <c r="H149" s="2" t="inlineStr">
        <is>
          <t>Mefenamic acid 500 mg TID</t>
        </is>
      </c>
      <c r="I149" s="8" t="n">
        <v>1</v>
      </c>
      <c r="J149"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2" t="n"/>
      <c r="L149" s="2" t="inlineStr">
        <is>
          <t>Oral contraceptive</t>
        </is>
      </c>
      <c r="M149" s="2" t="inlineStr">
        <is>
          <t>Clinic</t>
        </is>
      </c>
      <c r="N149" s="2" t="inlineStr">
        <is>
          <t>ข้อ 5 (PLE_CC1_Key_Rx20_UBU.md)</t>
        </is>
      </c>
      <c r="O149" s="2" t="n"/>
      <c r="P149" s="2" t="n"/>
    </row>
    <row r="150" ht="13.2" customHeight="1" s="49">
      <c r="A150" s="8" t="inlineStr">
        <is>
          <t>148</t>
        </is>
      </c>
      <c r="B150" s="2"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2" t="n"/>
      <c r="D150" s="2" t="inlineStr">
        <is>
          <t>Levonorgestrel 1.5 mg stat (Emergency)</t>
        </is>
      </c>
      <c r="E150" s="2" t="inlineStr">
        <is>
          <t>Mefenamic acid 500 mg TID</t>
        </is>
      </c>
      <c r="F150" s="2" t="inlineStr">
        <is>
          <t>Tamsulosin 0.4 mg HS</t>
        </is>
      </c>
      <c r="G150" s="2" t="inlineStr">
        <is>
          <t>Finasteride 5 mg OD</t>
        </is>
      </c>
      <c r="H150" s="2" t="inlineStr">
        <is>
          <t>Oxybutynin 5 mg BID</t>
        </is>
      </c>
      <c r="I150" s="8" t="n">
        <v>4</v>
      </c>
      <c r="J150" s="2" t="inlineStr">
        <is>
          <t>✅ คำตอบที่ถูกต้อง: ข้อ ง.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2" t="n"/>
      <c r="L150" s="2" t="inlineStr">
        <is>
          <t>Oral contraceptive</t>
        </is>
      </c>
      <c r="M150" s="2" t="inlineStr">
        <is>
          <t>Clinic</t>
        </is>
      </c>
      <c r="N150" s="2" t="inlineStr">
        <is>
          <t>ข้อ 5 (PLE_CC1_Key_Rx20_UBU.md)</t>
        </is>
      </c>
      <c r="O150" s="2" t="n"/>
      <c r="P150" s="2" t="n"/>
    </row>
    <row r="151" ht="13.2" customHeight="1" s="49">
      <c r="A151" s="8" t="inlineStr">
        <is>
          <t>149</t>
        </is>
      </c>
      <c r="B151" s="2" t="inlineStr">
        <is>
          <t>ห่วงคุมกำเนิดมีการออกฤทธิ์แบบใด</t>
        </is>
      </c>
      <c r="C151" s="2" t="n"/>
      <c r="D151" s="2" t="inlineStr">
        <is>
          <t>Finasteride 5 mg OD</t>
        </is>
      </c>
      <c r="E151" s="2" t="inlineStr">
        <is>
          <t>Oxybutynin 5 mg BID</t>
        </is>
      </c>
      <c r="F151" s="2" t="inlineStr">
        <is>
          <t>Tolterodine 2 mg BID</t>
        </is>
      </c>
      <c r="G151" s="2" t="inlineStr">
        <is>
          <t>Dydrogesterone 10 mg BID</t>
        </is>
      </c>
      <c r="H151" s="2" t="inlineStr">
        <is>
          <t>Ethinylestradiol 30 mcg + Levonorgestrel 150 mcg</t>
        </is>
      </c>
      <c r="I151" s="8" t="n">
        <v>1</v>
      </c>
      <c r="J151"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2" t="n"/>
      <c r="L151" s="2" t="inlineStr">
        <is>
          <t>Oral contraceptive</t>
        </is>
      </c>
      <c r="M151" s="2" t="inlineStr">
        <is>
          <t>Clinic</t>
        </is>
      </c>
      <c r="N151" s="2" t="inlineStr">
        <is>
          <t>ข้อ 5 (PLE_CC1_Key_Rx20_UBU.md)</t>
        </is>
      </c>
      <c r="O151" s="2" t="n"/>
      <c r="P151" s="2" t="n"/>
    </row>
    <row r="152" ht="13.2" customHeight="1" s="49">
      <c r="A152" s="8" t="inlineStr">
        <is>
          <t>150</t>
        </is>
      </c>
      <c r="B152" s="2" t="inlineStr">
        <is>
          <t>เมื่อใช้ยาคุมกำเนิดแล้วพบว่ามีเลือดออกกระปริดกระปอยเกิดจากสาเหตุต่อไปนี้ ยกเว้นข้อใด</t>
        </is>
      </c>
      <c r="C152" s="2" t="n"/>
      <c r="D152" s="2" t="inlineStr">
        <is>
          <t>Dydrogesterone 10 mg BID</t>
        </is>
      </c>
      <c r="E152" s="2" t="inlineStr">
        <is>
          <t>Ethinylestradiol 30 mcg + Levonorgestrel 150 mcg</t>
        </is>
      </c>
      <c r="F152" s="2" t="inlineStr">
        <is>
          <t>Ethinylestradiol 30 mcg + Drospirenone 3 mg</t>
        </is>
      </c>
      <c r="G152" s="2" t="inlineStr">
        <is>
          <t>Ethinylestradiol 35 mcg + Cyproterone acetate 2 mg</t>
        </is>
      </c>
      <c r="H152" s="2" t="inlineStr">
        <is>
          <t>Desogestrel 75 mcg OD (Progestin-only)</t>
        </is>
      </c>
      <c r="I152" s="8" t="n">
        <v>1</v>
      </c>
      <c r="J152"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2" t="n"/>
      <c r="L152" s="2" t="inlineStr">
        <is>
          <t>Oral contraceptive</t>
        </is>
      </c>
      <c r="M152" s="2" t="inlineStr">
        <is>
          <t>Clinic</t>
        </is>
      </c>
      <c r="N152" s="2" t="inlineStr">
        <is>
          <t>ข้อ 7 (PLE_CC1_Key_Rx20_UBU.md)</t>
        </is>
      </c>
      <c r="O152" s="2" t="n"/>
      <c r="P152" s="2" t="n"/>
    </row>
    <row r="153" ht="13.2" customHeight="1" s="49">
      <c r="A153" s="8" t="inlineStr">
        <is>
          <t>151</t>
        </is>
      </c>
      <c r="B153" s="2" t="inlineStr">
        <is>
          <t>ปริมาณ estrogen และ progesterone น้อยเกินไป</t>
        </is>
      </c>
      <c r="C153" s="2" t="n"/>
      <c r="D153" s="2" t="inlineStr">
        <is>
          <t>Ethinylestradiol 35 mcg + Cyproterone acetate 2 mg</t>
        </is>
      </c>
      <c r="E153" s="2" t="inlineStr">
        <is>
          <t>Desogestrel 75 mcg OD (Progestin-only)</t>
        </is>
      </c>
      <c r="F153" s="2" t="inlineStr">
        <is>
          <t>Levonorgestrel 1.5 mg stat (Emergency)</t>
        </is>
      </c>
      <c r="G153" s="2" t="inlineStr">
        <is>
          <t>Mefenamic acid 500 mg TID</t>
        </is>
      </c>
      <c r="H153" s="2" t="inlineStr">
        <is>
          <t>Tamsulosin 0.4 mg HS</t>
        </is>
      </c>
      <c r="I153" s="8" t="n">
        <v>1</v>
      </c>
      <c r="J153"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Hormonal replacement</t>
        </is>
      </c>
      <c r="M153" s="2" t="inlineStr">
        <is>
          <t>Clinic</t>
        </is>
      </c>
      <c r="N153" s="2" t="inlineStr">
        <is>
          <t>ข้อ 1 (PLE_CC1_Key_Rx20_UBU.md)</t>
        </is>
      </c>
      <c r="O153" s="2" t="n"/>
      <c r="P153" s="2" t="n"/>
    </row>
    <row r="154" ht="13.2" customHeight="1" s="49">
      <c r="A154" s="8" t="inlineStr">
        <is>
          <t>152</t>
        </is>
      </c>
      <c r="B154" s="2" t="inlineStr">
        <is>
          <t>กินยาคุมไม่สม่ำเสมอ</t>
        </is>
      </c>
      <c r="C154" s="2" t="n"/>
      <c r="D154" s="2" t="inlineStr">
        <is>
          <t>Mefenamic acid 500 mg TID</t>
        </is>
      </c>
      <c r="E154" s="2" t="inlineStr">
        <is>
          <t>Tamsulosin 0.4 mg HS</t>
        </is>
      </c>
      <c r="F154" s="2" t="inlineStr">
        <is>
          <t>Finasteride 5 mg OD</t>
        </is>
      </c>
      <c r="G154" s="2" t="inlineStr">
        <is>
          <t>Oxybutynin 5 mg BID</t>
        </is>
      </c>
      <c r="H154" s="2" t="inlineStr">
        <is>
          <t>Tolterodine 2 mg BID</t>
        </is>
      </c>
      <c r="I154" s="8" t="n">
        <v>1</v>
      </c>
      <c r="J154"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2" t="n"/>
      <c r="L154" s="2" t="inlineStr">
        <is>
          <t>Oral contraceptive</t>
        </is>
      </c>
      <c r="M154" s="2" t="inlineStr">
        <is>
          <t>Clinic</t>
        </is>
      </c>
      <c r="N154" s="2" t="inlineStr">
        <is>
          <t>ข้อ 2 (PLE_CC1_Key_Rx20_UBU.md)</t>
        </is>
      </c>
      <c r="O154" s="2" t="n"/>
      <c r="P154" s="2" t="n"/>
    </row>
    <row r="155" ht="13.2" customHeight="1" s="49">
      <c r="A155" s="8" t="inlineStr">
        <is>
          <t>153</t>
        </is>
      </c>
      <c r="B155" s="2"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2" t="n"/>
      <c r="D155" s="2" t="inlineStr">
        <is>
          <t>Oxybutynin 5 mg BID</t>
        </is>
      </c>
      <c r="E155" s="2" t="inlineStr">
        <is>
          <t>Tolterodine 2 mg BID</t>
        </is>
      </c>
      <c r="F155" s="2" t="inlineStr">
        <is>
          <t>Dydrogesterone 10 mg BID</t>
        </is>
      </c>
      <c r="G155" s="2" t="inlineStr">
        <is>
          <t>Ethinylestradiol 30 mcg + Levonorgestrel 150 mcg</t>
        </is>
      </c>
      <c r="H155" s="2" t="inlineStr">
        <is>
          <t>Ethinylestradiol 30 mcg + Drospirenone 3 mg</t>
        </is>
      </c>
      <c r="I155" s="8" t="n">
        <v>1</v>
      </c>
      <c r="J155"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n"/>
      <c r="L155" s="2" t="inlineStr">
        <is>
          <t>Oral contraceptive</t>
        </is>
      </c>
      <c r="M155" s="2" t="inlineStr">
        <is>
          <t>Clinic</t>
        </is>
      </c>
      <c r="N155" s="2" t="inlineStr">
        <is>
          <t>ข้อ 8 (PLE_CC1_Key_Rx20_UBU.md)</t>
        </is>
      </c>
      <c r="O155" s="2" t="n"/>
      <c r="P155" s="2" t="n"/>
    </row>
    <row r="156" ht="13.2" customHeight="1" s="49">
      <c r="A156" s="8" t="inlineStr">
        <is>
          <t>154</t>
        </is>
      </c>
      <c r="B156" s="2" t="inlineStr">
        <is>
          <t>ข้อใดไม่ใช้ข้อห้ามในการใช้ยาคุมกำเนิด</t>
        </is>
      </c>
      <c r="C156" s="2" t="n"/>
      <c r="D156" s="2" t="inlineStr">
        <is>
          <t>Ethinylestradiol 30 mcg + Levonorgestrel 150 mcg</t>
        </is>
      </c>
      <c r="E156" s="2" t="inlineStr">
        <is>
          <t>Ethinylestradiol 30 mcg + Drospirenone 3 mg</t>
        </is>
      </c>
      <c r="F156" s="2" t="inlineStr">
        <is>
          <t>Ethinylestradiol 35 mcg + Cyproterone acetate 2 mg</t>
        </is>
      </c>
      <c r="G156" s="2" t="inlineStr">
        <is>
          <t>Desogestrel 75 mcg OD (Progestin-only)</t>
        </is>
      </c>
      <c r="H156" s="2" t="inlineStr">
        <is>
          <t>Levonorgestrel 1.5 mg stat (Emergency)</t>
        </is>
      </c>
      <c r="I156" s="8" t="n">
        <v>1</v>
      </c>
      <c r="J156"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2" t="n"/>
      <c r="L156" s="2" t="inlineStr">
        <is>
          <t>Oral contraceptive</t>
        </is>
      </c>
      <c r="M156" s="2" t="inlineStr">
        <is>
          <t>Clinic</t>
        </is>
      </c>
      <c r="N156" s="2" t="inlineStr">
        <is>
          <t>ข้อ 9 (PLE_CC1_Key_Rx20_UBU.md)</t>
        </is>
      </c>
      <c r="O156" s="2" t="n"/>
      <c r="P156" s="2" t="n"/>
    </row>
    <row r="157" ht="13.2" customHeight="1" s="49">
      <c r="A157" s="8" t="inlineStr">
        <is>
          <t>155</t>
        </is>
      </c>
      <c r="B157" s="2" t="inlineStr">
        <is>
          <t>Tamoxifen เป็น non-steroidal antiestrogen</t>
        </is>
      </c>
      <c r="C157" s="2" t="n"/>
      <c r="D157" s="2" t="inlineStr">
        <is>
          <t>Desogestrel 75 mcg OD (Progestin-only)</t>
        </is>
      </c>
      <c r="E157" s="2" t="inlineStr">
        <is>
          <t>Levonorgestrel 1.5 mg stat (Emergency)</t>
        </is>
      </c>
      <c r="F157" s="2" t="inlineStr">
        <is>
          <t>Mefenamic acid 500 mg TID</t>
        </is>
      </c>
      <c r="G157" s="2" t="inlineStr">
        <is>
          <t>Tamsulosin 0.4 mg HS</t>
        </is>
      </c>
      <c r="H157" s="2" t="inlineStr">
        <is>
          <t>Finasteride 5 mg OD</t>
        </is>
      </c>
      <c r="I157" s="8" t="n">
        <v>1</v>
      </c>
      <c r="J157"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Hormonal replacement</t>
        </is>
      </c>
      <c r="M157" s="2" t="inlineStr">
        <is>
          <t>Clinic</t>
        </is>
      </c>
      <c r="N157" s="2" t="inlineStr">
        <is>
          <t>ข้อ 3 (PLE_CC1_Key_Rx20_UBU.md)</t>
        </is>
      </c>
      <c r="O157" s="2" t="n"/>
      <c r="P157" s="2" t="n"/>
    </row>
    <row r="158" ht="13.2" customHeight="1" s="49">
      <c r="A158" s="8" t="inlineStr">
        <is>
          <t>156</t>
        </is>
      </c>
      <c r="B158" s="2" t="inlineStr">
        <is>
          <t>ยา Progestins ใดที่นิยมใช้ใน Progesterone only pills (POPs)</t>
        </is>
      </c>
      <c r="C158" s="2" t="n"/>
      <c r="D158" s="2" t="inlineStr">
        <is>
          <t>Desogestrel</t>
        </is>
      </c>
      <c r="E158" s="2" t="inlineStr">
        <is>
          <t>Norgestrel</t>
        </is>
      </c>
      <c r="F158" s="2" t="inlineStr">
        <is>
          <t>Gestodene</t>
        </is>
      </c>
      <c r="G158" s="2" t="inlineStr">
        <is>
          <t>Norgestimate</t>
        </is>
      </c>
      <c r="H158" s="2" t="inlineStr">
        <is>
          <t>Levonorgestrel</t>
        </is>
      </c>
      <c r="I158" s="8" t="n">
        <v>1</v>
      </c>
      <c r="J158" s="2"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Hormonal replacement</t>
        </is>
      </c>
      <c r="M158" s="2" t="inlineStr">
        <is>
          <t>Clinic</t>
        </is>
      </c>
      <c r="N158" s="2" t="inlineStr">
        <is>
          <t>ข้อ 84 (PLE_CC1_Key_Rx20_UBU.md)</t>
        </is>
      </c>
      <c r="O158" s="2" t="n"/>
      <c r="P158" s="2" t="n"/>
    </row>
    <row r="159" ht="13.2" customHeight="1" s="49">
      <c r="A159" s="8" t="inlineStr">
        <is>
          <t>157</t>
        </is>
      </c>
      <c r="B159" s="2" t="inlineStr">
        <is>
          <t>ยาคุมกำเนิดในข้อใด เหมาะสมที่สุด (โจทย์มีแค่นี้)</t>
        </is>
      </c>
      <c r="C159" s="2" t="n"/>
      <c r="D159" s="2" t="inlineStr">
        <is>
          <t>Levonorgestrel</t>
        </is>
      </c>
      <c r="E159" s="2" t="inlineStr">
        <is>
          <t>Lynestrenol</t>
        </is>
      </c>
      <c r="F159" s="2" t="inlineStr">
        <is>
          <t>Ethinyl estradiol + Desogestrel</t>
        </is>
      </c>
      <c r="G159" s="2" t="inlineStr">
        <is>
          <t>Ethinyl estradiol + Levonorgestrel</t>
        </is>
      </c>
      <c r="H159" s="2" t="inlineStr">
        <is>
          <t>Ethinyl estradiol + Gestodene ในการใช้เป็นยาคุมฉุกเฉิน</t>
        </is>
      </c>
      <c r="I159" s="8" t="n">
        <v>5</v>
      </c>
      <c r="J159" s="2" t="inlineStr">
        <is>
          <t>✅ คำตอบที่ถูกต้อง: ข้อ จ. Ethinyl estradiol + Gestodene ในการใช้เป็นยาคุมฉุกเฉิน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2" t="n"/>
      <c r="L159" s="2" t="inlineStr">
        <is>
          <t>Oral contraceptive</t>
        </is>
      </c>
      <c r="M159" s="2" t="inlineStr">
        <is>
          <t>Clinic</t>
        </is>
      </c>
      <c r="N159" s="2" t="inlineStr">
        <is>
          <t>ข้อ 85 (PLE_CC1_Key_Rx20_UBU.md)</t>
        </is>
      </c>
      <c r="O159" s="2" t="n"/>
      <c r="P159" s="2" t="n"/>
    </row>
    <row r="160" ht="13.2" customHeight="1" s="49">
      <c r="A160" s="8" t="inlineStr">
        <is>
          <t>158</t>
        </is>
      </c>
      <c r="B160" s="2" t="inlineStr">
        <is>
          <t>โครงสร้างในข้อใดมีฤทธิ์ Estrogenic activity</t>
        </is>
      </c>
      <c r="C160" s="2" t="n"/>
      <c r="D160" s="2" t="inlineStr">
        <is>
          <t>Ethinylestradiol 30 mcg + Drospirenone 3 mg</t>
        </is>
      </c>
      <c r="E160" s="2" t="inlineStr">
        <is>
          <t>Ethinylestradiol 35 mcg + Cyproterone acetate 2 mg</t>
        </is>
      </c>
      <c r="F160" s="2" t="inlineStr">
        <is>
          <t>Desogestrel 75 mcg OD (Progestin-only)</t>
        </is>
      </c>
      <c r="G160" s="2" t="inlineStr">
        <is>
          <t>Levonorgestrel 1.5 mg stat (Emergency)</t>
        </is>
      </c>
      <c r="H160" s="2" t="inlineStr">
        <is>
          <t>Mefenamic acid 500 mg TID</t>
        </is>
      </c>
      <c r="I160" s="8" t="n">
        <v>3</v>
      </c>
      <c r="J160" s="2" t="inlineStr">
        <is>
          <t>✅ คำตอบที่ถูกต้อง: ข้อ ค.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n"/>
      <c r="L160" s="2" t="inlineStr">
        <is>
          <t>Hormonal replacement</t>
        </is>
      </c>
      <c r="M160" s="2" t="inlineStr">
        <is>
          <t>Clinic</t>
        </is>
      </c>
      <c r="N160" s="2" t="inlineStr">
        <is>
          <t>ข้อ 88 (PLE_CC1_Key_Rx20_UBU.md)</t>
        </is>
      </c>
      <c r="O160" s="2" t="n"/>
      <c r="P160" s="2" t="n"/>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P50"/>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8" t="inlineStr">
        <is>
          <t>1</t>
        </is>
      </c>
      <c r="B3"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2" t="n"/>
      <c r="D3" s="2" t="inlineStr">
        <is>
          <t>Staphylococcus aureus</t>
        </is>
      </c>
      <c r="E3" s="2" t="inlineStr">
        <is>
          <t>Staphylococcus epidermidis</t>
        </is>
      </c>
      <c r="F3" s="2" t="inlineStr">
        <is>
          <t>Streptococcus pneumoniae</t>
        </is>
      </c>
      <c r="G3" s="2" t="inlineStr">
        <is>
          <t>Neisseria gonorrhoeae</t>
        </is>
      </c>
      <c r="H3" s="2" t="inlineStr">
        <is>
          <t>Chlamydia trachomatis</t>
        </is>
      </c>
      <c r="I3" s="8" t="n">
        <v>1</v>
      </c>
      <c r="J3" s="2" t="inlineStr">
        <is>
          <t>✅ คำตอบที่ถูกต้อง: ข้อ ก. Staphylococcus aureus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2" t="n"/>
      <c r="L3" s="2" t="inlineStr">
        <is>
          <t>Conjunctivitis</t>
        </is>
      </c>
      <c r="M3" s="2" t="inlineStr">
        <is>
          <t>Clinic</t>
        </is>
      </c>
      <c r="N3" s="2" t="inlineStr">
        <is>
          <t>ข้อ 1 Pharma Plus เล่มม่วง (เฉลยข้อ ก)</t>
        </is>
      </c>
      <c r="O3" s="2" t="n"/>
      <c r="P3" s="2" t="n"/>
    </row>
    <row r="4" ht="13.2" customHeight="1" s="49">
      <c r="A4" s="8" t="inlineStr">
        <is>
          <t>2</t>
        </is>
      </c>
      <c r="B4"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2" t="n"/>
      <c r="D4" s="2" t="inlineStr">
        <is>
          <t>Dexamethasone eye drop</t>
        </is>
      </c>
      <c r="E4" s="2" t="inlineStr">
        <is>
          <t>Oxymetazoline eye drop</t>
        </is>
      </c>
      <c r="F4" s="2" t="inlineStr">
        <is>
          <t>Idoxuridine eye drop</t>
        </is>
      </c>
      <c r="G4" s="2" t="inlineStr">
        <is>
          <t>Artificial tear</t>
        </is>
      </c>
      <c r="H4" s="2" t="inlineStr">
        <is>
          <t>Chloramphenicol eye drop</t>
        </is>
      </c>
      <c r="I4" s="8" t="n">
        <v>5</v>
      </c>
      <c r="J4" s="2" t="inlineStr">
        <is>
          <t>✅ คำตอบที่ถูกต้อง: ข้อ จ.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2" t="n"/>
      <c r="L4" s="2" t="inlineStr">
        <is>
          <t>Conjunctivitis</t>
        </is>
      </c>
      <c r="M4" s="2" t="inlineStr">
        <is>
          <t>Clinic</t>
        </is>
      </c>
      <c r="N4" s="2" t="inlineStr">
        <is>
          <t>ข้อ 2 Pharma Plus เล่มม่วง (เฉลยข้อ จ)</t>
        </is>
      </c>
      <c r="O4" s="2" t="n"/>
      <c r="P4" s="2" t="n"/>
    </row>
    <row r="5" ht="13.2" customHeight="1" s="49">
      <c r="A5" s="8" t="inlineStr">
        <is>
          <t>3</t>
        </is>
      </c>
      <c r="B5" s="2" t="inlineStr">
        <is>
          <t>กลไกการออกฤทธิ์ของยาในข้อข้างต้น คือ</t>
        </is>
      </c>
      <c r="C5" s="2" t="n"/>
      <c r="D5" s="2" t="inlineStr">
        <is>
          <t>ยับยั้งการสังเคราะห์ DNA ของเชื้อ</t>
        </is>
      </c>
      <c r="E5" s="2" t="inlineStr">
        <is>
          <t>ยับยั้งการสร้างโปรตีนของเชื้อ</t>
        </is>
      </c>
      <c r="F5" s="2" t="inlineStr">
        <is>
          <t>ยับยั้งการสังเคราะห์ RNA ของเชื้อ</t>
        </is>
      </c>
      <c r="G5" s="2" t="inlineStr">
        <is>
          <t>ยับยั้งการเคลื่อนที่ของ leukocytes</t>
        </is>
      </c>
      <c r="H5" s="2" t="inlineStr">
        <is>
          <t>ยับยั้งการสร้าง cell wall</t>
        </is>
      </c>
      <c r="I5" s="8" t="n">
        <v>2</v>
      </c>
      <c r="J5" s="2" t="inlineStr">
        <is>
          <t>✅ คำตอบที่ถูกต้อง: ข้อ ข. ยับยั้งการสร้างโปรตีนของเชื้อ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2" t="n"/>
      <c r="L5" s="2" t="inlineStr">
        <is>
          <t>Glaucoma, Cataract</t>
        </is>
      </c>
      <c r="M5" s="2" t="inlineStr">
        <is>
          <t>Clinic</t>
        </is>
      </c>
      <c r="N5" s="2" t="inlineStr">
        <is>
          <t>ข้อ 3 Pharma Plus เล่มม่วง (เฉลยข้อ ข)</t>
        </is>
      </c>
      <c r="O5" s="2" t="n"/>
      <c r="P5" s="2" t="n"/>
    </row>
    <row r="6" ht="13.2" customHeight="1" s="49">
      <c r="A6" s="8" t="inlineStr">
        <is>
          <t>4</t>
        </is>
      </c>
      <c r="B6" s="2" t="inlineStr">
        <is>
          <t>ข้อใดถูกต้องเกี่ยวกับการเก็บยาในข้อข้างต้นหลังจากเปิดใช้แล้ว</t>
        </is>
      </c>
      <c r="C6" s="2" t="n"/>
      <c r="D6" s="2" t="inlineStr">
        <is>
          <t>อุณหภูมิ 25 c เก็บได้ 8 week</t>
        </is>
      </c>
      <c r="E6" s="2" t="inlineStr">
        <is>
          <t>อุณหภูมิ 25 c เก็บได้ 4 week</t>
        </is>
      </c>
      <c r="F6" s="2" t="inlineStr">
        <is>
          <t>อุณหภูมิ 2-8 c เก็บได้ 8 week</t>
        </is>
      </c>
      <c r="G6" s="2" t="inlineStr">
        <is>
          <t>อุณหภูมิ 2-8 c เก็บได้ 4 week</t>
        </is>
      </c>
      <c r="H6" s="2" t="inlineStr">
        <is>
          <t>อุณหภูมิ 8-15 c เก็บได้ 4 week</t>
        </is>
      </c>
      <c r="I6" s="8" t="n">
        <v>4</v>
      </c>
      <c r="J6" s="2" t="inlineStr">
        <is>
          <t>✅ คำตอบที่ถูกต้อง: ข้อ ง. อุณหภูมิ 2-8 c เก็บได้ 4 week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Glaucoma, Cataract</t>
        </is>
      </c>
      <c r="M6" s="2" t="inlineStr">
        <is>
          <t>Clinic</t>
        </is>
      </c>
      <c r="N6" s="2" t="inlineStr">
        <is>
          <t>ข้อ 4 Pharma Plus เล่มม่วง (เฉลยข้อ ง)</t>
        </is>
      </c>
      <c r="O6" s="2" t="n"/>
      <c r="P6" s="2" t="n"/>
    </row>
    <row r="7" ht="13.2" customHeight="1" s="49">
      <c r="A7" s="8" t="inlineStr">
        <is>
          <t>6</t>
        </is>
      </c>
      <c r="B7" s="2" t="inlineStr">
        <is>
          <t>จากอาการข้างต้น ท่านจะเลือกยาตัวใด</t>
        </is>
      </c>
      <c r="C7" s="2" t="n"/>
      <c r="D7" s="2" t="inlineStr">
        <is>
          <t>Prednisolone eye drop</t>
        </is>
      </c>
      <c r="E7" s="2" t="inlineStr">
        <is>
          <t>Chloramphenicol eye drop</t>
        </is>
      </c>
      <c r="F7" s="2" t="inlineStr">
        <is>
          <t>Antazoline eye drop</t>
        </is>
      </c>
      <c r="G7" s="2" t="inlineStr">
        <is>
          <t>Boric acid eye drop</t>
        </is>
      </c>
      <c r="H7" s="2" t="inlineStr">
        <is>
          <t>Hydroxypropyl methylcellulose eye drop</t>
        </is>
      </c>
      <c r="I7" s="8" t="n">
        <v>2</v>
      </c>
      <c r="J7" s="2" t="inlineStr">
        <is>
          <t>✅ คำตอบที่ถูกต้อง: ข้อ ข.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2" t="n"/>
      <c r="L7" s="2" t="inlineStr">
        <is>
          <t>Glaucoma, Cataract</t>
        </is>
      </c>
      <c r="M7" s="2" t="inlineStr">
        <is>
          <t>Clinic</t>
        </is>
      </c>
      <c r="N7" s="2" t="inlineStr">
        <is>
          <t>ข้อ 6 Pharma Plus เล่มม่วง (เฉลยข้อ ข)</t>
        </is>
      </c>
      <c r="O7" s="2" t="n"/>
      <c r="P7" s="2" t="n"/>
    </row>
    <row r="8" ht="13.2" customHeight="1" s="49">
      <c r="A8" s="8" t="inlineStr">
        <is>
          <t>7</t>
        </is>
      </c>
      <c r="B8" s="2" t="inlineStr">
        <is>
          <t>กรณีจ่ายยาหยอดตาให้กับผู้ป่วยต้องแนะนำเรื่องต่อไปนี้ ยกเว้น</t>
        </is>
      </c>
      <c r="C8" s="2" t="n"/>
      <c r="D8" s="2" t="inlineStr">
        <is>
          <t>ควรล้างมือให้สะอาดก่อนใช้ยา</t>
        </is>
      </c>
      <c r="E8" s="2" t="inlineStr">
        <is>
          <t>ปรับอุณหภูมิให้เท่าอุณหภูมิร่างกาย</t>
        </is>
      </c>
      <c r="F8" s="2" t="inlineStr">
        <is>
          <t>เก็บยาในถาดใต้ช่องแช่แข็งของตู้เย็น</t>
        </is>
      </c>
      <c r="G8" s="2" t="inlineStr">
        <is>
          <t>หลังจากเปิดใช้ยาแล้ว ใช้ได้ไม่เกิน 1 เดือน</t>
        </is>
      </c>
      <c r="H8" s="2" t="inlineStr">
        <is>
          <t>กรณีที่ใช้ยาป้ายร่วมด้วย ให้ใช้ยาหยอดก่อนป้ายตา</t>
        </is>
      </c>
      <c r="I8" s="8" t="n">
        <v>3</v>
      </c>
      <c r="J8" s="2" t="inlineStr">
        <is>
          <t>✅ คำตอบที่ถูกต้อง: ข้อ ค. เก็บยาในถาดใต้ช่องแช่แข็งของตู้เย็น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n"/>
      <c r="L8" s="2" t="inlineStr">
        <is>
          <t>Glaucoma, Cataract</t>
        </is>
      </c>
      <c r="M8" s="2" t="inlineStr">
        <is>
          <t>Clinic</t>
        </is>
      </c>
      <c r="N8" s="2" t="inlineStr">
        <is>
          <t>ข้อ 7 Pharma Plus เล่มม่วง (เฉลยข้อ ค)</t>
        </is>
      </c>
      <c r="O8" s="2" t="n"/>
      <c r="P8" s="2" t="n"/>
    </row>
    <row r="9" ht="13.2" customHeight="1" s="49">
      <c r="A9" s="8" t="inlineStr">
        <is>
          <t>8</t>
        </is>
      </c>
      <c r="B9" s="2" t="inlineStr">
        <is>
          <t>กรณีใดที่ต้องรีบส่งต่อผู้ป่วยรายนี้ไปโรงพยาบาล</t>
        </is>
      </c>
      <c r="C9" s="2" t="n"/>
      <c r="D9" s="2" t="inlineStr">
        <is>
          <t>ใช้ยาแล้วแสบตา</t>
        </is>
      </c>
      <c r="E9" s="2" t="inlineStr">
        <is>
          <t>ใช้ยาแล้วมีอาการขมที่ลิ้น</t>
        </is>
      </c>
      <c r="F9" s="2" t="inlineStr">
        <is>
          <t>การมองภาพ เห็นภาพซ้อน</t>
        </is>
      </c>
      <c r="G9" s="2" t="inlineStr">
        <is>
          <t>ใช้ยา 1 วันและขี้ตาไม่หายไป</t>
        </is>
      </c>
      <c r="H9" s="2" t="inlineStr">
        <is>
          <t>มีอาการปวดศีรษะร่วมด้วย</t>
        </is>
      </c>
      <c r="I9" s="8" t="n">
        <v>3</v>
      </c>
      <c r="J9" s="2" t="inlineStr">
        <is>
          <t>✅ คำตอบที่ถูกต้อง: ข้อ ค. การมองภาพ เห็นภาพซ้อน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Glaucoma, Cataract</t>
        </is>
      </c>
      <c r="M9" s="2" t="inlineStr">
        <is>
          <t>Clinic</t>
        </is>
      </c>
      <c r="N9" s="2" t="inlineStr">
        <is>
          <t>ข้อ 8 Pharma Plus เล่มม่วง (เฉลยข้อ ค)</t>
        </is>
      </c>
      <c r="O9" s="2" t="n"/>
      <c r="P9" s="2" t="n"/>
    </row>
    <row r="10" ht="13.2" customHeight="1" s="49">
      <c r="A10" s="8" t="inlineStr">
        <is>
          <t>9</t>
        </is>
      </c>
      <c r="B10" s="2"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2" t="n"/>
      <c r="D10" s="2" t="inlineStr">
        <is>
          <t>Otitis media</t>
        </is>
      </c>
      <c r="E10" s="2" t="inlineStr">
        <is>
          <t>Tinnitus</t>
        </is>
      </c>
      <c r="F10" s="2" t="inlineStr">
        <is>
          <t>Influenza</t>
        </is>
      </c>
      <c r="G10" s="2" t="inlineStr">
        <is>
          <t>Sinusitis</t>
        </is>
      </c>
      <c r="H10" s="2" t="inlineStr">
        <is>
          <t>Tonsillitis</t>
        </is>
      </c>
      <c r="I10" s="8" t="n">
        <v>1</v>
      </c>
      <c r="J10" s="2" t="inlineStr">
        <is>
          <t>✅ คำตอบที่ถูกต้อง: ข้อ ก. Otitis media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2" t="n"/>
      <c r="L10" s="2" t="inlineStr">
        <is>
          <t>Glaucoma, Cataract</t>
        </is>
      </c>
      <c r="M10" s="2" t="inlineStr">
        <is>
          <t>Clinic</t>
        </is>
      </c>
      <c r="N10" s="2" t="inlineStr">
        <is>
          <t>ข้อ 9 Pharma Plus เล่มม่วง (เฉลยข้อ ก)</t>
        </is>
      </c>
      <c r="O10" s="2" t="n"/>
      <c r="P10" s="2" t="n"/>
    </row>
    <row r="11" ht="13.2" customHeight="1" s="49">
      <c r="A11" s="8" t="inlineStr">
        <is>
          <t>10</t>
        </is>
      </c>
      <c r="B11" s="2" t="inlineStr">
        <is>
          <t>อาการที่เกิดขึ้นสามารถเกิดได้จากเชื้อจุลชีพต่อไปนี้ ยกเว้นข้อใด</t>
        </is>
      </c>
      <c r="C11" s="2" t="n"/>
      <c r="D11" s="2" t="inlineStr">
        <is>
          <t>Streptococcus pyogenes</t>
        </is>
      </c>
      <c r="E11" s="2" t="inlineStr">
        <is>
          <t>Streptococcus pneumoniae</t>
        </is>
      </c>
      <c r="F11" s="2" t="inlineStr">
        <is>
          <t>Candida albicans</t>
        </is>
      </c>
      <c r="G11" s="2" t="inlineStr">
        <is>
          <t>Staphylococcus aureus</t>
        </is>
      </c>
      <c r="H11" s="2" t="inlineStr">
        <is>
          <t>Hemophilus influenza</t>
        </is>
      </c>
      <c r="I11" s="8" t="n">
        <v>3</v>
      </c>
      <c r="J11" s="2" t="inlineStr">
        <is>
          <t>✅ คำตอบที่ถูกต้อง: ข้อ ค. Candida albicans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Glaucoma, Cataract</t>
        </is>
      </c>
      <c r="M11" s="2" t="inlineStr">
        <is>
          <t>Clinic</t>
        </is>
      </c>
      <c r="N11" s="2" t="inlineStr">
        <is>
          <t>ข้อ 10 Pharma Plus เล่มม่วง (เฉลยข้อ ค)</t>
        </is>
      </c>
      <c r="O11" s="2" t="n"/>
      <c r="P11" s="2" t="n"/>
    </row>
    <row r="12" ht="13.2" customHeight="1" s="49">
      <c r="A12" s="8" t="inlineStr">
        <is>
          <t>11</t>
        </is>
      </c>
      <c r="B12" s="2" t="inlineStr">
        <is>
          <t>ยาต้านจุลชีพที่ควรเลือกใช้เป็นอันดับแรกสำหรับผู้ป่วยรายนี้คือ</t>
        </is>
      </c>
      <c r="C12" s="2" t="n"/>
      <c r="D12" s="2" t="inlineStr">
        <is>
          <t>Norfloxacin</t>
        </is>
      </c>
      <c r="E12" s="2" t="inlineStr">
        <is>
          <t>Tetracycline</t>
        </is>
      </c>
      <c r="F12" s="2" t="inlineStr">
        <is>
          <t>Amoxicillin</t>
        </is>
      </c>
      <c r="G12" s="2" t="inlineStr">
        <is>
          <t>Chloramphenicol</t>
        </is>
      </c>
      <c r="H12" s="2" t="inlineStr">
        <is>
          <t>Sulfamethoxazole + trimethoprim</t>
        </is>
      </c>
      <c r="I12" s="8" t="n">
        <v>3</v>
      </c>
      <c r="J12" s="2" t="inlineStr">
        <is>
          <t>✅ คำตอบที่ถูกต้อง: ข้อ ค. Amoxicillin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Glaucoma, Cataract</t>
        </is>
      </c>
      <c r="M12" s="2" t="inlineStr">
        <is>
          <t>Clinic</t>
        </is>
      </c>
      <c r="N12" s="2" t="inlineStr">
        <is>
          <t>ข้อ 11 Pharma Plus เล่มม่วง (เฉลยข้อ ค)</t>
        </is>
      </c>
      <c r="O12" s="2" t="n"/>
      <c r="P12" s="2" t="n"/>
    </row>
    <row r="13" ht="13.2" customHeight="1" s="49">
      <c r="A13" s="8" t="inlineStr">
        <is>
          <t>12</t>
        </is>
      </c>
      <c r="B13" s="2" t="inlineStr">
        <is>
          <t>ข้อใดผิดเกี่ยวกับยาที่เลือกใช้ในข้อข้างต้น</t>
        </is>
      </c>
      <c r="C13" s="2" t="n"/>
      <c r="D13" s="2" t="inlineStr">
        <is>
          <t>มีฤทธิ์เป็น bacteriostatic</t>
        </is>
      </c>
      <c r="E13" s="2" t="inlineStr">
        <is>
          <t>หากเกิดการแพ้จะพบผื่นแพ้แบบ erythema multiforme</t>
        </is>
      </c>
      <c r="F13" s="2" t="inlineStr">
        <is>
          <t>กลไกการดื้อยาที่สำคัญคือเชื้อสร้าง beta-lactamase มาทำลายยา</t>
        </is>
      </c>
      <c r="G13" s="2" t="inlineStr">
        <is>
          <t>โดยทั่วไปกลุ่มนี้ออกฤทธิ์ต่อแบคทีเรียแกรมบวกได้ดีกว่าแบคทีเรียแกรมลบ</t>
        </is>
      </c>
      <c r="H13" s="2" t="inlineStr">
        <is>
          <t>ได้รับยาในขนาดสูง (toxic dose) ทำให้เกิด neuromuscular hypersensitivity</t>
        </is>
      </c>
      <c r="I13" s="8" t="n">
        <v>1</v>
      </c>
      <c r="J13" s="2" t="inlineStr">
        <is>
          <t>✅ คำตอบที่ถูกต้อง: ข้อ ก. มีฤทธิ์เป็น bacteriostatic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Glaucoma, Cataract</t>
        </is>
      </c>
      <c r="M13" s="2" t="inlineStr">
        <is>
          <t>Clinic</t>
        </is>
      </c>
      <c r="N13" s="2" t="inlineStr">
        <is>
          <t>ข้อ 12 Pharma Plus เล่มม่วง (เฉลยข้อ ก ข จ)</t>
        </is>
      </c>
      <c r="O13" s="2" t="n"/>
      <c r="P13" s="2" t="n"/>
    </row>
    <row r="14" ht="13.2" customHeight="1" s="49">
      <c r="A14" s="8" t="inlineStr">
        <is>
          <t>13</t>
        </is>
      </c>
      <c r="B14" s="2"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2" t="n"/>
      <c r="D14" s="2" t="inlineStr">
        <is>
          <t>รับประทานยาครั้งละ 1/4 ช้อนชา วันละ 4 ครั้ง</t>
        </is>
      </c>
      <c r="E14" s="2" t="inlineStr">
        <is>
          <t>รับประทานยาครั้งละ 1/2 ช้อนชา วันละ 3 ครั้ง</t>
        </is>
      </c>
      <c r="F14" s="2" t="inlineStr">
        <is>
          <t>รับประทานยาครั้งละ 3/4 ช้อนชา วันละ 3 ครั้ง</t>
        </is>
      </c>
      <c r="G14" s="2" t="inlineStr">
        <is>
          <t>รับประทานยาครั้งละ 1 ช้อนชา วันละ 3 ครั้ง</t>
        </is>
      </c>
      <c r="H14" s="2" t="inlineStr">
        <is>
          <t>รับประทานยาครั้งละ 1 ช้อนชา วันละ 4 ครั้ง</t>
        </is>
      </c>
      <c r="I14" s="8" t="n">
        <v>2</v>
      </c>
      <c r="J14" s="2" t="inlineStr">
        <is>
          <t>✅ คำตอบที่ถูกต้อง: ข้อ ข. รับประทานยาครั้งละ 1/2 ช้อนชา วันละ 3 ครั้ง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Glaucoma, Cataract</t>
        </is>
      </c>
      <c r="M14" s="2" t="inlineStr">
        <is>
          <t>Clinic</t>
        </is>
      </c>
      <c r="N14" s="2" t="inlineStr">
        <is>
          <t>ข้อ 13 Pharma Plus เล่มม่วง (เฉลยข้อ ข)</t>
        </is>
      </c>
      <c r="O14" s="2" t="n"/>
      <c r="P14" s="2" t="n"/>
    </row>
    <row r="15" ht="13.2" customHeight="1" s="49">
      <c r="A15" s="8" t="inlineStr">
        <is>
          <t>14</t>
        </is>
      </c>
      <c r="B15" s="2"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2" t="n"/>
      <c r="D15" s="2" t="inlineStr">
        <is>
          <t>Blepharitis</t>
        </is>
      </c>
      <c r="E15" s="2" t="inlineStr">
        <is>
          <t>Hordeolum</t>
        </is>
      </c>
      <c r="F15" s="2" t="inlineStr">
        <is>
          <t>Glaucoma</t>
        </is>
      </c>
      <c r="G15" s="2" t="inlineStr">
        <is>
          <t>Bacterial conjunctivitis</t>
        </is>
      </c>
      <c r="H15" s="2" t="inlineStr">
        <is>
          <t>Allergic conjunctivitis</t>
        </is>
      </c>
      <c r="I15" s="8" t="n">
        <v>5</v>
      </c>
      <c r="J15" s="2" t="inlineStr">
        <is>
          <t>✅ คำตอบที่ถูกต้อง: ข้อ จ. Allergic conjunctivitis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Conjunctivitis</t>
        </is>
      </c>
      <c r="M15" s="2" t="inlineStr">
        <is>
          <t>Clinic</t>
        </is>
      </c>
      <c r="N15" s="2" t="inlineStr">
        <is>
          <t>ข้อ 14 Pharma Plus เล่มม่วง (เฉลยข้อ จ)</t>
        </is>
      </c>
      <c r="O15" s="2" t="n"/>
      <c r="P15" s="2" t="n"/>
    </row>
    <row r="16" ht="13.2" customHeight="1" s="49">
      <c r="A16" s="8" t="inlineStr">
        <is>
          <t>15</t>
        </is>
      </c>
      <c r="B16" s="2"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2" t="n"/>
      <c r="D16" s="2" t="inlineStr">
        <is>
          <t>ใส่ contact lens ตามปกติแล้วหยอดตา</t>
        </is>
      </c>
      <c r="E16" s="2" t="inlineStr">
        <is>
          <t>ใส่ contact lens ให้น้อยลง เช่น วันเว้นวัน</t>
        </is>
      </c>
      <c r="F16" s="2" t="inlineStr">
        <is>
          <t>หากจำเป็นต้องหยอดตา ให้หยอดตาก่อนใส่ contact lens 1-2 นาที</t>
        </is>
      </c>
      <c r="G16" s="2" t="inlineStr">
        <is>
          <t>หากจำเป็นต้องหยอดตา ให้ใส่ contact lens ก่อนหยอดตา</t>
        </is>
      </c>
      <c r="H16" s="2" t="inlineStr">
        <is>
          <t>งดใส่ contact lens ในช่วงที่มีอาการ</t>
        </is>
      </c>
      <c r="I16" s="8" t="n">
        <v>5</v>
      </c>
      <c r="J16" s="2" t="inlineStr">
        <is>
          <t>✅ คำตอบที่ถูกต้อง: ข้อ จ. งดใส่ contact lens ในช่วงที่มีอาการ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n"/>
      <c r="L16" s="2" t="inlineStr">
        <is>
          <t>Conjunctivitis</t>
        </is>
      </c>
      <c r="M16" s="2" t="inlineStr">
        <is>
          <t>Clinic</t>
        </is>
      </c>
      <c r="N16" s="2" t="inlineStr">
        <is>
          <t>ข้อ 15 Pharma Plus เล่มม่วง (เฉลยข้อ จ)</t>
        </is>
      </c>
      <c r="O16" s="2" t="n"/>
      <c r="P16" s="2" t="n"/>
    </row>
    <row r="17" ht="13.2" customHeight="1" s="49">
      <c r="A17" s="8" t="inlineStr">
        <is>
          <t>16</t>
        </is>
      </c>
      <c r="B17" s="2" t="inlineStr">
        <is>
          <t>ข้อใดไม่ใช่ ophthalmic decongestant</t>
        </is>
      </c>
      <c r="C17" s="2" t="n"/>
      <c r="D17" s="2" t="inlineStr">
        <is>
          <t>Boric acid</t>
        </is>
      </c>
      <c r="E17" s="2" t="inlineStr">
        <is>
          <t>Phenylephrine</t>
        </is>
      </c>
      <c r="F17" s="2" t="inlineStr">
        <is>
          <t>Oxymetazoline</t>
        </is>
      </c>
      <c r="G17" s="2" t="inlineStr">
        <is>
          <t>Naphazoline</t>
        </is>
      </c>
      <c r="H17" s="2" t="inlineStr">
        <is>
          <t>Tetrahydrozoline</t>
        </is>
      </c>
      <c r="I17" s="8" t="n">
        <v>1</v>
      </c>
      <c r="J17" s="2" t="inlineStr">
        <is>
          <t>✅ คำตอบที่ถูกต้อง: ข้อ ก. Boric acid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2" t="n"/>
      <c r="L17" s="2" t="inlineStr">
        <is>
          <t>Glaucoma, Cataract</t>
        </is>
      </c>
      <c r="M17" s="2" t="inlineStr">
        <is>
          <t>Clinic</t>
        </is>
      </c>
      <c r="N17" s="2" t="inlineStr">
        <is>
          <t>ข้อ 16 Pharma Plus เล่มม่วง (เฉลยข้อ ก)</t>
        </is>
      </c>
      <c r="O17" s="2" t="n"/>
      <c r="P17" s="2" t="n"/>
    </row>
    <row r="18" ht="13.2" customHeight="1" s="49">
      <c r="A18" s="8" t="inlineStr">
        <is>
          <t>17</t>
        </is>
      </c>
      <c r="B18" s="2" t="inlineStr">
        <is>
          <t>กรณีที่ผู้ป่วยเป็นตาแดงจากการติดเชื้อ เชื้อในข้อใดเป็นสาเหตุที่พบได้บ่อย</t>
        </is>
      </c>
      <c r="C18" s="2" t="n"/>
      <c r="D18" s="2" t="inlineStr">
        <is>
          <t>Escherichia coli</t>
        </is>
      </c>
      <c r="E18" s="2" t="inlineStr">
        <is>
          <t>Staphylococcus aureus</t>
        </is>
      </c>
      <c r="F18" s="2" t="inlineStr">
        <is>
          <t>Acinetobacter spp.</t>
        </is>
      </c>
      <c r="G18" s="2" t="inlineStr">
        <is>
          <t>Neisseria gonorrhoeae</t>
        </is>
      </c>
      <c r="H18" s="2" t="inlineStr">
        <is>
          <t>Buekholderia pseudomallei</t>
        </is>
      </c>
      <c r="I18" s="8" t="n">
        <v>2</v>
      </c>
      <c r="J18" s="2"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2" t="n"/>
      <c r="L18" s="2" t="inlineStr">
        <is>
          <t>Conjunctivitis</t>
        </is>
      </c>
      <c r="M18" s="2" t="inlineStr">
        <is>
          <t>Clinic</t>
        </is>
      </c>
      <c r="N18" s="2" t="inlineStr">
        <is>
          <t>ข้อ 17 Pharma Plus เล่มม่วง (เฉลยข้อ ข)</t>
        </is>
      </c>
      <c r="O18" s="2" t="n"/>
      <c r="P18" s="2" t="n"/>
    </row>
    <row r="19" ht="13.2" customHeight="1" s="49">
      <c r="A19" s="8" t="inlineStr">
        <is>
          <t>18</t>
        </is>
      </c>
      <c r="B19"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2" t="n"/>
      <c r="D19" s="2" t="inlineStr">
        <is>
          <t>โรคต้อกระจก</t>
        </is>
      </c>
      <c r="E19" s="2" t="inlineStr">
        <is>
          <t>โรคตาแดง</t>
        </is>
      </c>
      <c r="F19" s="2" t="inlineStr">
        <is>
          <t>โรคต้อเนื้อ</t>
        </is>
      </c>
      <c r="G19" s="2" t="inlineStr">
        <is>
          <t>โรคต้อกุ้งยิง</t>
        </is>
      </c>
      <c r="H19" s="2" t="inlineStr">
        <is>
          <t>โรคต้อหิน</t>
        </is>
      </c>
      <c r="I19" s="8" t="n">
        <v>5</v>
      </c>
      <c r="J19" s="2" t="inlineStr">
        <is>
          <t>✅ คำตอบที่ถูกต้อง: ข้อ จ. โรคต้อหิน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n"/>
      <c r="L19" s="2" t="inlineStr">
        <is>
          <t>Glaucoma, Cataract</t>
        </is>
      </c>
      <c r="M19" s="2" t="inlineStr">
        <is>
          <t>Clinic</t>
        </is>
      </c>
      <c r="N19" s="2" t="inlineStr">
        <is>
          <t>ข้อ 18 Pharma Plus เล่มม่วง (เฉลยข้อ จ)</t>
        </is>
      </c>
      <c r="O19" s="2" t="n"/>
      <c r="P19" s="2" t="n"/>
    </row>
    <row r="20" ht="13.2" customHeight="1" s="49">
      <c r="A20" s="8" t="inlineStr">
        <is>
          <t>19</t>
        </is>
      </c>
      <c r="B20"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0" s="2" t="n"/>
      <c r="D20" s="2" t="inlineStr">
        <is>
          <t>เกิดจากความดันโลหิตสูงกว่าปกติ</t>
        </is>
      </c>
      <c r="E20" s="2" t="inlineStr">
        <is>
          <t>[NEED_REVIEW]</t>
        </is>
      </c>
      <c r="F20" s="2" t="inlineStr">
        <is>
          <t>หากไม่รับการรักษาจะทำให้เกิดตาบอดได้</t>
        </is>
      </c>
      <c r="G20" s="2" t="inlineStr">
        <is>
          <t>การรักษาสามารถใช้ยาหยอดตา atropine เพื่อควบคุมอาการได้</t>
        </is>
      </c>
      <c r="H20" s="2" t="inlineStr">
        <is>
          <t>แพทย์จะพิจารณารักษาตาอีกข้าง (ในกรณีที่เป็นตาข้างเดียว) เฉียบพลันในอนาคตได้</t>
        </is>
      </c>
      <c r="I20" s="8" t="n">
        <v>1</v>
      </c>
      <c r="J20" s="2" t="inlineStr">
        <is>
          <t>✅ คำตอบที่ถูกต้อง: ข้อ ก. เกิดจากความดันโลหิตสูงกว่าปกติ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สามารถพบได้ในผู้ที่มีการใช้ steroid เป็นประจำ ไม่ตรงกับข้อบ่งใช้หรือกลไกการออกฤทธิ์ที่ถูกต้องตาม AAO Preferred Practice Pattern / Thai Ophthalmological Society Guidelines
• ข้อ ค. (หากไม่รับการรักษาจะทำให้เกิดตาบอดได้): หากไม่รับการรักษาจะทำให้เกิดตาบอดได้ ไม่ตรงกับข้อบ่งใช้หรือกลไกการออกฤทธิ์ที่ถูกต้องตาม AAO Preferred Practice Pattern / Thai Ophthalmological Society Guidelines
• ข้อ ง. (การรักษาสามารถใช้ยาหยอดตา atropine เพื่อควบคุมอาการได้): การรักษาสามารถใช้ยาหยอดตา atropine เพื่อควบคุมอาการได้ ไม่ตรงกับข้อบ่งใช้หรือกลไกการออกฤทธิ์ที่ถูกต้องตาม AAO Preferred Practice Pattern / Thai Ophthalmological Society Guidelines
• ข้อ จ. (แพทย์จะพิจารณารักษาตาอีกข้าง (ในกรณีที่เป็นตาข้างเดียว) เฉียบพลันในอนาคตได้): แพทย์จะพิจารณารักษาตาอีกข้าง (ในกรณีที่เป็นตาข้างเดียว) เฉียบพลันในอนาคตได้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Glaucoma, Cataract</t>
        </is>
      </c>
      <c r="M20" s="2" t="inlineStr">
        <is>
          <t>Clinic</t>
        </is>
      </c>
      <c r="N20" s="2" t="inlineStr">
        <is>
          <t>ข้อ 19 Pharma Plus เล่มม่วง (เฉลยข้อ ก ง)</t>
        </is>
      </c>
      <c r="O20" s="2" t="n"/>
      <c r="P20" s="2" t="n"/>
    </row>
    <row r="21" ht="13.2" customHeight="1" s="49">
      <c r="A21" s="8" t="inlineStr">
        <is>
          <t>20</t>
        </is>
      </c>
      <c r="B21" s="2" t="inlineStr">
        <is>
          <t>สารชนิดใดที่สามารถใช้รักษาได้โดยมีฤทธิ์ลด aqueous humor ภายในลูกตา</t>
        </is>
      </c>
      <c r="C21" s="2" t="n"/>
      <c r="D21" s="2" t="inlineStr">
        <is>
          <t>Timolol</t>
        </is>
      </c>
      <c r="E21" s="2" t="inlineStr">
        <is>
          <t>Pilocarpine</t>
        </is>
      </c>
      <c r="F21" s="2" t="inlineStr">
        <is>
          <t>Mannitol</t>
        </is>
      </c>
      <c r="G21" s="2" t="inlineStr">
        <is>
          <t>Thiazide</t>
        </is>
      </c>
      <c r="H21" s="2" t="inlineStr">
        <is>
          <t>Carbachol</t>
        </is>
      </c>
      <c r="I21" s="8" t="n">
        <v>1</v>
      </c>
      <c r="J21" s="2"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2" t="n"/>
      <c r="L21" s="2" t="inlineStr">
        <is>
          <t>Glaucoma, Cataract</t>
        </is>
      </c>
      <c r="M21" s="2" t="inlineStr">
        <is>
          <t>Clinic</t>
        </is>
      </c>
      <c r="N21" s="2" t="inlineStr">
        <is>
          <t>ข้อ 20 Pharma Plus เล่มม่วง (เฉลยข้อ ก)</t>
        </is>
      </c>
      <c r="O21" s="2" t="n"/>
      <c r="P21" s="2" t="n"/>
    </row>
    <row r="22" ht="13.2" customHeight="1" s="49">
      <c r="A22" s="8" t="inlineStr">
        <is>
          <t>21</t>
        </is>
      </c>
      <c r="B22" s="2" t="inlineStr">
        <is>
          <t>ข้อใดเป็นคำแนะนำการใช้ยาตาที่ไม่ถูกต้อง</t>
        </is>
      </c>
      <c r="C22" s="2" t="n"/>
      <c r="D22" s="2" t="inlineStr">
        <is>
          <t>ล้างมือให้สะอาดก่อนและหลังหยอดตา</t>
        </is>
      </c>
      <c r="E22" s="2" t="inlineStr">
        <is>
          <t>เอนตัวไปข้างหน้าเล็กน้อย</t>
        </is>
      </c>
      <c r="F22" s="2" t="inlineStr">
        <is>
          <t>ดึงหนังตาล่างออกเป็นกระพุ้ง</t>
        </is>
      </c>
      <c r="G22" s="2" t="inlineStr">
        <is>
          <t>เมื่อหยอดยาเสร็จ กดที่หัวตาเบาๆ 2-3 นาที เพื่อมีให้ยาไหลลงในท่อน้ำตา</t>
        </is>
      </c>
      <c r="H22" s="2" t="inlineStr">
        <is>
          <t>หากต้องหยอดยาตา 2 ชนิด ให้หยอดห่างกัน 5 นาที</t>
        </is>
      </c>
      <c r="I22" s="8" t="n">
        <v>2</v>
      </c>
      <c r="J22" s="2" t="inlineStr">
        <is>
          <t>✅ คำตอบที่ถูกต้อง: ข้อ ข. เอนตัวไปข้างหน้าเล็กน้อย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2" t="n"/>
      <c r="L22" s="2" t="inlineStr">
        <is>
          <t>Glaucoma, Cataract</t>
        </is>
      </c>
      <c r="M22" s="2" t="inlineStr">
        <is>
          <t>Clinic</t>
        </is>
      </c>
      <c r="N22" s="2" t="inlineStr">
        <is>
          <t>ข้อ 21 Pharma Plus เล่มม่วง (เฉลยข้อ ข)</t>
        </is>
      </c>
      <c r="O22" s="2" t="n"/>
      <c r="P22" s="2" t="n"/>
    </row>
    <row r="23" ht="13.2" customHeight="1" s="49">
      <c r="A23" s="8" t="inlineStr">
        <is>
          <t>22</t>
        </is>
      </c>
      <c r="B23" s="2" t="inlineStr">
        <is>
          <t>ยาชนิดใดต่อไปนี้ไม่มีข้อห้ามใช้ หรือข้อควรระวังในผู้ป่วยโรคต้อหิน</t>
        </is>
      </c>
      <c r="C23" s="2" t="n"/>
      <c r="D23" s="2" t="inlineStr">
        <is>
          <t>0.1% Diclofenac ED.</t>
        </is>
      </c>
      <c r="E23" s="2" t="inlineStr">
        <is>
          <t>0.1% Fluorometholone ED</t>
        </is>
      </c>
      <c r="F23" s="2" t="inlineStr">
        <is>
          <t>0.1% Dexamethasone ED</t>
        </is>
      </c>
      <c r="G23" s="2" t="inlineStr">
        <is>
          <t>0.5% Atropine ED</t>
        </is>
      </c>
      <c r="H23" s="2" t="inlineStr">
        <is>
          <t>0.05% Naphazoline ED</t>
        </is>
      </c>
      <c r="I23" s="8" t="n">
        <v>1</v>
      </c>
      <c r="J23" s="2" t="inlineStr">
        <is>
          <t>✅ คำตอบที่ถูกต้อง: ข้อ ก. 0.1% Diclofenac ED.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2" t="n"/>
      <c r="L23" s="2" t="inlineStr">
        <is>
          <t>Glaucoma, Cataract</t>
        </is>
      </c>
      <c r="M23" s="2" t="inlineStr">
        <is>
          <t>Clinic</t>
        </is>
      </c>
      <c r="N23" s="2" t="inlineStr">
        <is>
          <t>ข้อ 22 Pharma Plus เล่มม่วง (เฉลยข้อ ก จ)</t>
        </is>
      </c>
      <c r="O23" s="2" t="n"/>
      <c r="P23" s="2" t="n"/>
    </row>
    <row r="24" ht="13.2" customHeight="1" s="49">
      <c r="A24" s="8" t="inlineStr">
        <is>
          <t>23</t>
        </is>
      </c>
      <c r="B24" s="2" t="inlineStr">
        <is>
          <t>ข้อใดคือเสียของการใช้ dexamethasone eye drops เป็นเวลานาน Zero ↓ Ifname first order kinetic first T90 % = % Te , shelf-life &amp;85</t>
        </is>
      </c>
      <c r="C24" s="2" t="n"/>
      <c r="D24" s="2" t="inlineStr">
        <is>
          <t>Eye irritation</t>
        </is>
      </c>
      <c r="E24" s="2" t="inlineStr">
        <is>
          <t>Cataract</t>
        </is>
      </c>
      <c r="F24" s="2" t="inlineStr">
        <is>
          <t>Decrease intraocular pressure</t>
        </is>
      </c>
      <c r="G24" s="2" t="inlineStr">
        <is>
          <t>Eyelash lengthener</t>
        </is>
      </c>
      <c r="H24" s="2" t="inlineStr">
        <is>
          <t>Retinitis pigmentosa</t>
        </is>
      </c>
      <c r="I24" s="8" t="n">
        <v>1</v>
      </c>
      <c r="J24" s="2" t="inlineStr">
        <is>
          <t>✅ คำตอบที่ถูกต้อง: ข้อ ก. Eye irritation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n"/>
      <c r="L24" s="2" t="inlineStr">
        <is>
          <t>Glaucoma, Cataract</t>
        </is>
      </c>
      <c r="M24" s="2" t="inlineStr">
        <is>
          <t>Clinic</t>
        </is>
      </c>
      <c r="N24" s="2" t="inlineStr">
        <is>
          <t>ข้อ 16 (PLE_CC1_2562_Key.md)</t>
        </is>
      </c>
      <c r="O24" s="2" t="n"/>
      <c r="P24" s="2" t="n"/>
    </row>
    <row r="25" ht="13.2" customHeight="1" s="49">
      <c r="A25" s="8" t="inlineStr">
        <is>
          <t>24</t>
        </is>
      </c>
      <c r="B25" s="2" t="inlineStr">
        <is>
          <t>ในปัจจุบันยาชนิดใกที่ช่วยรักษาอาการของต้อหินได้ครบทุกกลไกของการเกิดโรค</t>
        </is>
      </c>
      <c r="C25" s="2" t="n"/>
      <c r="D25" s="2" t="inlineStr">
        <is>
          <t>Timolol</t>
        </is>
      </c>
      <c r="E25" s="2" t="inlineStr">
        <is>
          <t>Latanoprost</t>
        </is>
      </c>
      <c r="F25" s="2" t="inlineStr">
        <is>
          <t>Acetazolamide</t>
        </is>
      </c>
      <c r="G25" s="2" t="inlineStr">
        <is>
          <t>Apraclonidine</t>
        </is>
      </c>
      <c r="H25" s="2" t="inlineStr">
        <is>
          <t>Pilocarpine</t>
        </is>
      </c>
      <c r="I25" s="8" t="n">
        <v>1</v>
      </c>
      <c r="J25" s="2"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Latanoprost เป็น FP Prostaglandin analog ลด IOP ผ่าน uveoscleral outflow ผลข้างเคียง: เปลือกตาคล้ำ, iris pigmentation, eyelash growth
• ข้อ ค. (Acetazolamide): Acetazolamide ไม่ตรงกับข้อบ่งใช้หรือกลไกการออกฤทธิ์ที่ถูกต้องตาม AAO Preferred Practice Pattern / Thai Ophthalmological Society Guidelines
• ข้อ ง. (Apraclonidine): Apraclonidine ไม่ตรงกับข้อบ่งใช้หรือกลไกการออกฤทธิ์ที่ถูกต้องตาม AAO Preferred Practice Pattern / Thai Ophthalmological Society Guidelines
• ข้อ จ. (Pilocarpine): Pilocarpine เป็น M3 muscarinic agonist ลด IOP โดยเพิ่ม trabecular outflow ทำให้ miosis, accommodative spasm และ headache เป็น 2nd line ปัจจุบัน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n"/>
      <c r="L25" s="2" t="inlineStr">
        <is>
          <t>Glaucoma, Cataract</t>
        </is>
      </c>
      <c r="M25" s="2" t="inlineStr">
        <is>
          <t>Clinic</t>
        </is>
      </c>
      <c r="N25" s="2" t="inlineStr">
        <is>
          <t>ข้อ 75 (Pharmtutor_2024_Set2.md)</t>
        </is>
      </c>
      <c r="O25" s="2" t="n"/>
      <c r="P25" s="2" t="n"/>
    </row>
    <row r="26" ht="13.2" customHeight="1" s="49">
      <c r="A26" s="8" t="inlineStr">
        <is>
          <t>25</t>
        </is>
      </c>
      <c r="B26" s="2"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6" s="2" t="n"/>
      <c r="D26" s="2" t="inlineStr">
        <is>
          <t>ยาปลอม</t>
        </is>
      </c>
      <c r="E26" s="2" t="inlineStr">
        <is>
          <t>ยาเสื่อมคุณภาพ</t>
        </is>
      </c>
      <c r="F26" s="2" t="inlineStr">
        <is>
          <t>ยาผิดมาตรฐาน</t>
        </is>
      </c>
      <c r="G26" s="2" t="inlineStr">
        <is>
          <t>ยาเทียม</t>
        </is>
      </c>
      <c r="H26" s="2" t="inlineStr">
        <is>
          <t>ยาแปรสภาพ ตะลุยโจทย์เภสัชจุฬาฯ สอบผ่าน 100%</t>
        </is>
      </c>
      <c r="I26" s="8" t="n">
        <v>1</v>
      </c>
      <c r="J26" s="2" t="inlineStr">
        <is>
          <t>✅ คำตอบที่ถูกต้อง: ข้อ ก. ยาปลอม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2" t="n"/>
      <c r="L26" s="2" t="inlineStr">
        <is>
          <t>Glaucoma, Cataract</t>
        </is>
      </c>
      <c r="M26" s="2" t="inlineStr">
        <is>
          <t>Clinic</t>
        </is>
      </c>
      <c r="N26" s="2" t="inlineStr">
        <is>
          <t>ข้อ 3 (LAW-CU-71.md)</t>
        </is>
      </c>
      <c r="O26" s="2" t="n"/>
      <c r="P26" s="2" t="n"/>
    </row>
    <row r="27" ht="13.2" customHeight="1" s="49">
      <c r="A27" s="8" t="inlineStr">
        <is>
          <t>26</t>
        </is>
      </c>
      <c r="B27" s="2" t="inlineStr">
        <is>
          <t>Sodium starch glycolate เป็นสารช่วยแตกตัว Case 4: Conjunctivitis</t>
        </is>
      </c>
      <c r="C27" s="2" t="n"/>
      <c r="D27" s="2" t="inlineStr">
        <is>
          <t>Prednisolone acetate 1% eye drops</t>
        </is>
      </c>
      <c r="E27" s="2" t="inlineStr">
        <is>
          <t>Acetazolamide 250 mg BID</t>
        </is>
      </c>
      <c r="F27" s="2" t="inlineStr">
        <is>
          <t>Timolol 0.5% eye drops 1 drop BID</t>
        </is>
      </c>
      <c r="G27" s="2" t="inlineStr">
        <is>
          <t>Latanoprost 0.005% eye drops 1 drop HS</t>
        </is>
      </c>
      <c r="H27" s="2" t="inlineStr">
        <is>
          <t>Brimonidine 0.2% eye drops 1 drop BID</t>
        </is>
      </c>
      <c r="I27" s="8" t="n">
        <v>1</v>
      </c>
      <c r="J2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 s="2" t="n"/>
      <c r="L27" s="2" t="inlineStr">
        <is>
          <t>Conjunctivitis</t>
        </is>
      </c>
      <c r="M27" s="2" t="inlineStr">
        <is>
          <t>Clinic</t>
        </is>
      </c>
      <c r="N27" s="2" t="inlineStr">
        <is>
          <t>ข้อ 1 (PLE_CC1_2555 Day 2.md)</t>
        </is>
      </c>
      <c r="O27" s="2" t="n"/>
      <c r="P27" s="2" t="n"/>
    </row>
    <row r="28" ht="13.2" customHeight="1" s="49">
      <c r="A28" s="8" t="inlineStr">
        <is>
          <t>27</t>
        </is>
      </c>
      <c r="B2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8" s="2" t="n"/>
      <c r="D28" s="2" t="inlineStr">
        <is>
          <t>Latanoprost 0.005% eye drops 1 drop HS</t>
        </is>
      </c>
      <c r="E28" s="2" t="inlineStr">
        <is>
          <t>Brimonidine 0.2% eye drops 1 drop BID</t>
        </is>
      </c>
      <c r="F28" s="2" t="inlineStr">
        <is>
          <t>Dorzolamide 2% eye drops 1 drop BID</t>
        </is>
      </c>
      <c r="G28" s="2" t="inlineStr">
        <is>
          <t>Tobramycin 0.3% eye drops 1 drop QID</t>
        </is>
      </c>
      <c r="H28" s="2" t="inlineStr">
        <is>
          <t>Chloramphenicol 0.5% eye drops 1 drop QID</t>
        </is>
      </c>
      <c r="I28" s="8" t="n">
        <v>1</v>
      </c>
      <c r="J2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2" t="n"/>
      <c r="L28" s="2" t="inlineStr">
        <is>
          <t>Conjunctivitis</t>
        </is>
      </c>
      <c r="M28" s="2" t="inlineStr">
        <is>
          <t>Clinic</t>
        </is>
      </c>
      <c r="N28" s="2" t="inlineStr">
        <is>
          <t>ข้อ 1 (PLE_CC1_2555 Day 2.md)</t>
        </is>
      </c>
      <c r="O28" s="2" t="n"/>
      <c r="P28" s="2" t="n"/>
    </row>
    <row r="29" ht="13.2" customHeight="1" s="49">
      <c r="A29" s="8" t="inlineStr">
        <is>
          <t>28</t>
        </is>
      </c>
      <c r="B29" s="2" t="inlineStr">
        <is>
          <t>เก็บยาหยอดตาไว้ที่อุณหภูมิห้องปกติ ให้แสงสว่างส่องถึง</t>
        </is>
      </c>
      <c r="C29" s="2" t="n"/>
      <c r="D29" s="2" t="inlineStr">
        <is>
          <t>Tobramycin 0.3% eye drops 1 drop QID</t>
        </is>
      </c>
      <c r="E29" s="2" t="inlineStr">
        <is>
          <t>Chloramphenicol 0.5% eye drops 1 drop QID</t>
        </is>
      </c>
      <c r="F29" s="2" t="inlineStr">
        <is>
          <t>Artificial tears 1 drop QID</t>
        </is>
      </c>
      <c r="G29" s="2" t="inlineStr">
        <is>
          <t>Antazoline/Tetrahydrozoline eye drops 1 drop TID</t>
        </is>
      </c>
      <c r="H29" s="2" t="inlineStr">
        <is>
          <t>Prednisolone acetate 1% eye drops</t>
        </is>
      </c>
      <c r="I29" s="8" t="n">
        <v>1</v>
      </c>
      <c r="J29" s="2"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2" t="n"/>
      <c r="L29" s="2" t="inlineStr">
        <is>
          <t>Glaucoma, Cataract</t>
        </is>
      </c>
      <c r="M29" s="2" t="inlineStr">
        <is>
          <t>Clinic</t>
        </is>
      </c>
      <c r="N29" s="2" t="inlineStr">
        <is>
          <t>ข้อ 1 (PLE_CC1_2555 Day 2.md)</t>
        </is>
      </c>
      <c r="O29" s="2" t="n"/>
      <c r="P29" s="2" t="n"/>
    </row>
    <row r="30" ht="13.2" customHeight="1" s="49">
      <c r="A30" s="8" t="inlineStr">
        <is>
          <t>29</t>
        </is>
      </c>
      <c r="B30" s="2" t="inlineStr">
        <is>
          <t>เมื่อหยอดตาเสร็จแล้ว หลับตาสักครู่ และไม่ควรใช้ยาร่วมกับผู้อื่น</t>
        </is>
      </c>
      <c r="C30" s="2" t="n"/>
      <c r="D30" s="2" t="inlineStr">
        <is>
          <t>Antazoline/Tetrahydrozoline eye drops 1 drop TID</t>
        </is>
      </c>
      <c r="E30" s="2" t="inlineStr">
        <is>
          <t>Prednisolone acetate 1% eye drops</t>
        </is>
      </c>
      <c r="F30" s="2" t="inlineStr">
        <is>
          <t>Acetazolamide 250 mg BID</t>
        </is>
      </c>
      <c r="G30" s="2" t="inlineStr">
        <is>
          <t>Timolol 0.5% eye drops 1 drop BID</t>
        </is>
      </c>
      <c r="H30" s="2" t="inlineStr">
        <is>
          <t>Latanoprost 0.005% eye drops 1 drop HS</t>
        </is>
      </c>
      <c r="I30" s="8" t="n">
        <v>1</v>
      </c>
      <c r="J30" s="2" t="inlineStr">
        <is>
          <t>✅ คำตอบที่ถูกต้อง: ข้อ ก. Antazoline/Tetrahydrozoline eye drops 1 drop TID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2" t="n"/>
      <c r="L30" s="2" t="inlineStr">
        <is>
          <t>Glaucoma, Cataract</t>
        </is>
      </c>
      <c r="M30" s="2" t="inlineStr">
        <is>
          <t>Clinic</t>
        </is>
      </c>
      <c r="N30" s="2" t="inlineStr">
        <is>
          <t>ข้อ 2 (PLE_CC1_2555 Day 2.md)</t>
        </is>
      </c>
      <c r="O30" s="2" t="n"/>
      <c r="P30" s="2" t="n"/>
    </row>
    <row r="31" ht="13.2" customHeight="1" s="49">
      <c r="A31" s="8" t="inlineStr">
        <is>
          <t>30</t>
        </is>
      </c>
      <c r="B31" s="2" t="inlineStr">
        <is>
          <t>หากลืมหยอดตา สามารถหยอดพร้อมกัน 2 หยดในครั้งถัดไปได้</t>
        </is>
      </c>
      <c r="C31" s="2" t="n"/>
      <c r="D31" s="2" t="inlineStr">
        <is>
          <t>Timolol 0.5% eye drops 1 drop BID</t>
        </is>
      </c>
      <c r="E31" s="2" t="inlineStr">
        <is>
          <t>Latanoprost 0.005% eye drops 1 drop HS</t>
        </is>
      </c>
      <c r="F31" s="2" t="inlineStr">
        <is>
          <t>Brimonidine 0.2% eye drops 1 drop BID</t>
        </is>
      </c>
      <c r="G31" s="2" t="inlineStr">
        <is>
          <t>Dorzolamide 2% eye drops 1 drop BID</t>
        </is>
      </c>
      <c r="H31" s="2" t="inlineStr">
        <is>
          <t>Tobramycin 0.3% eye drops 1 drop QID</t>
        </is>
      </c>
      <c r="I31" s="8" t="n">
        <v>1</v>
      </c>
      <c r="J31" s="2" t="inlineStr">
        <is>
          <t>✅ คำตอบที่ถูกต้อง: ข้อ ก. Timolol 0.5%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2" t="n"/>
      <c r="L31" s="2" t="inlineStr">
        <is>
          <t>Glaucoma, Cataract</t>
        </is>
      </c>
      <c r="M31" s="2" t="inlineStr">
        <is>
          <t>Clinic</t>
        </is>
      </c>
      <c r="N31" s="2" t="inlineStr">
        <is>
          <t>ข้อ 4 (PLE_CC1_2555 Day 2.md)</t>
        </is>
      </c>
      <c r="O31" s="2" t="n"/>
      <c r="P31" s="2" t="n"/>
    </row>
    <row r="32" ht="13.2" customHeight="1" s="49">
      <c r="A32" s="8" t="inlineStr">
        <is>
          <t>31</t>
        </is>
      </c>
      <c r="B32" s="2" t="inlineStr">
        <is>
          <t>ยาใดจะทำให้อาการตาแดงของผู้หญิงรายนี้หายไปได้ดีที่สุด</t>
        </is>
      </c>
      <c r="C32" s="2" t="n"/>
      <c r="D32" s="2" t="inlineStr">
        <is>
          <t>Antihistamines</t>
        </is>
      </c>
      <c r="E32" s="2" t="inlineStr">
        <is>
          <t>Antibacterials</t>
        </is>
      </c>
      <c r="F32" s="2" t="inlineStr">
        <is>
          <t>Antivirals</t>
        </is>
      </c>
      <c r="G32" s="2" t="inlineStr">
        <is>
          <t>Vasoconstrictors</t>
        </is>
      </c>
      <c r="H32" s="2" t="inlineStr">
        <is>
          <t>mast cell stabilizers decongestant หรือ oral antihistamine (ref: หนังสือ survival guideline on pharmacotherapy Rx30 care&amp; Rx31 science,Pharmacy, PSU)</t>
        </is>
      </c>
      <c r="I32" s="8" t="n">
        <v>1</v>
      </c>
      <c r="J32" s="2" t="inlineStr">
        <is>
          <t>✅ คำตอบที่ถูกต้อง: ข้อ ก. Antihistamines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2" t="n"/>
      <c r="L32" s="2" t="inlineStr">
        <is>
          <t>Conjunctivitis</t>
        </is>
      </c>
      <c r="M32" s="2" t="inlineStr">
        <is>
          <t>Clinic</t>
        </is>
      </c>
      <c r="N32" s="2" t="inlineStr">
        <is>
          <t>ข้อ 2 (PLE_CC1_2554 SET2.md)</t>
        </is>
      </c>
      <c r="O32" s="2" t="n"/>
      <c r="P32" s="2" t="n"/>
    </row>
    <row r="33" ht="13.2" customHeight="1" s="49">
      <c r="A33" s="8" t="inlineStr">
        <is>
          <t>32</t>
        </is>
      </c>
      <c r="B33" s="2" t="inlineStr">
        <is>
          <t>ข้อใดผิดเกี่ยวกับคำแนะนาในการหยอดตา</t>
        </is>
      </c>
      <c r="C33" s="2" t="n"/>
      <c r="D33" s="2" t="inlineStr">
        <is>
          <t>การป้องกันรสขมจากยาหยอดตา ทำได้โดยการกดบริเวณหัวตา</t>
        </is>
      </c>
      <c r="E33" s="2" t="inlineStr">
        <is>
          <t>ควรใช้ขี้ผึ้งป้ายตา หลัง ยาหยอดตา 5-10 นาที</t>
        </is>
      </c>
      <c r="F33" s="2" t="inlineStr">
        <is>
          <t>อายุของยาหยอดตา คือ 1 เดือนหลังจากเปิดใช้</t>
        </is>
      </c>
      <c r="G33" s="2" t="inlineStr">
        <is>
          <t>ยาหยอดตาทุกชนิด ต้องเก็บในตู้เย็น</t>
        </is>
      </c>
      <c r="H33" s="2" t="inlineStr">
        <is>
          <t>ไม่สามารถใช้แทนกันได้ทุกกรณี</t>
        </is>
      </c>
      <c r="I33" s="8" t="n">
        <v>4</v>
      </c>
      <c r="J33" s="2" t="inlineStr">
        <is>
          <t>✅ คำตอบที่ถูกต้อง: ข้อ ง. ยาหยอดตาทุกชนิด ต้องเก็บในตู้เย็น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 หากสีของยาหยอดตาเปลี่ยนไปทุกกรณี ควรนำไปทิ้ง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2" t="n"/>
      <c r="L33" s="2" t="inlineStr">
        <is>
          <t>Glaucoma, Cataract</t>
        </is>
      </c>
      <c r="M33" s="2" t="inlineStr">
        <is>
          <t>Clinic</t>
        </is>
      </c>
      <c r="N33" s="2" t="inlineStr">
        <is>
          <t>ข้อ 6 (PLE_CC1_2554 SET2.md)</t>
        </is>
      </c>
      <c r="O33" s="2" t="n"/>
      <c r="P33" s="2" t="n"/>
    </row>
    <row r="34" ht="13.2" customHeight="1" s="49">
      <c r="A34" s="8" t="inlineStr">
        <is>
          <t>33</t>
        </is>
      </c>
      <c r="B34" s="2" t="inlineStr">
        <is>
          <t>เชื้อก่อโรคใดต่อไปนี้พบเป็นสาเหตุน้อยที่สุดที่ทำให้เกิดเยื่อบุตาอักเสบ (conjunctivitis)</t>
        </is>
      </c>
      <c r="C34" s="2" t="n"/>
      <c r="D34" s="2" t="inlineStr">
        <is>
          <t>Adenovirus</t>
        </is>
      </c>
      <c r="E34" s="2" t="inlineStr">
        <is>
          <t>Rhinovirus</t>
        </is>
      </c>
      <c r="F34" s="2" t="inlineStr">
        <is>
          <t>Streptococcous spp.</t>
        </is>
      </c>
      <c r="G34" s="2" t="inlineStr">
        <is>
          <t>Haemophilus influenza</t>
        </is>
      </c>
      <c r="H34" s="2" t="inlineStr">
        <is>
          <t>Staphylococcous spp.</t>
        </is>
      </c>
      <c r="I34" s="8" t="n">
        <v>1</v>
      </c>
      <c r="J34" s="2" t="inlineStr">
        <is>
          <t>✅ คำตอบที่ถูกต้อง: ข้อ ก. Adenovirus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2" t="n"/>
      <c r="L34" s="2" t="inlineStr">
        <is>
          <t>Conjunctivitis</t>
        </is>
      </c>
      <c r="M34" s="2" t="inlineStr">
        <is>
          <t>Clinic</t>
        </is>
      </c>
      <c r="N34" s="2" t="inlineStr">
        <is>
          <t>ข้อ 28 (PLE_CC1_Practice_Exam.md)</t>
        </is>
      </c>
      <c r="O34" s="2" t="n"/>
      <c r="P34" s="2" t="n"/>
    </row>
    <row r="35" ht="13.2" customHeight="1" s="49">
      <c r="A35" s="8" t="inlineStr">
        <is>
          <t>34</t>
        </is>
      </c>
      <c r="B35" s="2"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5" s="2" t="n"/>
      <c r="D35" s="2" t="inlineStr">
        <is>
          <t>ซักประวัติหาสาเหตุที่เกิดขึ้นพร้อมกับจ่ายยาตัวเดิมเพื่อบรรเทาอาการ</t>
        </is>
      </c>
      <c r="E35" s="2" t="inlineStr">
        <is>
          <t>เปลี่ยนตัวยาที่มีข้อบ่งใช้เดิมแต่เป็นยากลุ่มใหม่เนื่องจากผู้ป่วยยังคงมีอาการเกี่ยวกับดวงตาอยู่</t>
        </is>
      </c>
      <c r="F35" s="2" t="inlineStr">
        <is>
          <t>ซักประวัติเพิ่มเติมเกี่ยวกับโรคประจำตัว การใช้ยาก่อนหน้า การมองเห็น</t>
        </is>
      </c>
      <c r="G35" s="2" t="inlineStr">
        <is>
          <t>แนะนำให้ผู้ป่วยสังเกตอาการไปก่อนถ้าไม่ดีขึ้นให้กลับมาพบเภสัชกรอีกครั้งเพื่อหาสาเหตุ</t>
        </is>
      </c>
      <c r="H35" s="2"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5" s="8" t="n">
        <v>1</v>
      </c>
      <c r="J35" s="2" t="inlineStr">
        <is>
          <t>✅ คำตอบที่ถูกต้อง: ข้อ ก. ซักประวัติหาสาเหตุที่เกิดขึ้นพร้อมกับจ่ายยาตัวเดิมเพื่อบรรเทาอาการ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2" t="n"/>
      <c r="L35" s="2" t="inlineStr">
        <is>
          <t>Glaucoma, Cataract</t>
        </is>
      </c>
      <c r="M35" s="2" t="inlineStr">
        <is>
          <t>Clinic</t>
        </is>
      </c>
      <c r="N35" s="2" t="inlineStr">
        <is>
          <t>ข้อ 9 (PLE_CC1_Practice_Exam.md)</t>
        </is>
      </c>
      <c r="O35" s="2" t="n"/>
      <c r="P35" s="2" t="n"/>
    </row>
    <row r="36" ht="13.2" customHeight="1" s="49">
      <c r="A36" s="8" t="inlineStr">
        <is>
          <t>35</t>
        </is>
      </c>
      <c r="B36" s="2"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6" s="2" t="n"/>
      <c r="D36" s="2" t="inlineStr">
        <is>
          <t>จ่ายยา Actifedห</t>
        </is>
      </c>
      <c r="E36" s="2" t="inlineStr">
        <is>
          <t>จ่ายยา Hydroxyzine</t>
        </is>
      </c>
      <c r="F36" s="2" t="inlineStr">
        <is>
          <t>จ่ายยา Fexofenadine</t>
        </is>
      </c>
      <c r="G36" s="2" t="inlineStr">
        <is>
          <t>จ่ายยา Brompheniramine</t>
        </is>
      </c>
      <c r="H36" s="2" t="inlineStr">
        <is>
          <t>จ่ายยา Chlorpheniramine</t>
        </is>
      </c>
      <c r="I36" s="8" t="n">
        <v>1</v>
      </c>
      <c r="J36" s="2" t="inlineStr">
        <is>
          <t>✅ คำตอบที่ถูกต้อง: ข้อ ก. จ่ายยา Actifedห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n"/>
      <c r="L36" s="2" t="inlineStr">
        <is>
          <t>Glaucoma, Cataract</t>
        </is>
      </c>
      <c r="M36" s="2" t="inlineStr">
        <is>
          <t>Clinic</t>
        </is>
      </c>
      <c r="N36" s="2" t="inlineStr">
        <is>
          <t>ข้อ 27 (PLE_CC1_Practice_Exam.md)</t>
        </is>
      </c>
      <c r="O36" s="2" t="n"/>
      <c r="P36" s="2" t="n"/>
    </row>
    <row r="37" ht="13.2" customHeight="1" s="49">
      <c r="A37" s="8" t="inlineStr">
        <is>
          <t>36</t>
        </is>
      </c>
      <c r="B37" s="2" t="inlineStr">
        <is>
          <t>Sodium starch glycolate เป็นสารช่วยแตกตัว เรื่องที่ 4 Conjunctivitis</t>
        </is>
      </c>
      <c r="C37" s="2" t="n"/>
      <c r="D37" s="2" t="inlineStr">
        <is>
          <t>Prednisolone acetate 1% eye drops</t>
        </is>
      </c>
      <c r="E37" s="2" t="inlineStr">
        <is>
          <t>Acetazolamide 250 mg BID</t>
        </is>
      </c>
      <c r="F37" s="2" t="inlineStr">
        <is>
          <t>Timolol 0.5% eye drops 1 drop BID</t>
        </is>
      </c>
      <c r="G37" s="2" t="inlineStr">
        <is>
          <t>Latanoprost 0.005% eye drops 1 drop HS</t>
        </is>
      </c>
      <c r="H37" s="2" t="inlineStr">
        <is>
          <t>Brimonidine 0.2% eye drops 1 drop BID</t>
        </is>
      </c>
      <c r="I37" s="8" t="n">
        <v>1</v>
      </c>
      <c r="J3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2" t="n"/>
      <c r="L37" s="2" t="inlineStr">
        <is>
          <t>Conjunctivitis</t>
        </is>
      </c>
      <c r="M37" s="2" t="inlineStr">
        <is>
          <t>Clinic</t>
        </is>
      </c>
      <c r="N37" s="2" t="inlineStr">
        <is>
          <t>ข้อ 1 (PLE_CC1_Key_Rx20_UBU.md)</t>
        </is>
      </c>
      <c r="O37" s="2" t="n"/>
      <c r="P37" s="2" t="n"/>
    </row>
    <row r="38" ht="13.2" customHeight="1" s="49">
      <c r="A38" s="8" t="inlineStr">
        <is>
          <t>37</t>
        </is>
      </c>
      <c r="B3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8" s="2" t="n"/>
      <c r="D38" s="2" t="inlineStr">
        <is>
          <t>Latanoprost 0.005% eye drops 1 drop HS</t>
        </is>
      </c>
      <c r="E38" s="2" t="inlineStr">
        <is>
          <t>Brimonidine 0.2% eye drops 1 drop BID</t>
        </is>
      </c>
      <c r="F38" s="2" t="inlineStr">
        <is>
          <t>Dorzolamide 2% eye drops 1 drop BID</t>
        </is>
      </c>
      <c r="G38" s="2" t="inlineStr">
        <is>
          <t>Tobramycin 0.3% eye drops 1 drop QID</t>
        </is>
      </c>
      <c r="H38" s="2" t="inlineStr">
        <is>
          <t>Chloramphenicol 0.5% eye drops 1 drop QID</t>
        </is>
      </c>
      <c r="I38" s="8" t="n">
        <v>1</v>
      </c>
      <c r="J3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8" s="2" t="n"/>
      <c r="L38" s="2" t="inlineStr">
        <is>
          <t>Conjunctivitis</t>
        </is>
      </c>
      <c r="M38" s="2" t="inlineStr">
        <is>
          <t>Clinic</t>
        </is>
      </c>
      <c r="N38" s="2" t="inlineStr">
        <is>
          <t>ข้อ 1 (PLE_CC1_Key_Rx20_UBU.md)</t>
        </is>
      </c>
      <c r="O38" s="2" t="n"/>
      <c r="P38" s="2" t="n"/>
    </row>
    <row r="39" ht="13.2" customHeight="1" s="49">
      <c r="A39" s="8" t="inlineStr">
        <is>
          <t>38</t>
        </is>
      </c>
      <c r="B39" s="2" t="inlineStr">
        <is>
          <t>เมื่อหยอดตาเสร็จแล้ว หลับตาสักครู่ และไม่ควรใช้ยาร่วมกับผู้อื่น</t>
        </is>
      </c>
      <c r="C39" s="2" t="n"/>
      <c r="D39" s="2" t="inlineStr">
        <is>
          <t>Tobramycin 0.3% eye drops 1 drop QID</t>
        </is>
      </c>
      <c r="E39" s="2" t="inlineStr">
        <is>
          <t>Chloramphenicol 0.5% eye drops 1 drop QID</t>
        </is>
      </c>
      <c r="F39" s="2" t="inlineStr">
        <is>
          <t>Artificial tears 1 drop QID</t>
        </is>
      </c>
      <c r="G39" s="2" t="inlineStr">
        <is>
          <t>Antazoline/Tetrahydrozoline eye drops 1 drop TID</t>
        </is>
      </c>
      <c r="H39" s="2" t="inlineStr">
        <is>
          <t>Prednisolone acetate 1% eye drops</t>
        </is>
      </c>
      <c r="I39" s="8" t="n">
        <v>1</v>
      </c>
      <c r="J39" s="2"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2" t="n"/>
      <c r="L39" s="2" t="inlineStr">
        <is>
          <t>Glaucoma, Cataract</t>
        </is>
      </c>
      <c r="M39" s="2" t="inlineStr">
        <is>
          <t>Clinic</t>
        </is>
      </c>
      <c r="N39" s="2" t="inlineStr">
        <is>
          <t>ข้อ 2 (PLE_CC1_Key_Rx20_UBU.md)</t>
        </is>
      </c>
      <c r="O39" s="2" t="n"/>
      <c r="P39" s="2" t="n"/>
    </row>
    <row r="40" ht="13.2" customHeight="1" s="49">
      <c r="A40" s="8" t="inlineStr">
        <is>
          <t>39</t>
        </is>
      </c>
      <c r="B40" s="2"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0" s="2" t="n"/>
      <c r="D40" s="2" t="inlineStr">
        <is>
          <t>Antazoline/Tetrahydrozoline eye drops 1 drop TID</t>
        </is>
      </c>
      <c r="E40" s="2" t="inlineStr">
        <is>
          <t>Prednisolone acetate 1% eye drops</t>
        </is>
      </c>
      <c r="F40" s="2" t="inlineStr">
        <is>
          <t>Acetazolamide 250 mg BID</t>
        </is>
      </c>
      <c r="G40" s="2" t="inlineStr">
        <is>
          <t>Timolol 0.5% eye drops 1 drop BID</t>
        </is>
      </c>
      <c r="H40" s="2" t="inlineStr">
        <is>
          <t>Latanoprost 0.005% eye drops 1 drop HS</t>
        </is>
      </c>
      <c r="I40" s="8" t="n">
        <v>5</v>
      </c>
      <c r="J40" s="2" t="inlineStr">
        <is>
          <t>✅ คำตอบที่ถูกต้อง: ข้อ จ.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2" t="n"/>
      <c r="L40" s="2" t="inlineStr">
        <is>
          <t>Conjunctivitis</t>
        </is>
      </c>
      <c r="M40" s="2" t="inlineStr">
        <is>
          <t>Clinic</t>
        </is>
      </c>
      <c r="N40" s="2" t="inlineStr">
        <is>
          <t>ข้อ 5 (PLE_CC1_Key_Rx20_UBU.md)</t>
        </is>
      </c>
      <c r="O40" s="2" t="n"/>
      <c r="P40" s="2" t="n"/>
    </row>
    <row r="41" ht="13.2" customHeight="1" s="49">
      <c r="A41" s="8" t="inlineStr">
        <is>
          <t>40</t>
        </is>
      </c>
      <c r="B41" s="2" t="inlineStr">
        <is>
          <t>ยาหยอดตาในข้อใดที่สามารถใช้รักษาเชื้อที่ย้อมแกรมพบได้ก่อนหน้านี้</t>
        </is>
      </c>
      <c r="C41" s="2" t="n"/>
      <c r="D41" s="2" t="inlineStr">
        <is>
          <t>Polymyxin B + Neomycin + Gramicidin</t>
        </is>
      </c>
      <c r="E41" s="2" t="inlineStr">
        <is>
          <t>Chloramphenicol</t>
        </is>
      </c>
      <c r="F41" s="2" t="inlineStr">
        <is>
          <t>Latanoprost</t>
        </is>
      </c>
      <c r="G41" s="2" t="inlineStr">
        <is>
          <t>Antazoline</t>
        </is>
      </c>
      <c r="H41" s="2" t="inlineStr">
        <is>
          <t>Dexamethasone</t>
        </is>
      </c>
      <c r="I41" s="8" t="n">
        <v>1</v>
      </c>
      <c r="J41" s="2" t="inlineStr">
        <is>
          <t>✅ คำตอบที่ถูกต้อง: ข้อ ก. Polymyxin B + Neomycin + Gramicidin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2" t="n"/>
      <c r="L41" s="2" t="inlineStr">
        <is>
          <t>Glaucoma, Cataract</t>
        </is>
      </c>
      <c r="M41" s="2" t="inlineStr">
        <is>
          <t>Clinic</t>
        </is>
      </c>
      <c r="N41" s="2" t="inlineStr">
        <is>
          <t>ข้อ 4 (PLE_CC1_Key_Rx20_UBU.md)</t>
        </is>
      </c>
      <c r="O41" s="2" t="n"/>
      <c r="P41" s="2" t="n"/>
    </row>
    <row r="42" ht="13.2" customHeight="1" s="49">
      <c r="A42" s="8" t="inlineStr">
        <is>
          <t>41</t>
        </is>
      </c>
      <c r="B42" s="2" t="inlineStr">
        <is>
          <t>Bacterial conjunctivitis</t>
        </is>
      </c>
      <c r="C42" s="2" t="n"/>
      <c r="D42" s="2" t="inlineStr">
        <is>
          <t>Dorzolamide 2% eye drops 1 drop BID</t>
        </is>
      </c>
      <c r="E42" s="2" t="inlineStr">
        <is>
          <t>Tobramycin 0.3% eye drops 1 drop QID</t>
        </is>
      </c>
      <c r="F42" s="2" t="inlineStr">
        <is>
          <t>Chloramphenicol 0.5% eye drops 1 drop QID</t>
        </is>
      </c>
      <c r="G42" s="2" t="inlineStr">
        <is>
          <t>Artificial tears 1 drop QID</t>
        </is>
      </c>
      <c r="H42" s="2" t="inlineStr">
        <is>
          <t>Antazoline/Tetrahydrozoline eye drops 1 drop TID</t>
        </is>
      </c>
      <c r="I42" s="8" t="n">
        <v>1</v>
      </c>
      <c r="J42" s="2" t="inlineStr">
        <is>
          <t>✅ คำตอบที่ถูกต้อง: ข้อ ก. Dorzolamide 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2" t="n"/>
      <c r="L42" s="2" t="inlineStr">
        <is>
          <t>Conjunctivitis</t>
        </is>
      </c>
      <c r="M42" s="2" t="inlineStr">
        <is>
          <t>Clinic</t>
        </is>
      </c>
      <c r="N42" s="2" t="inlineStr">
        <is>
          <t>ข้อ 1 (PLE_CC1_Key_Rx20_UBU.md)</t>
        </is>
      </c>
      <c r="O42" s="2" t="n"/>
      <c r="P42" s="2" t="n"/>
    </row>
    <row r="43" ht="13.2" customHeight="1" s="49">
      <c r="A43" s="8" t="inlineStr">
        <is>
          <t>42</t>
        </is>
      </c>
      <c r="B43" s="2" t="inlineStr">
        <is>
          <t>หากลืมหยอดตา ให$หยอดทันทีที่นึกได$ หากใกล$เวลาหยอดครั้งถัดไป ให$เพิ่มเปญน 2 เทGา</t>
        </is>
      </c>
      <c r="C43" s="2" t="n"/>
      <c r="D43" s="2" t="inlineStr">
        <is>
          <t>Artificial tears 1 drop QID</t>
        </is>
      </c>
      <c r="E43" s="2" t="inlineStr">
        <is>
          <t>Antazoline/Tetrahydrozoline eye drops 1 drop TID</t>
        </is>
      </c>
      <c r="F43" s="2" t="inlineStr">
        <is>
          <t>Prednisolone acetate 1% eye drops</t>
        </is>
      </c>
      <c r="G43" s="2" t="inlineStr">
        <is>
          <t>Acetazolamide 250 mg BID</t>
        </is>
      </c>
      <c r="H43" s="2" t="inlineStr">
        <is>
          <t>Timolol 0.5% eye drops 1 drop BID</t>
        </is>
      </c>
      <c r="I43" s="8" t="n">
        <v>1</v>
      </c>
      <c r="J43" s="2" t="inlineStr">
        <is>
          <t>✅ คำตอบที่ถูกต้อง: ข้อ ก. Artificial tears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2" t="n"/>
      <c r="L43" s="2" t="inlineStr">
        <is>
          <t>Glaucoma, Cataract</t>
        </is>
      </c>
      <c r="M43" s="2" t="inlineStr">
        <is>
          <t>Clinic</t>
        </is>
      </c>
      <c r="N43" s="2" t="inlineStr">
        <is>
          <t>ข้อ 2 (PLE_CC1_Key_Rx20_UBU.md)</t>
        </is>
      </c>
      <c r="O43" s="2" t="n"/>
      <c r="P43" s="2" t="n"/>
    </row>
    <row r="44" ht="13.2" customHeight="1" s="49">
      <c r="A44" s="8" t="inlineStr">
        <is>
          <t>43</t>
        </is>
      </c>
      <c r="B44" s="2" t="inlineStr">
        <is>
          <t>ยาหยอดตาที่เปØดใช$แล$ว ควรเก็บไว$ในตู$เย็นจะเก็บได$ 3 เดือน</t>
        </is>
      </c>
      <c r="C44" s="2" t="n"/>
      <c r="D44" s="2" t="inlineStr">
        <is>
          <t>Acetazolamide 250 mg BID</t>
        </is>
      </c>
      <c r="E44" s="2" t="inlineStr">
        <is>
          <t>Timolol 0.5% eye drops 1 drop BID</t>
        </is>
      </c>
      <c r="F44" s="2" t="inlineStr">
        <is>
          <t>Latanoprost 0.005% eye drops 1 drop HS</t>
        </is>
      </c>
      <c r="G44" s="2" t="inlineStr">
        <is>
          <t>Brimonidine 0.2% eye drops 1 drop BID</t>
        </is>
      </c>
      <c r="H44" s="2" t="inlineStr">
        <is>
          <t>Dorzolamide 2% eye drops 1 drop BID</t>
        </is>
      </c>
      <c r="I44" s="8" t="n">
        <v>1</v>
      </c>
      <c r="J44" s="2" t="inlineStr">
        <is>
          <t>✅ คำตอบที่ถูกต้อง: ข้อ ก. Acetazolamide 250 mg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2" t="n"/>
      <c r="L44" s="2" t="inlineStr">
        <is>
          <t>Glaucoma, Cataract</t>
        </is>
      </c>
      <c r="M44" s="2" t="inlineStr">
        <is>
          <t>Clinic</t>
        </is>
      </c>
      <c r="N44" s="2" t="inlineStr">
        <is>
          <t>ข้อ 4 (PLE_CC1_Key_Rx20_UBU.md)</t>
        </is>
      </c>
      <c r="O44" s="2" t="n"/>
      <c r="P44" s="2" t="n"/>
    </row>
    <row r="45" ht="13.2" customHeight="1" s="49">
      <c r="A45" s="8" t="inlineStr">
        <is>
          <t>44</t>
        </is>
      </c>
      <c r="B45" s="2" t="inlineStr">
        <is>
          <t>Prednisolone eye drop + Naphazoline eye drop</t>
        </is>
      </c>
      <c r="C45" s="2" t="n"/>
      <c r="D45" s="2" t="inlineStr">
        <is>
          <t>Brimonidine 0.2% eye drops 1 drop BID</t>
        </is>
      </c>
      <c r="E45" s="2" t="inlineStr">
        <is>
          <t>Dorzolamide 2% eye drops 1 drop BID</t>
        </is>
      </c>
      <c r="F45" s="2" t="inlineStr">
        <is>
          <t>Tobramycin 0.3% eye drops 1 drop QID</t>
        </is>
      </c>
      <c r="G45" s="2" t="inlineStr">
        <is>
          <t>Chloramphenicol 0.5% eye drops 1 drop QID</t>
        </is>
      </c>
      <c r="H45" s="2" t="inlineStr">
        <is>
          <t>Artificial tears 1 drop QID</t>
        </is>
      </c>
      <c r="I45" s="8" t="n">
        <v>1</v>
      </c>
      <c r="J45" s="2" t="inlineStr">
        <is>
          <t>✅ คำตอบที่ถูกต้อง: ข้อ ก. Brimonidine 0.2%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2" t="n"/>
      <c r="L45" s="2" t="inlineStr">
        <is>
          <t>Glaucoma, Cataract</t>
        </is>
      </c>
      <c r="M45" s="2" t="inlineStr">
        <is>
          <t>Clinic</t>
        </is>
      </c>
      <c r="N45" s="2" t="inlineStr">
        <is>
          <t>ข้อ 2 (PLE_CC1_Key_Rx20_UBU.md)</t>
        </is>
      </c>
      <c r="O45" s="2" t="n"/>
      <c r="P45" s="2" t="n"/>
    </row>
    <row r="46" ht="13.2" customHeight="1" s="49">
      <c r="A46" s="8" t="inlineStr">
        <is>
          <t>45</t>
        </is>
      </c>
      <c r="B46" s="2" t="inlineStr">
        <is>
          <t>ยาหยอดตาที่มีสGวนผสมของ Prednisolone เภสัชกรสามารถจGายในร$านยาได$หรือไมG</t>
        </is>
      </c>
      <c r="C46" s="2" t="n"/>
      <c r="D46" s="2" t="inlineStr">
        <is>
          <t>Chloramphenicol 0.5% eye drops 1 drop QID</t>
        </is>
      </c>
      <c r="E46" s="2" t="inlineStr">
        <is>
          <t>Artificial tears 1 drop QID</t>
        </is>
      </c>
      <c r="F46" s="2" t="inlineStr">
        <is>
          <t>Antazoline/Tetrahydrozoline eye drops 1 drop TID</t>
        </is>
      </c>
      <c r="G46" s="2" t="inlineStr">
        <is>
          <t>Prednisolone acetate 1% eye drops</t>
        </is>
      </c>
      <c r="H46" s="2" t="inlineStr">
        <is>
          <t>Acetazolamide 250 mg BID</t>
        </is>
      </c>
      <c r="I46" s="8" t="n">
        <v>1</v>
      </c>
      <c r="J46" s="2" t="inlineStr">
        <is>
          <t>✅ คำตอบที่ถูกต้อง: ข้อ ก. Chloramphenicol 0.5%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2" t="n"/>
      <c r="L46" s="2" t="inlineStr">
        <is>
          <t>Glaucoma, Cataract</t>
        </is>
      </c>
      <c r="M46" s="2" t="inlineStr">
        <is>
          <t>Clinic</t>
        </is>
      </c>
      <c r="N46" s="2" t="inlineStr">
        <is>
          <t>ข้อ 29 (PLE_CC1_Key_Rx20_UBU.md)</t>
        </is>
      </c>
      <c r="O46" s="2" t="n"/>
      <c r="P46" s="2" t="n"/>
    </row>
    <row r="47" ht="13.2" customHeight="1" s="49">
      <c r="A47" s="8" t="inlineStr">
        <is>
          <t>46</t>
        </is>
      </c>
      <c r="B47" s="2"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7" s="2" t="n"/>
      <c r="D47" s="2" t="inlineStr">
        <is>
          <t>Prednisolone acetate 1% eye drops</t>
        </is>
      </c>
      <c r="E47" s="2" t="inlineStr">
        <is>
          <t>Acetazolamide 250 mg BID</t>
        </is>
      </c>
      <c r="F47" s="2" t="inlineStr">
        <is>
          <t>Timolol 0.5% eye drops 1 drop BID</t>
        </is>
      </c>
      <c r="G47" s="2" t="inlineStr">
        <is>
          <t>Latanoprost 0.005% eye drops 1 drop HS</t>
        </is>
      </c>
      <c r="H47" s="2" t="inlineStr">
        <is>
          <t>Brimonidine 0.2% eye drops 1 drop BID</t>
        </is>
      </c>
      <c r="I47" s="8" t="n">
        <v>1</v>
      </c>
      <c r="J4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2" t="n"/>
      <c r="L47" s="2" t="inlineStr">
        <is>
          <t>Glaucoma, Cataract</t>
        </is>
      </c>
      <c r="M47" s="2" t="inlineStr">
        <is>
          <t>Clinic</t>
        </is>
      </c>
      <c r="N47" s="2" t="inlineStr">
        <is>
          <t>ข้อ 30 (PLE_CC1_Key_Rx20_UBU.md)</t>
        </is>
      </c>
      <c r="O47" s="2" t="n"/>
      <c r="P47" s="2" t="n"/>
    </row>
    <row r="48" ht="13.2" customHeight="1" s="49">
      <c r="A48" s="8" t="inlineStr">
        <is>
          <t>47</t>
        </is>
      </c>
      <c r="B48" s="2" t="inlineStr">
        <is>
          <t>Corticosteroid eye drops</t>
        </is>
      </c>
      <c r="C48" s="2" t="n"/>
      <c r="D48" s="2" t="inlineStr">
        <is>
          <t>Latanoprost 0.005% eye drops 1 drop HS</t>
        </is>
      </c>
      <c r="E48" s="2" t="inlineStr">
        <is>
          <t>Brimonidine 0.2% eye drops 1 drop BID</t>
        </is>
      </c>
      <c r="F48" s="2" t="inlineStr">
        <is>
          <t>Dorzolamide 2% eye drops 1 drop BID</t>
        </is>
      </c>
      <c r="G48" s="2" t="inlineStr">
        <is>
          <t>Tobramycin 0.3% eye drops 1 drop QID</t>
        </is>
      </c>
      <c r="H48" s="2" t="inlineStr">
        <is>
          <t>Chloramphenicol 0.5% eye drops 1 drop QID</t>
        </is>
      </c>
      <c r="I48" s="8" t="n">
        <v>1</v>
      </c>
      <c r="J4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2" t="n"/>
      <c r="L48" s="2" t="inlineStr">
        <is>
          <t>Glaucoma, Cataract</t>
        </is>
      </c>
      <c r="M48" s="2" t="inlineStr">
        <is>
          <t>Clinic</t>
        </is>
      </c>
      <c r="N48" s="2" t="inlineStr">
        <is>
          <t>ข้อ 4 (PLE_CC1_Key_Rx20_UBU.md)</t>
        </is>
      </c>
      <c r="O48" s="2" t="n"/>
      <c r="P48" s="2" t="n"/>
    </row>
    <row r="49" ht="13.2" customHeight="1" s="49">
      <c r="A49" t="n">
        <v>48</v>
      </c>
      <c r="B49" t="inlineStr">
        <is>
          <t>ข้อใดต่อไปนี้ ไม่ใช่ ยาในกลุ่ม ophthalmic vasoconstrictors</t>
        </is>
      </c>
      <c r="D49" t="inlineStr">
        <is>
          <t>Phenylephrine</t>
        </is>
      </c>
      <c r="E49" t="inlineStr">
        <is>
          <t>Oxymetazoline</t>
        </is>
      </c>
      <c r="F49" t="inlineStr">
        <is>
          <t>Naphazoline</t>
        </is>
      </c>
      <c r="G49" t="inlineStr">
        <is>
          <t>Tetrahydrozoline</t>
        </is>
      </c>
      <c r="H49" t="inlineStr">
        <is>
          <t>Antazoline pharmacotherapy Rx30 care&amp; Rx31 science,Pharmacy, PSU)</t>
        </is>
      </c>
      <c r="I49" t="inlineStr">
        <is>
          <t>5</t>
        </is>
      </c>
      <c r="J49"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49" t="inlineStr">
        <is>
          <t>Hypertension</t>
        </is>
      </c>
      <c r="M49" t="inlineStr">
        <is>
          <t>Clinic</t>
        </is>
      </c>
      <c r="N49" t="inlineStr">
        <is>
          <t>ข้อ 4 (PLE_CC1_2554 SET2.md)</t>
        </is>
      </c>
    </row>
    <row r="50" ht="13.2" customHeight="1" s="49">
      <c r="A50" t="n">
        <v>49</v>
      </c>
      <c r="B50"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D50" t="inlineStr">
        <is>
          <t>0.015 g</t>
        </is>
      </c>
      <c r="E50" t="inlineStr">
        <is>
          <t>0.45 g</t>
        </is>
      </c>
      <c r="F50" t="inlineStr">
        <is>
          <t>0.435 g</t>
        </is>
      </c>
      <c r="G50" t="inlineStr">
        <is>
          <t>0.465 g</t>
        </is>
      </c>
      <c r="H50" t="inlineStr">
        <is>
          <t>0.9 g NaCl จาก gentamicin = 1x50x0.3 = 15 mg = 0.015 g NaCl ใน 50 mL = 50/100x0.9 = 0.45g ต้องเติม NaCl อีก 0.45-0.015 = 0.435g (ref: ชีท Isotonic buffer อ.ศิริรัศมิ์)</t>
        </is>
      </c>
      <c r="I50" t="inlineStr">
        <is>
          <t>3</t>
        </is>
      </c>
      <c r="J50"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50" t="inlineStr">
        <is>
          <t>Hypertension</t>
        </is>
      </c>
      <c r="M50" t="inlineStr">
        <is>
          <t>Clinic</t>
        </is>
      </c>
      <c r="N50" t="inlineStr">
        <is>
          <t>ข้อ 8 (PLE_CC1_2554 SET2.md)</t>
        </is>
      </c>
    </row>
    <row r="51" ht="13.2" customHeight="1" s="49"/>
    <row r="52" ht="13.2" customHeight="1" s="49"/>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104"/>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8" t="inlineStr">
        <is>
          <t>1</t>
        </is>
      </c>
      <c r="B3"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2" t="n"/>
      <c r="D3" s="2" t="inlineStr">
        <is>
          <t>Cisplatin 50 mg และ vinblastine 6 mg</t>
        </is>
      </c>
      <c r="E3" s="2" t="inlineStr">
        <is>
          <t>Cisplatin 100 mg และ vinblastine 12 mg</t>
        </is>
      </c>
      <c r="F3" s="2" t="inlineStr">
        <is>
          <t>Cisplatin 125 mg และ vinblastine 18 mg</t>
        </is>
      </c>
      <c r="G3" s="2" t="inlineStr">
        <is>
          <t>Cisplatin 150 mg และ vinblastine 24 mg</t>
        </is>
      </c>
      <c r="H3" s="2" t="inlineStr">
        <is>
          <t>Cisplatin 175 mg และ vinblastine 48 mg</t>
        </is>
      </c>
      <c r="I3" s="8" t="n">
        <v>2</v>
      </c>
      <c r="J3" s="2" t="inlineStr">
        <is>
          <t>✅ คำตอบที่ถูกต้อง: ข้อ ข. Cisplatin 100 mg และ vinblastine 12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2" t="n"/>
      <c r="L3" s="2" t="inlineStr">
        <is>
          <t>CINV &amp; Supportive Care</t>
        </is>
      </c>
      <c r="M3" s="2" t="inlineStr">
        <is>
          <t>Clinic</t>
        </is>
      </c>
      <c r="N3" s="2" t="inlineStr">
        <is>
          <t>ข้อ 1 Pharma Plus เล่มม่วง (เฉลยข้อ ข)</t>
        </is>
      </c>
      <c r="O3" s="2" t="n"/>
      <c r="P3" s="2" t="n"/>
    </row>
    <row r="4" ht="13.2" customHeight="1" s="49">
      <c r="A4" s="8" t="inlineStr">
        <is>
          <t>2</t>
        </is>
      </c>
      <c r="B4"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2" t="n"/>
      <c r="D4" s="2" t="inlineStr">
        <is>
          <t>ยับยั้งการสร้าง mitotic spindle</t>
        </is>
      </c>
      <c r="E4" s="2" t="inlineStr">
        <is>
          <t>ยับยั้งเอนไซม์ topoisomerase II</t>
        </is>
      </c>
      <c r="F4" s="2" t="inlineStr">
        <is>
          <t>แทนที่ลำดับเบสบน DNA หรือ RNA</t>
        </is>
      </c>
      <c r="G4" s="2" t="inlineStr">
        <is>
          <t>เข้าแทรกบนสาย double strand DNA</t>
        </is>
      </c>
      <c r="H4" s="2" t="inlineStr">
        <is>
          <t>เป็นอนุมูลอิสระรบกวน DNA</t>
        </is>
      </c>
      <c r="I4" s="8" t="n">
        <v>1</v>
      </c>
      <c r="J4" s="2" t="inlineStr">
        <is>
          <t>✅ คำตอบที่ถูกต้อง: ข้อ ก.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2" t="n"/>
      <c r="L4" s="2" t="inlineStr">
        <is>
          <t>CINV &amp; Supportive Care</t>
        </is>
      </c>
      <c r="M4" s="2" t="inlineStr">
        <is>
          <t>Clinic</t>
        </is>
      </c>
      <c r="N4" s="2" t="inlineStr">
        <is>
          <t>ข้อ 2 Pharma Plus เล่มม่วง (เฉลยข้อ )</t>
        </is>
      </c>
      <c r="O4" s="2" t="n"/>
      <c r="P4" s="2" t="n"/>
    </row>
    <row r="5" ht="13.2" customHeight="1" s="49">
      <c r="A5" s="8" t="inlineStr">
        <is>
          <t>3</t>
        </is>
      </c>
      <c r="B5"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2" t="n"/>
      <c r="D5" s="2" t="inlineStr">
        <is>
          <t>ยับยั้ง RNA หรือ DNA</t>
        </is>
      </c>
      <c r="E5" s="2" t="inlineStr">
        <is>
          <t>ยับยั้งการสร้าง mitotic spindle</t>
        </is>
      </c>
      <c r="F5" s="2" t="inlineStr">
        <is>
          <t>ทำลายเอนไซม์ topoisomerase II</t>
        </is>
      </c>
      <c r="G5" s="2" t="inlineStr">
        <is>
          <t>เป็นอนุมูลอิสระรบกวน DNA</t>
        </is>
      </c>
      <c r="H5" s="2" t="inlineStr">
        <is>
          <t>ยับยั้ง dihydrofolate reductase</t>
        </is>
      </c>
      <c r="I5" s="8" t="n">
        <v>2</v>
      </c>
      <c r="J5" s="2" t="inlineStr">
        <is>
          <t>✅ คำตอบที่ถูกต้อง: ข้อ ข.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2" t="n"/>
      <c r="L5" s="2" t="inlineStr">
        <is>
          <t>CINV &amp; Supportive Care</t>
        </is>
      </c>
      <c r="M5" s="2" t="inlineStr">
        <is>
          <t>Clinic</t>
        </is>
      </c>
      <c r="N5" s="2" t="inlineStr">
        <is>
          <t>ข้อ 3 Pharma Plus เล่มม่วง (เฉลยข้อ ข)</t>
        </is>
      </c>
      <c r="O5" s="2" t="n"/>
      <c r="P5" s="2" t="n"/>
    </row>
    <row r="6" ht="13.2" customHeight="1" s="49">
      <c r="A6" s="8" t="inlineStr">
        <is>
          <t>4</t>
        </is>
      </c>
      <c r="B6"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2" t="n"/>
      <c r="D6" s="2" t="inlineStr">
        <is>
          <t>ให้ metoclopramide แบบ IV ครึ่งชั่วโมงก่อนให้ยา cisplatin</t>
        </is>
      </c>
      <c r="E6" s="2" t="inlineStr">
        <is>
          <t>ควรฉีด cisplatin แบบ IV push</t>
        </is>
      </c>
      <c r="F6" s="2" t="inlineStr">
        <is>
          <t>ให้ diphenhydramine แบบ oral ก่อนให้ cisplatin</t>
        </is>
      </c>
      <c r="G6" s="2" t="inlineStr">
        <is>
          <t>ให้ NSS ก่อนให้ cisplatin</t>
        </is>
      </c>
      <c r="H6" s="2" t="inlineStr">
        <is>
          <t>ให้ D5W ก่อนให้ cisplatin</t>
        </is>
      </c>
      <c r="I6" s="8" t="n">
        <v>1</v>
      </c>
      <c r="J6" s="2" t="inlineStr">
        <is>
          <t>✅ คำตอบที่ถูกต้อง: ข้อ ก. ให้ metoclopramide แบบ IV ครึ่งชั่วโมงก่อนให้ยา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2" t="n"/>
      <c r="L6" s="2" t="inlineStr">
        <is>
          <t>CINV &amp; Supportive Care</t>
        </is>
      </c>
      <c r="M6" s="2" t="inlineStr">
        <is>
          <t>Clinic</t>
        </is>
      </c>
      <c r="N6" s="2" t="inlineStr">
        <is>
          <t>ข้อ 4 Pharma Plus เล่มม่วง (เฉลยข้อ ก)</t>
        </is>
      </c>
      <c r="O6" s="2" t="n"/>
      <c r="P6" s="2" t="n"/>
    </row>
    <row r="7" ht="13.2" customHeight="1" s="49">
      <c r="A7" s="8" t="inlineStr">
        <is>
          <t>5</t>
        </is>
      </c>
      <c r="B7" s="2" t="inlineStr">
        <is>
          <t>จากโครงสร้างของยา Gemcitabine เป็นอนุพันธ์ของอะไร</t>
        </is>
      </c>
      <c r="C7" s="2" t="n"/>
      <c r="D7" s="2" t="inlineStr">
        <is>
          <t>Acyclonucleoside analog</t>
        </is>
      </c>
      <c r="E7" s="2" t="inlineStr">
        <is>
          <t>Pyrimidine nucleoside analog</t>
        </is>
      </c>
      <c r="F7" s="2" t="inlineStr">
        <is>
          <t>Pyrimidine nucleotide analog</t>
        </is>
      </c>
      <c r="G7" s="2" t="inlineStr">
        <is>
          <t>Purine nucleotide analog</t>
        </is>
      </c>
      <c r="H7" s="2" t="inlineStr">
        <is>
          <t>Purine nucleoside analog</t>
        </is>
      </c>
      <c r="I7" s="8" t="n">
        <v>2</v>
      </c>
      <c r="J7" s="2" t="inlineStr">
        <is>
          <t>✅ คำตอบที่ถูกต้อง: ข้อ ข. Pyrimidine nucleoside analog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CINV &amp; Supportive Care</t>
        </is>
      </c>
      <c r="M7" s="2" t="inlineStr">
        <is>
          <t>Clinic</t>
        </is>
      </c>
      <c r="N7" s="2" t="inlineStr">
        <is>
          <t>ข้อ 5 Pharma Plus เล่มม่วง (เฉลยข้อ ข)</t>
        </is>
      </c>
      <c r="O7" s="2" t="n"/>
      <c r="P7" s="2" t="n"/>
    </row>
    <row r="8" ht="13.2" customHeight="1" s="49">
      <c r="A8" s="8" t="inlineStr">
        <is>
          <t>6</t>
        </is>
      </c>
      <c r="B8" s="2" t="inlineStr">
        <is>
          <t>จากโครงสร้างของยา 5 ตัวที่ออกฤทธิ์คือ</t>
        </is>
      </c>
      <c r="C8" s="2" t="n"/>
      <c r="D8" s="2" t="inlineStr">
        <is>
          <t>Deoxygemcitabine</t>
        </is>
      </c>
      <c r="E8" s="2" t="inlineStr">
        <is>
          <t>Gemcitabine monophosphate</t>
        </is>
      </c>
      <c r="F8" s="2" t="inlineStr">
        <is>
          <t>Gemcitabine diphosphate</t>
        </is>
      </c>
      <c r="G8" s="2" t="inlineStr">
        <is>
          <t>Gemcitabine triphosphate</t>
        </is>
      </c>
      <c r="H8" s="2" t="inlineStr">
        <is>
          <t>Gemcitabine tetraphosphate</t>
        </is>
      </c>
      <c r="I8" s="8" t="n">
        <v>4</v>
      </c>
      <c r="J8" s="2" t="inlineStr">
        <is>
          <t>✅ คำตอบที่ถูกต้อง: ข้อ ง. Gemcitabine triphosphate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CINV &amp; Supportive Care</t>
        </is>
      </c>
      <c r="M8" s="2" t="inlineStr">
        <is>
          <t>Clinic</t>
        </is>
      </c>
      <c r="N8" s="2" t="inlineStr">
        <is>
          <t>ข้อ 6 Pharma Plus เล่มม่วง (เฉลยข้อ ง)</t>
        </is>
      </c>
      <c r="O8" s="2" t="n"/>
      <c r="P8" s="2" t="n"/>
    </row>
    <row r="9" ht="13.2" customHeight="1" s="49">
      <c r="A9" s="8" t="inlineStr">
        <is>
          <t>7</t>
        </is>
      </c>
      <c r="B9" s="2" t="inlineStr">
        <is>
          <t>จากการใช้ยาเคมีบำบัด หากมีความผิดปกติของตับจะ monitor จากค่า lab ใด</t>
        </is>
      </c>
      <c r="C9" s="2" t="n"/>
      <c r="D9" s="2" t="inlineStr">
        <is>
          <t>BUN</t>
        </is>
      </c>
      <c r="E9" s="2" t="inlineStr">
        <is>
          <t>Serum creatinine</t>
        </is>
      </c>
      <c r="F9" s="2" t="inlineStr">
        <is>
          <t>Serum albumin</t>
        </is>
      </c>
      <c r="G9" s="2" t="inlineStr">
        <is>
          <t>Serum bilirubin</t>
        </is>
      </c>
      <c r="H9" s="2" t="inlineStr">
        <is>
          <t>Transferrin</t>
        </is>
      </c>
      <c r="I9" s="8" t="n">
        <v>3</v>
      </c>
      <c r="J9" s="2" t="inlineStr">
        <is>
          <t>✅ คำตอบที่ถูกต้อง: ข้อ ค. Serum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CINV &amp; Supportive Care</t>
        </is>
      </c>
      <c r="M9" s="2" t="inlineStr">
        <is>
          <t>Clinic</t>
        </is>
      </c>
      <c r="N9" s="2" t="inlineStr">
        <is>
          <t>ข้อ 7 Pharma Plus เล่มม่วง (เฉลยข้อ ค ง)</t>
        </is>
      </c>
      <c r="O9" s="2" t="n"/>
      <c r="P9" s="2" t="n"/>
    </row>
    <row r="10" ht="13.2" customHeight="1" s="49">
      <c r="A10" s="8" t="inlineStr">
        <is>
          <t>8</t>
        </is>
      </c>
      <c r="B10" s="2" t="inlineStr">
        <is>
          <t>ยา vincristine ออกฤทธิ์ยับยั้งการเจริญของเซลล์มะเร็งที่ระยะ(phase) ใดของ cell cycle</t>
        </is>
      </c>
      <c r="C10" s="2" t="n"/>
      <c r="D10" s="2" t="inlineStr">
        <is>
          <t>S phase</t>
        </is>
      </c>
      <c r="E10" s="2" t="inlineStr">
        <is>
          <t>G1 phase</t>
        </is>
      </c>
      <c r="F10" s="2" t="inlineStr">
        <is>
          <t>G2 phase</t>
        </is>
      </c>
      <c r="G10" s="2" t="inlineStr">
        <is>
          <t>M phase</t>
        </is>
      </c>
      <c r="H10" s="2" t="inlineStr">
        <is>
          <t>Go phase</t>
        </is>
      </c>
      <c r="I10" s="8" t="n">
        <v>4</v>
      </c>
      <c r="J10" s="2" t="inlineStr">
        <is>
          <t>✅ คำตอบที่ถูกต้อง: ข้อ ง. M phase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2" t="n"/>
      <c r="L10" s="2" t="inlineStr">
        <is>
          <t>CINV &amp; Supportive Care</t>
        </is>
      </c>
      <c r="M10" s="2" t="inlineStr">
        <is>
          <t>Clinic</t>
        </is>
      </c>
      <c r="N10" s="2" t="inlineStr">
        <is>
          <t>ข้อ 8 Pharma Plus เล่มม่วง (เฉลยข้อ ง)</t>
        </is>
      </c>
      <c r="O10" s="2" t="n"/>
      <c r="P10" s="2" t="n"/>
    </row>
    <row r="11" ht="13.2" customHeight="1" s="49">
      <c r="A11" s="8" t="inlineStr">
        <is>
          <t>9</t>
        </is>
      </c>
      <c r="B11" s="2"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2" t="n"/>
      <c r="D11" s="2" t="inlineStr">
        <is>
          <t>20 mg q 24 hr.</t>
        </is>
      </c>
      <c r="E11" s="2" t="inlineStr">
        <is>
          <t>60 mg q 12 hr.</t>
        </is>
      </c>
      <c r="F11" s="2" t="inlineStr">
        <is>
          <t>60 mg q 24 hr.</t>
        </is>
      </c>
      <c r="G11" s="2" t="inlineStr">
        <is>
          <t>80 mg q 12 hr.</t>
        </is>
      </c>
      <c r="H11" s="2" t="inlineStr">
        <is>
          <t>80 mg q 24 hr.</t>
        </is>
      </c>
      <c r="I11" s="8" t="n">
        <v>3</v>
      </c>
      <c r="J11" s="2" t="inlineStr">
        <is>
          <t>✅ คำตอบที่ถูกต้อง: ข้อ ค. 60 mg q 24 hr.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CINV &amp; Supportive Care</t>
        </is>
      </c>
      <c r="M11" s="2" t="inlineStr">
        <is>
          <t>Clinic</t>
        </is>
      </c>
      <c r="N11" s="2" t="inlineStr">
        <is>
          <t>ข้อ 9 Pharma Plus เล่มม่วง (เฉลยข้อ ค)</t>
        </is>
      </c>
      <c r="O11" s="2" t="n"/>
      <c r="P11" s="2" t="n"/>
    </row>
    <row r="12" ht="13.2" customHeight="1" s="49">
      <c r="A12" s="8" t="inlineStr">
        <is>
          <t>10</t>
        </is>
      </c>
      <c r="B12" s="2" t="inlineStr">
        <is>
          <t>Antidote หรือยาต้านพิษของ morphine คือยาใด</t>
        </is>
      </c>
      <c r="C12" s="2" t="n"/>
      <c r="D12" s="2" t="inlineStr">
        <is>
          <t>Mesna 400 mg IV stat</t>
        </is>
      </c>
      <c r="E12" s="2" t="inlineStr">
        <is>
          <t>Rasburicase 0.2 mg/kg IV</t>
        </is>
      </c>
      <c r="F12" s="2" t="inlineStr">
        <is>
          <t>Palonosetron 0.25 mg IV stat</t>
        </is>
      </c>
      <c r="G12" s="2" t="inlineStr">
        <is>
          <t>Ondansetron 8 mg IV stat</t>
        </is>
      </c>
      <c r="H12" s="2" t="inlineStr">
        <is>
          <t>Aprepitant 125 mg PO stat</t>
        </is>
      </c>
      <c r="I12" s="8" t="n">
        <v>4</v>
      </c>
      <c r="J12" s="2"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CINV &amp; Supportive Care</t>
        </is>
      </c>
      <c r="M12" s="2" t="inlineStr">
        <is>
          <t>Clinic</t>
        </is>
      </c>
      <c r="N12" s="2" t="inlineStr">
        <is>
          <t>ข้อ 10 Pharma Plus เล่มม่วง (เฉลยข้อ ง)</t>
        </is>
      </c>
      <c r="O12" s="2" t="n"/>
      <c r="P12" s="2" t="n"/>
    </row>
    <row r="13" ht="13.2" customHeight="1" s="49">
      <c r="A13" s="8" t="inlineStr">
        <is>
          <t>11</t>
        </is>
      </c>
      <c r="B13"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2" t="n"/>
      <c r="D13" s="2" t="inlineStr">
        <is>
          <t>Alkylation</t>
        </is>
      </c>
      <c r="E13" s="2" t="inlineStr">
        <is>
          <t>Antimetabolite</t>
        </is>
      </c>
      <c r="F13" s="2" t="inlineStr">
        <is>
          <t>Antimitotic spindle</t>
        </is>
      </c>
      <c r="G13" s="2" t="inlineStr">
        <is>
          <t>Anti-dihydrofolate reductase</t>
        </is>
      </c>
      <c r="H13" s="2" t="inlineStr">
        <is>
          <t>ไม่มีข้อใดถูก</t>
        </is>
      </c>
      <c r="I13" s="8" t="n">
        <v>1</v>
      </c>
      <c r="J13" s="2"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2" t="n"/>
      <c r="L13" s="2" t="inlineStr">
        <is>
          <t>CINV &amp; Supportive Care</t>
        </is>
      </c>
      <c r="M13" s="2" t="inlineStr">
        <is>
          <t>Clinic</t>
        </is>
      </c>
      <c r="N13" s="2" t="inlineStr">
        <is>
          <t>ข้อ 11 Pharma Plus เล่มม่วง (เฉลยข้อ ก)</t>
        </is>
      </c>
      <c r="O13" s="2" t="n"/>
      <c r="P13" s="2" t="n"/>
    </row>
    <row r="14" ht="13.2" customHeight="1" s="49">
      <c r="A14" s="8" t="inlineStr">
        <is>
          <t>12</t>
        </is>
      </c>
      <c r="B14"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2" t="n"/>
      <c r="D14" s="2" t="inlineStr">
        <is>
          <t>ความวิตกกังวล</t>
        </is>
      </c>
      <c r="E14" s="2" t="inlineStr">
        <is>
          <t>ประวัติ motion sickness</t>
        </is>
      </c>
      <c r="F14" s="2" t="inlineStr">
        <is>
          <t>ประวัติดื่ม alcohol</t>
        </is>
      </c>
      <c r="G14" s="2" t="inlineStr">
        <is>
          <t>ประวัติคลื่นไส้อาเจียนระหว่างตั้งครรภ์</t>
        </is>
      </c>
      <c r="H14" s="2" t="inlineStr">
        <is>
          <t>ประวัติคลื่นไส้อาเจียนเมื่อได้รับยาเคมีบำบัดครั้งก่อน</t>
        </is>
      </c>
      <c r="I14" s="8" t="n">
        <v>4</v>
      </c>
      <c r="J14" s="2"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2" t="n"/>
      <c r="L14" s="2" t="inlineStr">
        <is>
          <t>CINV &amp; Supportive Care</t>
        </is>
      </c>
      <c r="M14" s="2" t="inlineStr">
        <is>
          <t>Clinic</t>
        </is>
      </c>
      <c r="N14" s="2" t="inlineStr">
        <is>
          <t>ข้อ 12 Pharma Plus เล่มม่วง (เฉลยข้อ ง)</t>
        </is>
      </c>
      <c r="O14" s="2" t="n"/>
      <c r="P14" s="2" t="n"/>
    </row>
    <row r="15" ht="13.2" customHeight="1" s="49">
      <c r="A15" s="8" t="inlineStr">
        <is>
          <t>14</t>
        </is>
      </c>
      <c r="B15"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2" t="n"/>
      <c r="D15" s="2" t="inlineStr">
        <is>
          <t>Anorexia</t>
        </is>
      </c>
      <c r="E15" s="2" t="inlineStr">
        <is>
          <t>Neurotoxic</t>
        </is>
      </c>
      <c r="F15" s="2" t="inlineStr">
        <is>
          <t>Nephrotoxic</t>
        </is>
      </c>
      <c r="G15" s="2" t="inlineStr">
        <is>
          <t>Ototoxic</t>
        </is>
      </c>
      <c r="H15" s="2" t="inlineStr">
        <is>
          <t>Cardiotoxic</t>
        </is>
      </c>
      <c r="I15" s="8" t="n">
        <v>5</v>
      </c>
      <c r="J15" s="2"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2" t="n"/>
      <c r="L15" s="2" t="inlineStr">
        <is>
          <t>CINV &amp; Supportive Care</t>
        </is>
      </c>
      <c r="M15" s="2" t="inlineStr">
        <is>
          <t>Clinic</t>
        </is>
      </c>
      <c r="N15" s="2" t="inlineStr">
        <is>
          <t>ข้อ 14 Pharma Plus เล่มม่วง (เฉลยข้อ จ)</t>
        </is>
      </c>
      <c r="O15" s="2" t="n"/>
      <c r="P15" s="2" t="n"/>
    </row>
    <row r="16" ht="13.2" customHeight="1" s="49">
      <c r="A16" s="8" t="inlineStr">
        <is>
          <t>15</t>
        </is>
      </c>
      <c r="B16"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2" t="n"/>
      <c r="D16" s="2" t="inlineStr">
        <is>
          <t>500 cell/mm³</t>
        </is>
      </c>
      <c r="E16" s="2" t="inlineStr">
        <is>
          <t>750 cell/mm³</t>
        </is>
      </c>
      <c r="F16" s="2" t="inlineStr">
        <is>
          <t>1000 cell/mm³</t>
        </is>
      </c>
      <c r="G16" s="2" t="inlineStr">
        <is>
          <t>1250 cell/mm³</t>
        </is>
      </c>
      <c r="H16" s="2" t="inlineStr">
        <is>
          <t>1500 cell/mm³</t>
        </is>
      </c>
      <c r="I16" s="8" t="n">
        <v>3</v>
      </c>
      <c r="J16" s="2"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2" t="n"/>
      <c r="L16" s="2" t="inlineStr">
        <is>
          <t>CINV &amp; Supportive Care</t>
        </is>
      </c>
      <c r="M16" s="2" t="inlineStr">
        <is>
          <t>Clinic</t>
        </is>
      </c>
      <c r="N16" s="2" t="inlineStr">
        <is>
          <t>ข้อ 15 Pharma Plus เล่มม่วง (เฉลยข้อ ค)</t>
        </is>
      </c>
      <c r="O16" s="2" t="n"/>
      <c r="P16" s="2" t="n"/>
    </row>
    <row r="17" ht="13.2" customHeight="1" s="49">
      <c r="A17" s="8" t="inlineStr">
        <is>
          <t>16</t>
        </is>
      </c>
      <c r="B17" s="2"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2" t="n"/>
      <c r="D17" s="2" t="inlineStr">
        <is>
          <t>600</t>
        </is>
      </c>
      <c r="E17" s="2" t="inlineStr">
        <is>
          <t>700</t>
        </is>
      </c>
      <c r="F17" s="2" t="inlineStr">
        <is>
          <t>800</t>
        </is>
      </c>
      <c r="G17" s="2" t="inlineStr">
        <is>
          <t>900</t>
        </is>
      </c>
      <c r="H17" s="2" t="inlineStr">
        <is>
          <t>1000</t>
        </is>
      </c>
      <c r="I17" s="8" t="n">
        <v>3</v>
      </c>
      <c r="J17" s="2" t="inlineStr">
        <is>
          <t>✅ คำตอบที่ถูกต้อง: ข้อ ค. 800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2" t="n"/>
      <c r="L17" s="2" t="inlineStr">
        <is>
          <t>CINV &amp; Supportive Care</t>
        </is>
      </c>
      <c r="M17" s="2" t="inlineStr">
        <is>
          <t>Clinic</t>
        </is>
      </c>
      <c r="N17" s="2" t="inlineStr">
        <is>
          <t>ข้อ 16 Pharma Plus เล่มม่วง (เฉลยข้อ ค)</t>
        </is>
      </c>
      <c r="O17" s="2" t="n"/>
      <c r="P17" s="2" t="n"/>
    </row>
    <row r="18" ht="13.2" customHeight="1" s="49">
      <c r="A18" s="8" t="inlineStr">
        <is>
          <t>17</t>
        </is>
      </c>
      <c r="B18" s="2" t="inlineStr">
        <is>
          <t>MTX ออกฤทธิ์อย่างไร</t>
        </is>
      </c>
      <c r="C18" s="2" t="n"/>
      <c r="D18" s="8" t="inlineStr">
        <is>
          <t>Alkylating agent</t>
        </is>
      </c>
      <c r="E18" s="8" t="inlineStr">
        <is>
          <t>ยับยั้ง enzyme of dihydrofolate reductase</t>
        </is>
      </c>
      <c r="F18" s="8" t="inlineStr">
        <is>
          <t>ยับยั้ง enzyme of thymidylate synthase</t>
        </is>
      </c>
      <c r="G18" s="8" t="inlineStr">
        <is>
          <t>Depolarizing of microtubule</t>
        </is>
      </c>
      <c r="H18" s="8" t="inlineStr">
        <is>
          <t>Antagonist of estrogen receptor</t>
        </is>
      </c>
      <c r="I18" s="8" t="n">
        <v>2</v>
      </c>
      <c r="J18" s="2" t="inlineStr">
        <is>
          <t>✅ คำตอบที่ถูกต้อง: ข้อ ข. ยับยั้ง enzyme of dihydrofolate reductase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CINV &amp; Supportive Care</t>
        </is>
      </c>
      <c r="M18" s="2" t="inlineStr">
        <is>
          <t>Clinic</t>
        </is>
      </c>
      <c r="N18" s="2" t="inlineStr">
        <is>
          <t>ข้อ 17 Pharma Plus เล่มม่วง (เฉลยข้อ ข)</t>
        </is>
      </c>
      <c r="O18" s="2" t="n"/>
      <c r="P18" s="2" t="n"/>
    </row>
    <row r="19" ht="13.2" customHeight="1" s="49">
      <c r="A19" s="8" t="inlineStr">
        <is>
          <t>18</t>
        </is>
      </c>
      <c r="B19" s="2" t="inlineStr">
        <is>
          <t>Cyclophosphamide ออกฤทธิ์ในการเป็น alkylating agent เหมือนกับยาใด</t>
        </is>
      </c>
      <c r="C19" s="2" t="n"/>
      <c r="D19" s="2" t="inlineStr">
        <is>
          <t>Cytarabine</t>
        </is>
      </c>
      <c r="E19" s="2" t="inlineStr">
        <is>
          <t>Vincristine</t>
        </is>
      </c>
      <c r="F19" s="2" t="inlineStr">
        <is>
          <t>Cisplatin</t>
        </is>
      </c>
      <c r="G19" s="2" t="inlineStr">
        <is>
          <t>Paclitaxel</t>
        </is>
      </c>
      <c r="H19" s="2" t="inlineStr">
        <is>
          <t>Tamoxifen</t>
        </is>
      </c>
      <c r="I19" s="8" t="n">
        <v>3</v>
      </c>
      <c r="J19" s="2"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CINV &amp; Supportive Care</t>
        </is>
      </c>
      <c r="M19" s="2" t="inlineStr">
        <is>
          <t>Clinic</t>
        </is>
      </c>
      <c r="N19" s="2" t="inlineStr">
        <is>
          <t>ข้อ 18 Pharma Plus เล่มม่วง (เฉลยข้อ ค)</t>
        </is>
      </c>
      <c r="O19" s="2" t="n"/>
      <c r="P19" s="2" t="n"/>
    </row>
    <row r="20" ht="13.2" customHeight="1" s="49">
      <c r="A20" s="8" t="inlineStr">
        <is>
          <t>19</t>
        </is>
      </c>
      <c r="B20" s="2" t="inlineStr">
        <is>
          <t>ข้อใดใช้ในการป้องกันการเกิด stomatitis ในปากและทางเดินอาหารจากการได้รับยา 5-FU</t>
        </is>
      </c>
      <c r="C20" s="2" t="n"/>
      <c r="D20" s="2" t="inlineStr">
        <is>
          <t>Sucralfate</t>
        </is>
      </c>
      <c r="E20" s="2" t="inlineStr">
        <is>
          <t>Mesna</t>
        </is>
      </c>
      <c r="F20" s="2" t="inlineStr">
        <is>
          <t>Leucovorin</t>
        </is>
      </c>
      <c r="G20" s="2" t="inlineStr">
        <is>
          <t>Prednisolone</t>
        </is>
      </c>
      <c r="H20" s="2" t="inlineStr">
        <is>
          <t>Hyaluronidase</t>
        </is>
      </c>
      <c r="I20" s="8" t="n">
        <v>1</v>
      </c>
      <c r="J20" s="2" t="inlineStr">
        <is>
          <t>✅ คำตอบที่ถูกต้อง: ข้อ ก. Sucralfate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CINV &amp; Supportive Care</t>
        </is>
      </c>
      <c r="M20" s="2" t="inlineStr">
        <is>
          <t>Clinic</t>
        </is>
      </c>
      <c r="N20" s="2" t="inlineStr">
        <is>
          <t>ข้อ 19 Pharma Plus เล่มม่วง (เฉลยข้อ ก)</t>
        </is>
      </c>
      <c r="O20" s="2" t="n"/>
      <c r="P20" s="2" t="n"/>
    </row>
    <row r="21" ht="13.2" customHeight="1" s="49">
      <c r="A21" s="8" t="inlineStr">
        <is>
          <t>20</t>
        </is>
      </c>
      <c r="B21" s="2"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2" t="n"/>
      <c r="D21" s="2" t="inlineStr">
        <is>
          <t>150</t>
        </is>
      </c>
      <c r="E21" s="2" t="inlineStr">
        <is>
          <t>175</t>
        </is>
      </c>
      <c r="F21" s="2" t="inlineStr">
        <is>
          <t>200</t>
        </is>
      </c>
      <c r="G21" s="2" t="inlineStr">
        <is>
          <t>225</t>
        </is>
      </c>
      <c r="H21" s="2" t="inlineStr">
        <is>
          <t>250</t>
        </is>
      </c>
      <c r="I21" s="8" t="n">
        <v>2</v>
      </c>
      <c r="J21" s="2"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2" t="n"/>
      <c r="L21" s="2" t="inlineStr">
        <is>
          <t>CINV &amp; Supportive Care</t>
        </is>
      </c>
      <c r="M21" s="2" t="inlineStr">
        <is>
          <t>Clinic</t>
        </is>
      </c>
      <c r="N21" s="2" t="inlineStr">
        <is>
          <t>ข้อ 20 Pharma Plus เล่มม่วง (เฉลยข้อ ข)</t>
        </is>
      </c>
      <c r="O21" s="2" t="n"/>
      <c r="P21" s="2" t="n"/>
    </row>
    <row r="22" ht="13.2" customHeight="1" s="49">
      <c r="A22" s="8" t="inlineStr">
        <is>
          <t>22</t>
        </is>
      </c>
      <c r="B22" s="2" t="inlineStr">
        <is>
          <t>กลไกการออกฤทธิ์ของยา cisplatin คือ</t>
        </is>
      </c>
      <c r="C22" s="2" t="n"/>
      <c r="D22" s="8" t="inlineStr">
        <is>
          <t>Alkylating agent</t>
        </is>
      </c>
      <c r="E22" s="8" t="inlineStr">
        <is>
          <t>Topoisomerase II inhibitor</t>
        </is>
      </c>
      <c r="F22" s="8" t="inlineStr">
        <is>
          <t>Antimetabolite</t>
        </is>
      </c>
      <c r="G22" s="8" t="inlineStr">
        <is>
          <t>Intercalating agent</t>
        </is>
      </c>
      <c r="H22" s="8" t="inlineStr">
        <is>
          <t>Inhibitor of mitosis</t>
        </is>
      </c>
      <c r="I22" s="8" t="n">
        <v>1</v>
      </c>
      <c r="J22" s="2" t="inlineStr">
        <is>
          <t>✅ คำตอบที่ถูกต้อง: ข้อ ก.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2" t="n"/>
      <c r="L22" s="2" t="inlineStr">
        <is>
          <t>CINV &amp; Supportive Care</t>
        </is>
      </c>
      <c r="M22" s="2" t="inlineStr">
        <is>
          <t>Clinic</t>
        </is>
      </c>
      <c r="N22" s="2" t="inlineStr">
        <is>
          <t>ข้อ 22 Pharma Plus เล่มม่วง (เฉลยข้อ ก)</t>
        </is>
      </c>
      <c r="O22" s="2" t="n"/>
      <c r="P22" s="2" t="n"/>
    </row>
    <row r="23" ht="13.2" customHeight="1" s="49">
      <c r="A23" s="8" t="inlineStr">
        <is>
          <t>23</t>
        </is>
      </c>
      <c r="B23" s="2" t="inlineStr">
        <is>
          <t>ยา cisplatin เป็นยาที่มีผลพิษต่อไต (nephrotoxicity) การป้องกันสามารถทำได้หลายประการต่อไปนี้ ยกเว้น</t>
        </is>
      </c>
      <c r="C23" s="2" t="n"/>
      <c r="D23" s="2" t="inlineStr">
        <is>
          <t>การให้สารน้ำปริมาตรมากก่อนและหลังให้ยา</t>
        </is>
      </c>
      <c r="E23" s="2" t="inlineStr">
        <is>
          <t>ให้สารละลายปริมาตรมากพร้อม magnesium</t>
        </is>
      </c>
      <c r="F23" s="2" t="inlineStr">
        <is>
          <t>การให้ osmotic diuretic เช่น mannitol</t>
        </is>
      </c>
      <c r="G23" s="2" t="inlineStr">
        <is>
          <t>การเตรียม cisplatin ด้วยสารละลาย sodium chloride</t>
        </is>
      </c>
      <c r="H23" s="2" t="inlineStr">
        <is>
          <t>ให้สารละลายปริมาตรมากร่วมกับ sodium</t>
        </is>
      </c>
      <c r="I23" s="8" t="n">
        <v>3</v>
      </c>
      <c r="J23" s="2" t="inlineStr">
        <is>
          <t>✅ คำตอบที่ถูกต้อง: ข้อ ค. การให้ osmotic diuretic เช่น mannitol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2" t="n"/>
      <c r="L23" s="2" t="inlineStr">
        <is>
          <t>CINV &amp; Supportive Care</t>
        </is>
      </c>
      <c r="M23" s="2" t="inlineStr">
        <is>
          <t>Clinic</t>
        </is>
      </c>
      <c r="N23" s="2" t="inlineStr">
        <is>
          <t>ข้อ 23 Pharma Plus เล่มม่วง (เฉลยข้อ ค จ)</t>
        </is>
      </c>
      <c r="O23" s="2" t="n"/>
      <c r="P23" s="2" t="n"/>
    </row>
    <row r="24" ht="13.2" customHeight="1" s="49">
      <c r="A24" s="8" t="inlineStr">
        <is>
          <t>24</t>
        </is>
      </c>
      <c r="B24" s="2"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2" t="n"/>
      <c r="D24" s="2" t="inlineStr">
        <is>
          <t>ให้ยากลุ่ม weak opioid ร่วมกับ fentanyl transdermal patch</t>
        </is>
      </c>
      <c r="E24" s="2" t="inlineStr">
        <is>
          <t>เริ่มด้วย aspirin หรือ piroxicam หากไม่ดีขึ้นจึงใช้ tramadol หรือ morphine</t>
        </is>
      </c>
      <c r="F24" s="2" t="inlineStr">
        <is>
          <t>ให้ fentanyl ร่วมกับยากลุ่ม COX2-Inhibitor เนื่องจาก vincristine มีผลข้างเคียงกับระบบทางเดินอาหาร</t>
        </is>
      </c>
      <c r="G24" s="2" t="inlineStr">
        <is>
          <t>ให้ได้เฉพาะยากลุ่ม NSAIDs เนื่องจากผลข้างเคียงของ vincristine มีฤทธิ์กดการหายใจ</t>
        </is>
      </c>
      <c r="H24" s="2" t="inlineStr">
        <is>
          <t>ให้ morphine เพราะ vincristine จะทำให้เกิดอาการปวดอย่างรุนแรง</t>
        </is>
      </c>
      <c r="I24" s="8" t="n">
        <v>2</v>
      </c>
      <c r="J24" s="2" t="inlineStr">
        <is>
          <t>✅ คำตอบที่ถูกต้อง: ข้อ ข. เริ่มด้วย aspirin หรือ piroxicam หากไม่ดีขึ้นจึงใช้ tramadol หรือ morphine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2" t="n"/>
      <c r="L24" s="2" t="inlineStr">
        <is>
          <t>CINV &amp; Supportive Care</t>
        </is>
      </c>
      <c r="M24" s="2" t="inlineStr">
        <is>
          <t>Clinic</t>
        </is>
      </c>
      <c r="N24" s="2" t="inlineStr">
        <is>
          <t>ข้อ 24 Pharma Plus เล่มม่วง (เฉลยข้อ ข)</t>
        </is>
      </c>
      <c r="O24" s="2" t="n"/>
      <c r="P24" s="2" t="n"/>
    </row>
    <row r="25" ht="13.2" customHeight="1" s="49">
      <c r="A25" s="8" t="inlineStr">
        <is>
          <t>25</t>
        </is>
      </c>
      <c r="B25" s="2"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2" t="n"/>
      <c r="D25" s="2" t="inlineStr">
        <is>
          <t>คลื่นไส้ อาเจียน</t>
        </is>
      </c>
      <c r="E25" s="2" t="inlineStr">
        <is>
          <t>ง่วงซึม</t>
        </is>
      </c>
      <c r="F25" s="2" t="inlineStr">
        <is>
          <t>กดการหายใจ</t>
        </is>
      </c>
      <c r="G25" s="2" t="inlineStr">
        <is>
          <t>สับสน มึนงง</t>
        </is>
      </c>
      <c r="H25" s="2" t="inlineStr">
        <is>
          <t>ท้องผูก</t>
        </is>
      </c>
      <c r="I25" s="8" t="n">
        <v>1</v>
      </c>
      <c r="J25" s="2" t="inlineStr">
        <is>
          <t>✅ คำตอบที่ถูกต้อง: ข้อ ก. คลื่นไส้ อาเจียน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2" t="n"/>
      <c r="L25" s="2" t="inlineStr">
        <is>
          <t>CINV &amp; Supportive Care</t>
        </is>
      </c>
      <c r="M25" s="2" t="inlineStr">
        <is>
          <t>Clinic</t>
        </is>
      </c>
      <c r="N25" s="2" t="inlineStr">
        <is>
          <t>ข้อ 25 Pharma Plus เล่มม่วง (เฉลยข้อ )</t>
        </is>
      </c>
      <c r="O25" s="2" t="n"/>
      <c r="P25" s="2" t="n"/>
    </row>
    <row r="26" ht="13.2" customHeight="1" s="49">
      <c r="A26" s="8" t="inlineStr">
        <is>
          <t>26</t>
        </is>
      </c>
      <c r="B26" s="2"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2" t="n"/>
      <c r="D26" s="2" t="inlineStr">
        <is>
          <t>Aspirin</t>
        </is>
      </c>
      <c r="E26" s="2" t="inlineStr">
        <is>
          <t>Ketamine</t>
        </is>
      </c>
      <c r="F26" s="2" t="inlineStr">
        <is>
          <t>Pethidine</t>
        </is>
      </c>
      <c r="G26" s="2" t="inlineStr">
        <is>
          <t>Fentanyl transdermal patch</t>
        </is>
      </c>
      <c r="H26" s="2" t="inlineStr">
        <is>
          <t>Tramadol</t>
        </is>
      </c>
      <c r="I26" s="8" t="n">
        <v>5</v>
      </c>
      <c r="J26" s="2" t="inlineStr">
        <is>
          <t>✅ คำตอบที่ถูกต้อง: ข้อ จ. Tramadol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2" t="n"/>
      <c r="L26" s="2" t="inlineStr">
        <is>
          <t>CINV &amp; Supportive Care</t>
        </is>
      </c>
      <c r="M26" s="2" t="inlineStr">
        <is>
          <t>Clinic</t>
        </is>
      </c>
      <c r="N26" s="2" t="inlineStr">
        <is>
          <t>ข้อ 26 Pharma Plus เล่มม่วง (เฉลยข้อ จ)</t>
        </is>
      </c>
      <c r="O26" s="2" t="n"/>
      <c r="P26" s="2" t="n"/>
    </row>
    <row r="27" ht="13.2" customHeight="1" s="49">
      <c r="A27" s="8" t="inlineStr">
        <is>
          <t>27</t>
        </is>
      </c>
      <c r="B27" s="2"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2" t="n"/>
      <c r="D27" s="2" t="inlineStr">
        <is>
          <t>ผมร่วง</t>
        </is>
      </c>
      <c r="E27" s="2" t="inlineStr">
        <is>
          <t>อาการปวด</t>
        </is>
      </c>
      <c r="F27" s="2" t="inlineStr">
        <is>
          <t>เยื่อบุทางเดินอาหารอักเสบ</t>
        </is>
      </c>
      <c r="G27" s="2" t="inlineStr">
        <is>
          <t>คลื่นไส้ อาเจียน</t>
        </is>
      </c>
      <c r="H27" s="2" t="inlineStr">
        <is>
          <t>ข้อ ค และ ง ถูก</t>
        </is>
      </c>
      <c r="I27" s="8" t="n">
        <v>5</v>
      </c>
      <c r="J27" s="2" t="inlineStr">
        <is>
          <t>✅ คำตอบที่ถูกต้อง: ข้อ จ. ข้อ ค และ ง ถูก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2" t="n"/>
      <c r="L27" s="2" t="inlineStr">
        <is>
          <t>CINV &amp; Supportive Care</t>
        </is>
      </c>
      <c r="M27" s="2" t="inlineStr">
        <is>
          <t>Clinic</t>
        </is>
      </c>
      <c r="N27" s="2" t="inlineStr">
        <is>
          <t>ข้อ 27 Pharma Plus เล่มม่วง (เฉลยข้อ จ)</t>
        </is>
      </c>
      <c r="O27" s="2" t="n"/>
      <c r="P27" s="2" t="n"/>
    </row>
    <row r="28" ht="13.2" customHeight="1" s="49">
      <c r="A28" s="8" t="inlineStr">
        <is>
          <t>29</t>
        </is>
      </c>
      <c r="B28" s="2"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2" t="n"/>
      <c r="D28" s="2" t="inlineStr">
        <is>
          <t>Dexamethasone เดี่ยว ๆ</t>
        </is>
      </c>
      <c r="E28" s="2" t="inlineStr">
        <is>
          <t>Ondansetron</t>
        </is>
      </c>
      <c r="F28" s="2" t="inlineStr">
        <is>
          <t>Enalapril</t>
        </is>
      </c>
      <c r="G28" s="2" t="inlineStr">
        <is>
          <t>ยากลุ่ม opioid</t>
        </is>
      </c>
      <c r="H28" s="2" t="inlineStr">
        <is>
          <t>ไม่ต้องรับยาอะไร เพียงแต่ให้ผู้ป่วยอมน้ำแข็งระหว่างการให้ยาให้ถูกวิธี</t>
        </is>
      </c>
      <c r="I28" s="8" t="n">
        <v>1</v>
      </c>
      <c r="J28" s="2" t="inlineStr">
        <is>
          <t>✅ คำตอบที่ถูกต้อง: ข้อ ก. Dexamethasone เดี่ยว ๆ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2" t="n"/>
      <c r="L28" s="2" t="inlineStr">
        <is>
          <t>CINV &amp; Supportive Care</t>
        </is>
      </c>
      <c r="M28" s="2" t="inlineStr">
        <is>
          <t>Clinic</t>
        </is>
      </c>
      <c r="N28" s="2" t="inlineStr">
        <is>
          <t>ข้อ 29 Pharma Plus เล่มม่วง (เฉลยข้อ )</t>
        </is>
      </c>
      <c r="O28" s="2" t="n"/>
      <c r="P28" s="2" t="n"/>
    </row>
    <row r="29" ht="13.2" customHeight="1" s="49">
      <c r="A29" s="8" t="inlineStr">
        <is>
          <t>30</t>
        </is>
      </c>
      <c r="B29" s="2"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2" t="n"/>
      <c r="D29" s="2" t="inlineStr">
        <is>
          <t>ในการให้ยาเคมีบำบัดครั้งต่อไป ให้ผู้ป่วยอมน้ำแข็งก่อนให้ยา 30 นาทีและอมต่อให้ยาอีก 30 นาที</t>
        </is>
      </c>
      <c r="E29" s="2" t="inlineStr">
        <is>
          <t>Dimenhydrinate + lidocaine + sucralfate แล้วตามด้วยยากลุ่ม NSAIDs</t>
        </is>
      </c>
      <c r="F29" s="2" t="inlineStr">
        <is>
          <t>Diphenhydramine + lidocaine + sucralfate แล้วตามด้วยยากลุ่ม opioids</t>
        </is>
      </c>
      <c r="G29" s="2" t="inlineStr">
        <is>
          <t>Diphenhydramine + lidocaine + antacid</t>
        </is>
      </c>
      <c r="H29" s="2" t="inlineStr">
        <is>
          <t>ไม่มีข้อใดถูก</t>
        </is>
      </c>
      <c r="I29" s="8" t="n">
        <v>1</v>
      </c>
      <c r="J29" s="2"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2" t="n"/>
      <c r="L29" s="2" t="inlineStr">
        <is>
          <t>CINV &amp; Supportive Care</t>
        </is>
      </c>
      <c r="M29" s="2" t="inlineStr">
        <is>
          <t>Clinic</t>
        </is>
      </c>
      <c r="N29" s="2" t="inlineStr">
        <is>
          <t>ข้อ 30 Pharma Plus เล่มม่วง (เฉลยข้อ ก ง)</t>
        </is>
      </c>
      <c r="O29" s="2" t="n"/>
      <c r="P29" s="2" t="n"/>
    </row>
    <row r="30" ht="13.2" customHeight="1" s="49">
      <c r="A30" s="8" t="inlineStr">
        <is>
          <t>31</t>
        </is>
      </c>
      <c r="B30" s="2" t="inlineStr">
        <is>
          <t>ข้อใดเป็นยาต้านการอาเจียนที่ดีที่สุดในผู้ป่วยที่ได้รับยาเคมีบำบัด
ยาต้านการอาเจียนที่มีประสิทธิภาพสูงสุดสำหรับ CINV</t>
        </is>
      </c>
      <c r="C30" s="2" t="n"/>
      <c r="D30" s="2" t="inlineStr">
        <is>
          <t>Metoclopramide</t>
        </is>
      </c>
      <c r="E30" s="2" t="inlineStr">
        <is>
          <t>Ondansetron</t>
        </is>
      </c>
      <c r="F30" s="2" t="inlineStr">
        <is>
          <t>Lorazepam</t>
        </is>
      </c>
      <c r="G30" s="2" t="inlineStr">
        <is>
          <t>ข้อ ก และ ค ถูก</t>
        </is>
      </c>
      <c r="H30" s="2" t="inlineStr">
        <is>
          <t>ข้อ ก, ข, และ ค ถูก</t>
        </is>
      </c>
      <c r="I30" s="8" t="n">
        <v>2</v>
      </c>
      <c r="J30" s="2" t="inlineStr">
        <is>
          <t>✅ คำตอบที่ถูกต้อง: ข้อ ข.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 ก และ ค ถูก ไม่ตรงกับข้อบ่งใช้หรือกลไกการออกฤทธิ์ที่ถูกต้องตาม NCCN Clinical Practice Guidelines in Oncology / ASCO Guidelines
• ข้อ จ. (ข้อ ก, ข, และ ค ถูก): ข้อ ก, ข,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CINV &amp; Supportive Care</t>
        </is>
      </c>
      <c r="M30" s="2" t="inlineStr">
        <is>
          <t>Clinic</t>
        </is>
      </c>
      <c r="N30" s="2" t="inlineStr">
        <is>
          <t>ข้อ 31 Pharma Plus เล่มม่วง (เฉลยข้อ ข)</t>
        </is>
      </c>
      <c r="O30" s="2" t="n"/>
      <c r="P30" s="2" t="n"/>
    </row>
    <row r="31" ht="13.2" customHeight="1" s="49">
      <c r="A31" s="8" t="inlineStr">
        <is>
          <t>32</t>
        </is>
      </c>
      <c r="B31" s="2"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2" t="n"/>
      <c r="D31" s="2" t="inlineStr">
        <is>
          <t>หากผู้ป่วยมีตุ่มใส และมีอาการเจ็บ แสบร้อน ร่วมด้วย ให้ผู้ป่วยบ้วนปากด้วย stomatitis cocktail ก่อนรับประทานอาหาร 5-15 นาที</t>
        </is>
      </c>
      <c r="E31" s="2" t="inlineStr">
        <is>
          <t>หากมีการติดเชื้อร่วมด้วยให้ผู้ป่วยกินยาต้านเชื้อรา</t>
        </is>
      </c>
      <c r="F31" s="2" t="inlineStr">
        <is>
          <t>ในการให้ยาเคมีบำบัดครั้งต่อไป ให้ผู้ป่วยอมน้ำแข็งก่อนให้ยา 30 นาที และหลังให้ยา 30 นาที</t>
        </is>
      </c>
      <c r="G31" s="2" t="inlineStr">
        <is>
          <t>ข้อ ก และ ข ถูก</t>
        </is>
      </c>
      <c r="H31" s="2" t="inlineStr">
        <is>
          <t>ข้อ ก และ ค ถูก</t>
        </is>
      </c>
      <c r="I31" s="8" t="n">
        <v>2</v>
      </c>
      <c r="J31" s="2" t="inlineStr">
        <is>
          <t>✅ คำตอบที่ถูกต้อง: ข้อ ข. หากมีการติดเชื้อร่วมด้วยให้ผู้ป่วยกินยาต้านเชื้อรา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CINV &amp; Supportive Care</t>
        </is>
      </c>
      <c r="M31" s="2" t="inlineStr">
        <is>
          <t>Clinic</t>
        </is>
      </c>
      <c r="N31" s="2" t="inlineStr">
        <is>
          <t>ข้อ 32 Pharma Plus เล่มม่วง (เฉลยข้อ ข ค)</t>
        </is>
      </c>
      <c r="O31" s="2" t="n"/>
      <c r="P31" s="2" t="n"/>
    </row>
    <row r="32" ht="13.2" customHeight="1" s="49">
      <c r="A32" s="8" t="inlineStr">
        <is>
          <t>34</t>
        </is>
      </c>
      <c r="B32"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2" t="n"/>
      <c r="D32" s="2" t="inlineStr">
        <is>
          <t>150</t>
        </is>
      </c>
      <c r="E32" s="2" t="inlineStr">
        <is>
          <t>175</t>
        </is>
      </c>
      <c r="F32" s="2" t="inlineStr">
        <is>
          <t>200</t>
        </is>
      </c>
      <c r="G32" s="2" t="inlineStr">
        <is>
          <t>225</t>
        </is>
      </c>
      <c r="H32" s="2" t="inlineStr">
        <is>
          <t>250</t>
        </is>
      </c>
      <c r="I32" s="8" t="n">
        <v>2</v>
      </c>
      <c r="J32" s="2"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2" t="n"/>
      <c r="L32" s="2" t="inlineStr">
        <is>
          <t>CINV &amp; Supportive Care</t>
        </is>
      </c>
      <c r="M32" s="2" t="inlineStr">
        <is>
          <t>Clinic</t>
        </is>
      </c>
      <c r="N32" s="2" t="inlineStr">
        <is>
          <t>ข้อ 34 Pharma Plus เล่มม่วง (เฉลยข้อ ข)</t>
        </is>
      </c>
      <c r="O32" s="2" t="n"/>
      <c r="P32" s="2" t="n"/>
    </row>
    <row r="33" ht="13.2" customHeight="1" s="49">
      <c r="A33" s="8" t="inlineStr">
        <is>
          <t>35</t>
        </is>
      </c>
      <c r="B33"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2" t="n"/>
      <c r="D33" s="2" t="inlineStr">
        <is>
          <t>Nephrotoxicity</t>
        </is>
      </c>
      <c r="E33" s="2" t="inlineStr">
        <is>
          <t>Neurotoxicity</t>
        </is>
      </c>
      <c r="F33" s="2" t="inlineStr">
        <is>
          <t>Hypotension</t>
        </is>
      </c>
      <c r="G33" s="2" t="inlineStr">
        <is>
          <t>Pulmonary toxicity</t>
        </is>
      </c>
      <c r="H33" s="2" t="inlineStr">
        <is>
          <t>Ototoxicity</t>
        </is>
      </c>
      <c r="I33" s="8" t="n">
        <v>4</v>
      </c>
      <c r="J33" s="2" t="inlineStr">
        <is>
          <t>✅ คำตอบที่ถูกต้อง: ข้อ ง. Pulmonary 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2" t="n"/>
      <c r="L33" s="2" t="inlineStr">
        <is>
          <t>CINV &amp; Supportive Care</t>
        </is>
      </c>
      <c r="M33" s="2" t="inlineStr">
        <is>
          <t>Clinic</t>
        </is>
      </c>
      <c r="N33" s="2" t="inlineStr">
        <is>
          <t>ข้อ 35 Pharma Plus เล่มม่วง (เฉลยข้อ ง)</t>
        </is>
      </c>
      <c r="O33" s="2" t="n"/>
      <c r="P33" s="2" t="n"/>
    </row>
    <row r="34" ht="13.2" customHeight="1" s="49">
      <c r="A34" s="8" t="inlineStr">
        <is>
          <t>36</t>
        </is>
      </c>
      <c r="B34" s="2" t="inlineStr">
        <is>
          <t>กลไกการออกฤทธิ์ของยา cisplatin คืออะไร</t>
        </is>
      </c>
      <c r="C34" s="2" t="n"/>
      <c r="D34" s="2" t="inlineStr">
        <is>
          <t>Antimetabolite</t>
        </is>
      </c>
      <c r="E34" s="2" t="inlineStr">
        <is>
          <t>Topoisomerase inhibitor</t>
        </is>
      </c>
      <c r="F34" s="2" t="inlineStr">
        <is>
          <t>Produce free radical</t>
        </is>
      </c>
      <c r="G34" s="2" t="inlineStr">
        <is>
          <t>Mitotic spindle toxicity</t>
        </is>
      </c>
      <c r="H34" s="2" t="inlineStr">
        <is>
          <t>Alkylating agent</t>
        </is>
      </c>
      <c r="I34" s="8" t="n">
        <v>5</v>
      </c>
      <c r="J34" s="2" t="inlineStr">
        <is>
          <t>✅ คำตอบที่ถูกต้อง: ข้อ จ.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2" t="n"/>
      <c r="L34" s="2" t="inlineStr">
        <is>
          <t>CINV &amp; Supportive Care</t>
        </is>
      </c>
      <c r="M34" s="2" t="inlineStr">
        <is>
          <t>Clinic</t>
        </is>
      </c>
      <c r="N34" s="2" t="inlineStr">
        <is>
          <t>ข้อ 36 Pharma Plus เล่มม่วง (เฉลยข้อ จ)</t>
        </is>
      </c>
      <c r="O34" s="2" t="n"/>
      <c r="P34" s="2" t="n"/>
    </row>
    <row r="35" ht="13.2" customHeight="1" s="49">
      <c r="A35" s="8" t="inlineStr">
        <is>
          <t>38</t>
        </is>
      </c>
      <c r="B35" s="2" t="inlineStr">
        <is>
          <t>ยาเคมีชนิดใดไม่ได้สกัดมาจากธรรมชาติ</t>
        </is>
      </c>
      <c r="C35" s="2" t="n"/>
      <c r="D35" s="2" t="inlineStr">
        <is>
          <t>Doxorubicin</t>
        </is>
      </c>
      <c r="E35" s="2" t="inlineStr">
        <is>
          <t>Paclitaxel</t>
        </is>
      </c>
      <c r="F35" s="2" t="inlineStr">
        <is>
          <t>Oxaliplatin</t>
        </is>
      </c>
      <c r="G35" s="2" t="inlineStr">
        <is>
          <t>Vincristine</t>
        </is>
      </c>
      <c r="H35" s="2" t="inlineStr">
        <is>
          <t>Hydroxyurea</t>
        </is>
      </c>
      <c r="I35" s="8" t="n">
        <v>3</v>
      </c>
      <c r="J35" s="2" t="inlineStr">
        <is>
          <t>✅ คำตอบที่ถูกต้อง: ข้อ ค. Oxaliplatin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CINV &amp; Supportive Care</t>
        </is>
      </c>
      <c r="M35" s="2" t="inlineStr">
        <is>
          <t>Clinic</t>
        </is>
      </c>
      <c r="N35" s="2" t="inlineStr">
        <is>
          <t>ข้อ 38 Pharma Plus เล่มม่วง (เฉลยข้อ ค)</t>
        </is>
      </c>
      <c r="O35" s="2" t="n"/>
      <c r="P35" s="2" t="n"/>
    </row>
    <row r="36" ht="13.2" customHeight="1" s="49">
      <c r="A36" s="8" t="inlineStr">
        <is>
          <t>39</t>
        </is>
      </c>
      <c r="B36" s="2" t="inlineStr">
        <is>
          <t>กลไกการออกฤทธิ์ของยา paclitaxel คืออะไร</t>
        </is>
      </c>
      <c r="C36" s="2" t="n"/>
      <c r="D36" s="8" t="inlineStr">
        <is>
          <t>Antimetabolite</t>
        </is>
      </c>
      <c r="E36" s="8" t="inlineStr">
        <is>
          <t>Topoisomerase inhibitor</t>
        </is>
      </c>
      <c r="F36" s="8" t="inlineStr">
        <is>
          <t>Produce free radical</t>
        </is>
      </c>
      <c r="G36" s="8" t="inlineStr">
        <is>
          <t>Mitotic phase inhibitor</t>
        </is>
      </c>
      <c r="H36" s="8" t="inlineStr">
        <is>
          <t>Alkylating agent</t>
        </is>
      </c>
      <c r="I36" s="8" t="n">
        <v>4</v>
      </c>
      <c r="J36" s="2" t="inlineStr">
        <is>
          <t>✅ คำตอบที่ถูกต้อง: ข้อ ง. Mitotic phase inhibitor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CINV &amp; Supportive Care</t>
        </is>
      </c>
      <c r="M36" s="2" t="inlineStr">
        <is>
          <t>Clinic</t>
        </is>
      </c>
      <c r="N36" s="2" t="inlineStr">
        <is>
          <t>ข้อ 39 Pharma Plus เล่มม่วง (เฉลยข้อ ง)</t>
        </is>
      </c>
      <c r="O36" s="2" t="n"/>
      <c r="P36" s="2" t="n"/>
    </row>
    <row r="37" ht="13.2" customHeight="1" s="49">
      <c r="A37" s="8" t="inlineStr">
        <is>
          <t>40</t>
        </is>
      </c>
      <c r="B37" s="2" t="inlineStr">
        <is>
          <t>ผู้ป่วยมะเร็งที่มีอาการปวดรุนแรง และได้รับยาแก้ปวด opioids ปริมาณสูง อาจทำให้เกิดผลข้างเคียงใด</t>
        </is>
      </c>
      <c r="C37" s="2" t="n"/>
      <c r="D37" s="2" t="inlineStr">
        <is>
          <t>Diarrhea, Convulsion</t>
        </is>
      </c>
      <c r="E37" s="2" t="inlineStr">
        <is>
          <t>Mydriasis, Hypoventilation</t>
        </is>
      </c>
      <c r="F37" s="2" t="inlineStr">
        <is>
          <t>Hyperthermia</t>
        </is>
      </c>
      <c r="G37" s="2" t="inlineStr">
        <is>
          <t>Coma, Miosis</t>
        </is>
      </c>
      <c r="H37" s="2" t="inlineStr">
        <is>
          <t>Hyperventilation</t>
        </is>
      </c>
      <c r="I37" s="8" t="n">
        <v>4</v>
      </c>
      <c r="J37" s="2" t="inlineStr">
        <is>
          <t>✅ คำตอบที่ถูกต้อง: ข้อ ง. Coma, Miosis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2" t="n"/>
      <c r="L37" s="2" t="inlineStr">
        <is>
          <t>CINV &amp; Supportive Care</t>
        </is>
      </c>
      <c r="M37" s="2" t="inlineStr">
        <is>
          <t>Clinic</t>
        </is>
      </c>
      <c r="N37" s="2" t="inlineStr">
        <is>
          <t>ข้อ 40 Pharma Plus เล่มม่วง (เฉลยข้อ ง)</t>
        </is>
      </c>
      <c r="O37" s="2" t="n"/>
      <c r="P37" s="2" t="n"/>
    </row>
    <row r="38" ht="13.2" customHeight="1" s="49">
      <c r="A38" s="8" t="inlineStr">
        <is>
          <t>41</t>
        </is>
      </c>
      <c r="B38" s="2" t="inlineStr">
        <is>
          <t>การใช้ leucovorin ร่วมเมื่อใช้ยา methotrexate ขนาดสูง ในการรักษามะเร็งบางชนิด เพื่ออะไร</t>
        </is>
      </c>
      <c r="C38" s="2" t="n"/>
      <c r="D38" s="2" t="inlineStr">
        <is>
          <t>ช่วยเพิ่ม MTX เข้าสู่เซลล์มะเร็ง</t>
        </is>
      </c>
      <c r="E38" s="2" t="inlineStr">
        <is>
          <t>ช่วยเร่งการขับ MTX ออกทางปัสสาวะ</t>
        </is>
      </c>
      <c r="F38" s="2" t="inlineStr">
        <is>
          <t>ช่วยเร่งการแปรูปของ MTX ที่ตับ</t>
        </is>
      </c>
      <c r="G38" s="2" t="inlineStr">
        <is>
          <t>ช่วยลดความเป็นพิษของ MTX ต่อเซลล์ปกติ</t>
        </is>
      </c>
      <c r="H38" s="2" t="inlineStr">
        <is>
          <t>ช่วยเพิ่มความเป็นพิษของ MTX ต่อเซลล์มะเร็ง</t>
        </is>
      </c>
      <c r="I38" s="8" t="n">
        <v>4</v>
      </c>
      <c r="J38" s="2" t="inlineStr">
        <is>
          <t>✅ คำตอบที่ถูกต้อง: ข้อ ง. ช่วยลดความเป็นพิษของ MTX ต่อเซลล์ปกติ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2" t="n"/>
      <c r="L38" s="2" t="inlineStr">
        <is>
          <t>CINV &amp; Supportive Care</t>
        </is>
      </c>
      <c r="M38" s="2" t="inlineStr">
        <is>
          <t>Clinic</t>
        </is>
      </c>
      <c r="N38" s="2" t="inlineStr">
        <is>
          <t>ข้อ 41 Pharma Plus เล่มม่วง (เฉลยข้อ ง)</t>
        </is>
      </c>
      <c r="O38" s="2" t="n"/>
      <c r="P38" s="2" t="n"/>
    </row>
    <row r="39" ht="13.2" customHeight="1" s="49">
      <c r="A39" s="8" t="inlineStr">
        <is>
          <t>42</t>
        </is>
      </c>
      <c r="B39" s="2" t="inlineStr">
        <is>
          <t>ยาใดต่อไปนี้เกี่ยวข้องกับ nephrotoxicity</t>
        </is>
      </c>
      <c r="C39" s="2" t="n"/>
      <c r="D39" s="2" t="inlineStr">
        <is>
          <t>Methotrexate</t>
        </is>
      </c>
      <c r="E39" s="2" t="inlineStr">
        <is>
          <t>Etoposide</t>
        </is>
      </c>
      <c r="F39" s="2" t="inlineStr">
        <is>
          <t>Doxorubicin</t>
        </is>
      </c>
      <c r="G39" s="2" t="inlineStr">
        <is>
          <t>Vinorelbine</t>
        </is>
      </c>
      <c r="H39" s="2" t="inlineStr">
        <is>
          <t>Docetaxel</t>
        </is>
      </c>
      <c r="I39" s="8" t="n">
        <v>1</v>
      </c>
      <c r="J39" s="2" t="inlineStr">
        <is>
          <t>✅ คำตอบที่ถูกต้อง: ข้อ ก. Methotrexate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2" t="n"/>
      <c r="L39" s="2" t="inlineStr">
        <is>
          <t>CINV &amp; Supportive Care</t>
        </is>
      </c>
      <c r="M39" s="2" t="inlineStr">
        <is>
          <t>Clinic</t>
        </is>
      </c>
      <c r="N39" s="2" t="inlineStr">
        <is>
          <t>ข้อ 42 Pharma Plus เล่มม่วง (เฉลยข้อ ก)</t>
        </is>
      </c>
      <c r="O39" s="2" t="n"/>
      <c r="P39" s="2" t="n"/>
    </row>
    <row r="40" ht="13.2" customHeight="1" s="49">
      <c r="A40" s="8" t="inlineStr">
        <is>
          <t>43</t>
        </is>
      </c>
      <c r="B40" s="2" t="inlineStr">
        <is>
          <t>คู่ยาใดที่อาจเกิด drug interaction จนทำให้ระดับยาในเลือดเพิ่มสูงขึ้นจนเป็นอันตรายแก่ผู้ป่วย</t>
        </is>
      </c>
      <c r="C40" s="2" t="n"/>
      <c r="D40" s="2" t="inlineStr">
        <is>
          <t>Tamoxifen - warfarin</t>
        </is>
      </c>
      <c r="E40" s="2" t="inlineStr">
        <is>
          <t>Cisplatin - cimetidine</t>
        </is>
      </c>
      <c r="F40" s="2" t="inlineStr">
        <is>
          <t>Methotrexate - phenobarbitone</t>
        </is>
      </c>
      <c r="G40" s="2" t="inlineStr">
        <is>
          <t>Doxorubicin - tetracycline</t>
        </is>
      </c>
      <c r="H40" s="2" t="inlineStr">
        <is>
          <t>Mercaptopurine - allopurinol</t>
        </is>
      </c>
      <c r="I40" s="8" t="n">
        <v>5</v>
      </c>
      <c r="J40" s="2" t="inlineStr">
        <is>
          <t>✅ คำตอบที่ถูกต้อง: ข้อ จ. Mercaptopurine - allopurinol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2" t="n"/>
      <c r="L40" s="2" t="inlineStr">
        <is>
          <t>CINV &amp; Supportive Care</t>
        </is>
      </c>
      <c r="M40" s="2" t="inlineStr">
        <is>
          <t>Clinic</t>
        </is>
      </c>
      <c r="N40" s="2" t="inlineStr">
        <is>
          <t>ข้อ 43 Pharma Plus เล่มม่วง (เฉลยข้อ จ)</t>
        </is>
      </c>
      <c r="O40" s="2" t="n"/>
      <c r="P40" s="2" t="n"/>
    </row>
    <row r="41" ht="13.2" customHeight="1" s="49">
      <c r="A41" s="8" t="inlineStr">
        <is>
          <t>44</t>
        </is>
      </c>
      <c r="B41" s="2" t="inlineStr">
        <is>
          <t>ยาเคมีชนิดใดที่ใช้เป็น immunosuppressive agent ได้ด้วย</t>
        </is>
      </c>
      <c r="C41" s="2" t="n"/>
      <c r="D41" s="2" t="inlineStr">
        <is>
          <t>5-Fluorouracil</t>
        </is>
      </c>
      <c r="E41" s="2" t="inlineStr">
        <is>
          <t>Irinotecan</t>
        </is>
      </c>
      <c r="F41" s="2" t="inlineStr">
        <is>
          <t>Cyclophosphamide</t>
        </is>
      </c>
      <c r="G41" s="2" t="inlineStr">
        <is>
          <t>Cisplatin</t>
        </is>
      </c>
      <c r="H41" s="2" t="inlineStr">
        <is>
          <t>Doxorubicin</t>
        </is>
      </c>
      <c r="I41" s="8" t="n">
        <v>3</v>
      </c>
      <c r="J41" s="2" t="inlineStr">
        <is>
          <t>✅ คำตอบที่ถูกต้อง: ข้อ ค. Cyclophosphamide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CINV &amp; Supportive Care</t>
        </is>
      </c>
      <c r="M41" s="2" t="inlineStr">
        <is>
          <t>Clinic</t>
        </is>
      </c>
      <c r="N41" s="2" t="inlineStr">
        <is>
          <t>ข้อ 44 Pharma Plus เล่มม่วง (เฉลยข้อ ค)</t>
        </is>
      </c>
      <c r="O41" s="2" t="n"/>
      <c r="P41" s="2" t="n"/>
    </row>
    <row r="42" ht="13.2" customHeight="1" s="49">
      <c r="A42" s="8" t="inlineStr">
        <is>
          <t>45</t>
        </is>
      </c>
      <c r="B42"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2" t="n"/>
      <c r="D42" s="2" t="inlineStr">
        <is>
          <t>ค่า serum creatinine</t>
        </is>
      </c>
      <c r="E42" s="2" t="inlineStr">
        <is>
          <t>ค่า CBC (complete blood count)</t>
        </is>
      </c>
      <c r="F42" s="2" t="inlineStr">
        <is>
          <t>ค่า ejection fraction ของหัวใจ</t>
        </is>
      </c>
      <c r="G42" s="2" t="inlineStr">
        <is>
          <t>ค่า electrolyte</t>
        </is>
      </c>
      <c r="H42" s="2" t="inlineStr">
        <is>
          <t>ผลวิเคราะห์ทางจุลชีววิทยา (blood cultures)</t>
        </is>
      </c>
      <c r="I42" s="8" t="n">
        <v>1</v>
      </c>
      <c r="J42" s="2" t="inlineStr">
        <is>
          <t>✅ คำตอบที่ถูกต้อง: ข้อ ก. ค่า serum creatinine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2" t="n"/>
      <c r="L42" s="2" t="inlineStr">
        <is>
          <t>CINV &amp; Supportive Care</t>
        </is>
      </c>
      <c r="M42" s="2" t="inlineStr">
        <is>
          <t>Clinic</t>
        </is>
      </c>
      <c r="N42" s="2" t="inlineStr">
        <is>
          <t>ข้อ 45 Pharma Plus เล่มม่วง (เฉลยข้อ ก ข)</t>
        </is>
      </c>
      <c r="O42" s="2" t="n"/>
      <c r="P42" s="2" t="n"/>
    </row>
    <row r="43" ht="13.2" customHeight="1" s="49">
      <c r="A43" s="8" t="inlineStr">
        <is>
          <t>46</t>
        </is>
      </c>
      <c r="B43"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2" t="n"/>
      <c r="D43" s="2" t="inlineStr">
        <is>
          <t>การผ่าตัดแบบ modified radical mastectomy เพื่อกำจัดมะเร็ง</t>
        </is>
      </c>
      <c r="E43" s="2" t="inlineStr">
        <is>
          <t>อาการข้างเคียงของ cyclophosphamide</t>
        </is>
      </c>
      <c r="F43" s="2" t="inlineStr">
        <is>
          <t>อาการข้างเคียงของ cyclophosphamide และ doxorubicin</t>
        </is>
      </c>
      <c r="G43" s="2" t="inlineStr">
        <is>
          <t>อาการข้างเคียงของ doxorubicin</t>
        </is>
      </c>
      <c r="H43" s="2" t="inlineStr">
        <is>
          <t>อาการแทรกซ้อนจากการผ่าตัด ร่วมกับการให้ยาเคมีบำบัด</t>
        </is>
      </c>
      <c r="I43" s="8" t="n">
        <v>4</v>
      </c>
      <c r="J43" s="2" t="inlineStr">
        <is>
          <t>✅ คำตอบที่ถูกต้อง: ข้อ ง. อาการข้างเคียงของ doxorubicin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2" t="n"/>
      <c r="L43" s="2" t="inlineStr">
        <is>
          <t>CINV &amp; Supportive Care</t>
        </is>
      </c>
      <c r="M43" s="2" t="inlineStr">
        <is>
          <t>Clinic</t>
        </is>
      </c>
      <c r="N43" s="2" t="inlineStr">
        <is>
          <t>ข้อ 46 Pharma Plus เล่มม่วง (เฉลยข้อ ง)</t>
        </is>
      </c>
      <c r="O43" s="2" t="n"/>
      <c r="P43" s="2" t="n"/>
    </row>
    <row r="44" ht="13.2" customHeight="1" s="49">
      <c r="A44" s="8" t="inlineStr">
        <is>
          <t>47</t>
        </is>
      </c>
      <c r="B44"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2" t="n"/>
      <c r="D44" s="2" t="inlineStr">
        <is>
          <t>การกดการทำงานขอไขกระดูก</t>
        </is>
      </c>
      <c r="E44" s="2" t="inlineStr">
        <is>
          <t>เยื่อบุทางเดินอาหารอักเสบ</t>
        </is>
      </c>
      <c r="F44" s="2" t="inlineStr">
        <is>
          <t>คลื่นไส้อาเจียน</t>
        </is>
      </c>
      <c r="G44" s="2" t="inlineStr">
        <is>
          <t>ผมร่วง</t>
        </is>
      </c>
      <c r="H44" s="2" t="inlineStr">
        <is>
          <t>ชาตามปลายประสาท</t>
        </is>
      </c>
      <c r="I44" s="8" t="n">
        <v>2</v>
      </c>
      <c r="J44" s="2" t="inlineStr">
        <is>
          <t>✅ คำตอบที่ถูกต้อง: ข้อ ข. เยื่อบุทางเดินอาหารอักเสบ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2" t="n"/>
      <c r="L44" s="2" t="inlineStr">
        <is>
          <t>CINV &amp; Supportive Care</t>
        </is>
      </c>
      <c r="M44" s="2" t="inlineStr">
        <is>
          <t>Clinic</t>
        </is>
      </c>
      <c r="N44" s="2" t="inlineStr">
        <is>
          <t>ข้อ 47 Pharma Plus เล่มม่วง (เฉลยข้อ ข ค)</t>
        </is>
      </c>
      <c r="O44" s="2" t="n"/>
      <c r="P44" s="2" t="n"/>
    </row>
    <row r="45" ht="13.2" customHeight="1" s="49">
      <c r="A45" s="8" t="inlineStr">
        <is>
          <t>48</t>
        </is>
      </c>
      <c r="B45"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2" t="n"/>
      <c r="D45" s="2" t="inlineStr">
        <is>
          <t>Estrogen receptor เช่น tamoxifen</t>
        </is>
      </c>
      <c r="E45" s="2" t="inlineStr">
        <is>
          <t>Methotrexate แบบรับประทานเพื่อควบคุมโรค</t>
        </is>
      </c>
      <c r="F45" s="2" t="inlineStr">
        <is>
          <t>การฉายรังสีบริเวณที่ได้รับการผ่าตัด</t>
        </is>
      </c>
      <c r="G45" s="2" t="inlineStr">
        <is>
          <t>การรับประทานยาคุมกำเนิดขนาดสูง</t>
        </is>
      </c>
      <c r="H45" s="2" t="inlineStr">
        <is>
          <t>การเพิ่มการให้ยาเคมีบำัดจาก 4 เดือน เป็น 6 เดือน</t>
        </is>
      </c>
      <c r="I45" s="8" t="n">
        <v>1</v>
      </c>
      <c r="J45" s="2" t="inlineStr">
        <is>
          <t>✅ คำตอบที่ถูกต้อง: ข้อ ก. Estrogen receptor เช่น tamoxifen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2" t="n"/>
      <c r="L45" s="2" t="inlineStr">
        <is>
          <t>CINV &amp; Supportive Care</t>
        </is>
      </c>
      <c r="M45" s="2" t="inlineStr">
        <is>
          <t>Clinic</t>
        </is>
      </c>
      <c r="N45" s="2" t="inlineStr">
        <is>
          <t>ข้อ 48 Pharma Plus เล่มม่วง (เฉลยข้อ ก)</t>
        </is>
      </c>
      <c r="O45" s="2" t="n"/>
      <c r="P45" s="2" t="n"/>
    </row>
    <row r="46" ht="13.2" customHeight="1" s="49">
      <c r="A46" s="8" t="inlineStr">
        <is>
          <t>49</t>
        </is>
      </c>
      <c r="B46"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2" t="n"/>
      <c r="D46" s="2" t="inlineStr">
        <is>
          <t>รักษาให้หายขาด</t>
        </is>
      </c>
      <c r="E46" s="2" t="inlineStr">
        <is>
          <t>ยืดอายุผู้ป่วย</t>
        </is>
      </c>
      <c r="F46" s="2" t="inlineStr">
        <is>
          <t>รักษาผู้ป่วยแบบประคับประคอง</t>
        </is>
      </c>
      <c r="G46" s="2" t="inlineStr">
        <is>
          <t>เพื่อลดการกลับซ้ำของโรค</t>
        </is>
      </c>
      <c r="H46" s="2" t="inlineStr">
        <is>
          <t>ทำให้ผู้ป่วยมีระยะปลอดโรคที่นานขึ้น</t>
        </is>
      </c>
      <c r="I46" s="8" t="n">
        <v>3</v>
      </c>
      <c r="J46" s="2" t="inlineStr">
        <is>
          <t>✅ คำตอบที่ถูกต้อง: ข้อ ค. รักษาผู้ป่วยแบบประคับประคอง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2" t="n"/>
      <c r="L46" s="2" t="inlineStr">
        <is>
          <t>CINV &amp; Supportive Care</t>
        </is>
      </c>
      <c r="M46" s="2" t="inlineStr">
        <is>
          <t>Clinic</t>
        </is>
      </c>
      <c r="N46" s="2" t="inlineStr">
        <is>
          <t>ข้อ 49 Pharma Plus เล่มม่วง (เฉลยข้อ ค)</t>
        </is>
      </c>
      <c r="O46" s="2" t="n"/>
      <c r="P46" s="2" t="n"/>
    </row>
    <row r="47" ht="13.2" customHeight="1" s="49">
      <c r="A47" s="8" t="inlineStr">
        <is>
          <t>50</t>
        </is>
      </c>
      <c r="B47" s="2" t="inlineStr">
        <is>
          <t>การตรวจร่างกายเบื้องต้นของมะเร็งเต้านมต้องตรวจอะไรไร</t>
        </is>
      </c>
      <c r="C47" s="2" t="n"/>
      <c r="D47" s="2" t="inlineStr">
        <is>
          <t>Fecal blood occult test</t>
        </is>
      </c>
      <c r="E47" s="2" t="inlineStr">
        <is>
          <t>CT scan</t>
        </is>
      </c>
      <c r="F47" s="2" t="inlineStr">
        <is>
          <t>Mammography</t>
        </is>
      </c>
      <c r="G47" s="2" t="inlineStr">
        <is>
          <t>Pap smear</t>
        </is>
      </c>
      <c r="H47" s="2" t="inlineStr">
        <is>
          <t>Tumor biopsy</t>
        </is>
      </c>
      <c r="I47" s="8" t="n">
        <v>3</v>
      </c>
      <c r="J47" s="2" t="inlineStr">
        <is>
          <t>✅ คำตอบที่ถูกต้อง: ข้อ ค. Mammography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2" t="n"/>
      <c r="L47" s="2" t="inlineStr">
        <is>
          <t>CINV &amp; Supportive Care</t>
        </is>
      </c>
      <c r="M47" s="2" t="inlineStr">
        <is>
          <t>Clinic</t>
        </is>
      </c>
      <c r="N47" s="2" t="inlineStr">
        <is>
          <t>ข้อ 50 Pharma Plus เล่มม่วง (เฉลยข้อ ค)</t>
        </is>
      </c>
      <c r="O47" s="2" t="n"/>
      <c r="P47" s="2" t="n"/>
    </row>
    <row r="48" ht="13.2" customHeight="1" s="49">
      <c r="A48" s="8" t="inlineStr">
        <is>
          <t>51</t>
        </is>
      </c>
      <c r="B48" s="2"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2" t="n"/>
      <c r="D48" s="2" t="inlineStr">
        <is>
          <t>Alkylating agent</t>
        </is>
      </c>
      <c r="E48" s="2" t="inlineStr">
        <is>
          <t>Antiestrogen</t>
        </is>
      </c>
      <c r="F48" s="2" t="inlineStr">
        <is>
          <t>Antitumor antibiotic</t>
        </is>
      </c>
      <c r="G48" s="2" t="inlineStr">
        <is>
          <t>Antimetabolite</t>
        </is>
      </c>
      <c r="H48" s="2" t="inlineStr">
        <is>
          <t>Plant alkaloid</t>
        </is>
      </c>
      <c r="I48" s="8" t="n">
        <v>2</v>
      </c>
      <c r="J48" s="2" t="inlineStr">
        <is>
          <t>✅ คำตอบที่ถูกต้อง: ข้อ ข. Antiestrogen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2" t="n"/>
      <c r="L48" s="2" t="inlineStr">
        <is>
          <t>CINV &amp; Supportive Care</t>
        </is>
      </c>
      <c r="M48" s="2" t="inlineStr">
        <is>
          <t>Clinic</t>
        </is>
      </c>
      <c r="N48" s="2" t="inlineStr">
        <is>
          <t>ข้อ 51 Pharma Plus เล่มม่วง (เฉลยข้อ ข)</t>
        </is>
      </c>
      <c r="O48" s="2" t="n"/>
      <c r="P48" s="2" t="n"/>
    </row>
    <row r="49" ht="13.2" customHeight="1" s="49">
      <c r="A49" s="8" t="inlineStr">
        <is>
          <t>52</t>
        </is>
      </c>
      <c r="B49" s="2"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2" t="n"/>
      <c r="D49" s="2" t="inlineStr">
        <is>
          <t>Apoptosis</t>
        </is>
      </c>
      <c r="E49" s="2" t="inlineStr">
        <is>
          <t>Differentiation</t>
        </is>
      </c>
      <c r="F49" s="2" t="inlineStr">
        <is>
          <t>Invasiveness</t>
        </is>
      </c>
      <c r="G49" s="2" t="inlineStr">
        <is>
          <t>Metastasis</t>
        </is>
      </c>
      <c r="H49" s="2" t="inlineStr">
        <is>
          <t>Uncontrolled proliferation</t>
        </is>
      </c>
      <c r="I49" s="8" t="n">
        <v>1</v>
      </c>
      <c r="J49" s="2" t="inlineStr">
        <is>
          <t>✅ คำตอบที่ถูกต้อง: ข้อ ก. Apoptosis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2" t="n"/>
      <c r="L49" s="2" t="inlineStr">
        <is>
          <t>CINV &amp; Supportive Care</t>
        </is>
      </c>
      <c r="M49" s="2" t="inlineStr">
        <is>
          <t>Clinic</t>
        </is>
      </c>
      <c r="N49" s="2" t="inlineStr">
        <is>
          <t>ข้อ 52 Pharma Plus เล่มม่วง (เฉลยข้อ ก)</t>
        </is>
      </c>
      <c r="O49" s="2" t="n"/>
      <c r="P49" s="2" t="n"/>
    </row>
    <row r="50" ht="13.2" customHeight="1" s="49">
      <c r="A50" s="8" t="inlineStr">
        <is>
          <t>53</t>
        </is>
      </c>
      <c r="B50" s="2" t="inlineStr">
        <is>
          <t>Fluorouracil จัดเป็นยารักษามะเร็งในกลุ่มใด</t>
        </is>
      </c>
      <c r="C50" s="2" t="n"/>
      <c r="D50" s="2" t="inlineStr">
        <is>
          <t>กลุ่ม alkylating agent ประเภท nitrogen mustard</t>
        </is>
      </c>
      <c r="E50" s="2" t="inlineStr">
        <is>
          <t>กลุ่ม alkylating agent ประเภท triazene</t>
        </is>
      </c>
      <c r="F50" s="2" t="inlineStr">
        <is>
          <t>กลุ่ม antimetabolite ประเภท purine analogs</t>
        </is>
      </c>
      <c r="G50" s="2" t="inlineStr">
        <is>
          <t>กลุ่ม antimetabolite ประเภท pyrimidine analogs</t>
        </is>
      </c>
      <c r="H50" s="2" t="inlineStr">
        <is>
          <t>กลุ่ม antimetabolite ประเภท folic acid analogs</t>
        </is>
      </c>
      <c r="I50" s="8" t="n">
        <v>4</v>
      </c>
      <c r="J50" s="2" t="inlineStr">
        <is>
          <t>✅ คำตอบที่ถูกต้อง: ข้อ ง. กลุ่ม antimetabolite ประเภท pyrimidine analogs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2" t="n"/>
      <c r="L50" s="2" t="inlineStr">
        <is>
          <t>CINV &amp; Supportive Care</t>
        </is>
      </c>
      <c r="M50" s="2" t="inlineStr">
        <is>
          <t>Clinic</t>
        </is>
      </c>
      <c r="N50" s="2" t="inlineStr">
        <is>
          <t>ข้อ 53 Pharma Plus เล่มม่วง (เฉลยข้อ ง)</t>
        </is>
      </c>
      <c r="O50" s="2" t="n"/>
      <c r="P50" s="2" t="n"/>
    </row>
    <row r="51" ht="13.2" customHeight="1" s="49">
      <c r="A51" s="8" t="inlineStr">
        <is>
          <t>54</t>
        </is>
      </c>
      <c r="B51" s="2"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2" t="n"/>
      <c r="D51" s="2" t="inlineStr">
        <is>
          <t>Dimenhydrinate</t>
        </is>
      </c>
      <c r="E51" s="2" t="inlineStr">
        <is>
          <t>Diphenhydramine</t>
        </is>
      </c>
      <c r="F51" s="2" t="inlineStr">
        <is>
          <t>Domperidone</t>
        </is>
      </c>
      <c r="G51" s="2" t="inlineStr">
        <is>
          <t>Metoclopramide</t>
        </is>
      </c>
      <c r="H51" s="2" t="inlineStr">
        <is>
          <t>Ondansetron</t>
        </is>
      </c>
      <c r="I51" s="8" t="n">
        <v>5</v>
      </c>
      <c r="J51" s="2" t="inlineStr">
        <is>
          <t>✅ คำตอบที่ถูกต้อง: ข้อ จ.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2" t="n"/>
      <c r="L51" s="2" t="inlineStr">
        <is>
          <t>CINV &amp; Supportive Care</t>
        </is>
      </c>
      <c r="M51" s="2" t="inlineStr">
        <is>
          <t>Clinic</t>
        </is>
      </c>
      <c r="N51" s="2" t="inlineStr">
        <is>
          <t>ข้อ 54 Pharma Plus เล่มม่วง (เฉลยข้อ จ)</t>
        </is>
      </c>
      <c r="O51" s="2" t="n"/>
      <c r="P51" s="2" t="n"/>
    </row>
    <row r="52" ht="13.2" customHeight="1" s="49">
      <c r="A52" s="8" t="inlineStr">
        <is>
          <t>55</t>
        </is>
      </c>
      <c r="B52" s="2" t="inlineStr">
        <is>
          <t>ผู้ป่วยมีอาการปวดจากมะเร็งระดับ mild to moderate ควรเลือกใช้ยาใดเป็นอันดับแรกในการบรรเทาอาการ</t>
        </is>
      </c>
      <c r="C52" s="2" t="n"/>
      <c r="D52" s="2" t="inlineStr">
        <is>
          <t>Amphetamine</t>
        </is>
      </c>
      <c r="E52" s="2" t="inlineStr">
        <is>
          <t>Celecoxib</t>
        </is>
      </c>
      <c r="F52" s="2" t="inlineStr">
        <is>
          <t>Ketamine</t>
        </is>
      </c>
      <c r="G52" s="2" t="inlineStr">
        <is>
          <t>Morphine</t>
        </is>
      </c>
      <c r="H52" s="2" t="inlineStr">
        <is>
          <t>Pethidine</t>
        </is>
      </c>
      <c r="I52" s="8" t="n">
        <v>2</v>
      </c>
      <c r="J52" s="2" t="inlineStr">
        <is>
          <t>✅ คำตอบที่ถูกต้อง: ข้อ ข. Celecoxib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2" t="n"/>
      <c r="L52" s="2" t="inlineStr">
        <is>
          <t>CINV &amp; Supportive Care</t>
        </is>
      </c>
      <c r="M52" s="2" t="inlineStr">
        <is>
          <t>Clinic</t>
        </is>
      </c>
      <c r="N52" s="2" t="inlineStr">
        <is>
          <t>ข้อ 55 Pharma Plus เล่มม่วง (เฉลยข้อ ข)</t>
        </is>
      </c>
      <c r="O52" s="2" t="n"/>
      <c r="P52" s="2" t="n"/>
    </row>
    <row r="53" ht="13.2" customHeight="1" s="49">
      <c r="A53" s="8" t="inlineStr">
        <is>
          <t>56</t>
        </is>
      </c>
      <c r="B53" s="2"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2" t="n"/>
      <c r="D53" s="2" t="inlineStr">
        <is>
          <t>ผู้ชาย</t>
        </is>
      </c>
      <c r="E53" s="2" t="inlineStr">
        <is>
          <t>สูบบุหรี่</t>
        </is>
      </c>
      <c r="F53" s="2" t="inlineStr">
        <is>
          <t>ดื่มสุรา</t>
        </is>
      </c>
      <c r="G53" s="2" t="inlineStr">
        <is>
          <t>มีคนในครอบครัวเป็นโรคมะเร็งปอด</t>
        </is>
      </c>
      <c r="H53" s="2" t="inlineStr">
        <is>
          <t>Asbestos</t>
        </is>
      </c>
      <c r="I53" s="8" t="n">
        <v>3</v>
      </c>
      <c r="J53" s="2" t="inlineStr">
        <is>
          <t>✅ คำตอบที่ถูกต้อง: ข้อ ค. ดื่มสุรา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2" t="n"/>
      <c r="L53" s="2" t="inlineStr">
        <is>
          <t>CINV &amp; Supportive Care</t>
        </is>
      </c>
      <c r="M53" s="2" t="inlineStr">
        <is>
          <t>Clinic</t>
        </is>
      </c>
      <c r="N53" s="2" t="inlineStr">
        <is>
          <t>ข้อ 56 Pharma Plus เล่มม่วง (เฉลยข้อ ค)</t>
        </is>
      </c>
      <c r="O53" s="2" t="n"/>
      <c r="P53" s="2" t="n"/>
    </row>
    <row r="54" ht="13.2" customHeight="1" s="49">
      <c r="A54" s="8" t="inlineStr">
        <is>
          <t>57</t>
        </is>
      </c>
      <c r="B54" s="2" t="inlineStr">
        <is>
          <t>ข้อใดคือกลไกของยา cisplatin</t>
        </is>
      </c>
      <c r="C54" s="2" t="n"/>
      <c r="D54" s="2" t="inlineStr">
        <is>
          <t>ยับยั้ง vascular endothelial growth factor</t>
        </is>
      </c>
      <c r="E54" s="2" t="inlineStr">
        <is>
          <t>ยับยั้งเอนไซม์ dihydrofolate reductase</t>
        </is>
      </c>
      <c r="F54" s="2" t="inlineStr">
        <is>
          <t>ยับยั้งเอนไซม์ topoisomerase II</t>
        </is>
      </c>
      <c r="G54" s="2" t="inlineStr">
        <is>
          <t>ทำให้เกิด DNA crosslink</t>
        </is>
      </c>
      <c r="H54" s="2" t="inlineStr">
        <is>
          <t>เพิ่มการเข้าจับที่ HER-2 receptor</t>
        </is>
      </c>
      <c r="I54" s="8" t="n">
        <v>4</v>
      </c>
      <c r="J54" s="2" t="inlineStr">
        <is>
          <t>✅ คำตอบที่ถูกต้อง: ข้อ ง. ทำให้เกิด DNA crosslink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2" t="n"/>
      <c r="L54" s="2" t="inlineStr">
        <is>
          <t>CINV &amp; Supportive Care</t>
        </is>
      </c>
      <c r="M54" s="2" t="inlineStr">
        <is>
          <t>Clinic</t>
        </is>
      </c>
      <c r="N54" s="2" t="inlineStr">
        <is>
          <t>ข้อ 57 Pharma Plus เล่มม่วง (เฉลยข้อ ง)</t>
        </is>
      </c>
      <c r="O54" s="2" t="n"/>
      <c r="P54" s="2" t="n"/>
    </row>
    <row r="55" ht="13.2" customHeight="1" s="49">
      <c r="A55" s="8" t="inlineStr">
        <is>
          <t>58</t>
        </is>
      </c>
      <c r="B55" s="2" t="inlineStr">
        <is>
          <t>Vincristine ได้มาจากสมุนไพรอะไร</t>
        </is>
      </c>
      <c r="C55" s="2" t="n"/>
      <c r="D55" s="2" t="inlineStr">
        <is>
          <t>ดองดึงหัวขวาน</t>
        </is>
      </c>
      <c r="E55" s="2" t="inlineStr">
        <is>
          <t>รำเพย</t>
        </is>
      </c>
      <c r="F55" s="2" t="inlineStr">
        <is>
          <t>ระย่อมน้อย</t>
        </is>
      </c>
      <c r="G55" s="2" t="inlineStr">
        <is>
          <t>หญ้าปักกิ่ง</t>
        </is>
      </c>
      <c r="H55" s="2" t="inlineStr">
        <is>
          <t>แพงพวยฝรั่ง</t>
        </is>
      </c>
      <c r="I55" s="8" t="n">
        <v>5</v>
      </c>
      <c r="J55" s="2" t="inlineStr">
        <is>
          <t>✅ คำตอบที่ถูกต้อง: ข้อ จ. แพงพวยฝรั่ง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CINV &amp; Supportive Care</t>
        </is>
      </c>
      <c r="M55" s="2" t="inlineStr">
        <is>
          <t>Clinic</t>
        </is>
      </c>
      <c r="N55" s="2" t="inlineStr">
        <is>
          <t>ข้อ 58 Pharma Plus เล่มม่วง (เฉลยข้อ จ)</t>
        </is>
      </c>
      <c r="O55" s="2" t="n"/>
      <c r="P55" s="2" t="n"/>
    </row>
    <row r="56" ht="13.2" customHeight="1" s="49">
      <c r="A56" s="8" t="inlineStr">
        <is>
          <t>59</t>
        </is>
      </c>
      <c r="B56" s="2" t="inlineStr">
        <is>
          <t>ข้อใดถูกต้องเกี่ยวกับการเกิด extravasation ในยาสูตร cisplatin + paclitaxel</t>
        </is>
      </c>
      <c r="C56" s="2" t="n"/>
      <c r="D56" s="2" t="inlineStr">
        <is>
          <t>ประคบร้อนอย่างเดียว สี่ครั้งต่อวัน เป็นเวลาสามวัน</t>
        </is>
      </c>
      <c r="E56" s="2" t="inlineStr">
        <is>
          <t>รัดแขนเหนือบริเวณที่ฉีดยา</t>
        </is>
      </c>
      <c r="F56" s="2" t="inlineStr">
        <is>
          <t>ให้สารละลาย 0.9% NSS เข้าไปในหลอดเลือด</t>
        </is>
      </c>
      <c r="G56" s="2" t="inlineStr">
        <is>
          <t>ถ้าปวดมากให้ใช้ DMSO นาน 7 วัน</t>
        </is>
      </c>
      <c r="H56" s="2" t="inlineStr">
        <is>
          <t>ให้ antidote ที่จำเพาะคือ Hyaluronidase</t>
        </is>
      </c>
      <c r="I56" s="8" t="n">
        <v>5</v>
      </c>
      <c r="J56" s="2" t="inlineStr">
        <is>
          <t>✅ คำตอบที่ถูกต้อง: ข้อ จ. ให้ antidote ที่จำเพาะคือ Hyaluronidase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2" t="n"/>
      <c r="L56" s="2" t="inlineStr">
        <is>
          <t>CINV &amp; Supportive Care</t>
        </is>
      </c>
      <c r="M56" s="2" t="inlineStr">
        <is>
          <t>Clinic</t>
        </is>
      </c>
      <c r="N56" s="2" t="inlineStr">
        <is>
          <t>ข้อ 59 Pharma Plus เล่มม่วง (เฉลยข้อ จ)</t>
        </is>
      </c>
      <c r="O56" s="2" t="n"/>
      <c r="P56" s="2" t="n"/>
    </row>
    <row r="57" ht="13.2" customHeight="1" s="49">
      <c r="A57" s="8" t="inlineStr">
        <is>
          <t>60</t>
        </is>
      </c>
      <c r="B57" s="2" t="inlineStr">
        <is>
          <t>ผลข้างเคียงที่พบน้อยของยา paclitaxel คือข้อใด</t>
        </is>
      </c>
      <c r="C57" s="2" t="n"/>
      <c r="D57" s="2" t="inlineStr">
        <is>
          <t>Diarrhea</t>
        </is>
      </c>
      <c r="E57" s="2" t="inlineStr">
        <is>
          <t>Alopecia</t>
        </is>
      </c>
      <c r="F57" s="2" t="inlineStr">
        <is>
          <t>Ototoxicity</t>
        </is>
      </c>
      <c r="G57" s="2" t="inlineStr">
        <is>
          <t>Hypersensitivity</t>
        </is>
      </c>
      <c r="H57" s="2" t="inlineStr">
        <is>
          <t>Bone marrow suppression</t>
        </is>
      </c>
      <c r="I57" s="8" t="n">
        <v>3</v>
      </c>
      <c r="J57" s="2" t="inlineStr">
        <is>
          <t>✅ คำตอบที่ถูกต้อง: ข้อ ค. Ototoxicity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CINV &amp; Supportive Care</t>
        </is>
      </c>
      <c r="M57" s="2" t="inlineStr">
        <is>
          <t>Clinic</t>
        </is>
      </c>
      <c r="N57" s="2" t="inlineStr">
        <is>
          <t>ข้อ 60 Pharma Plus เล่มม่วง (เฉลยข้อ ค)</t>
        </is>
      </c>
      <c r="O57" s="2" t="n"/>
      <c r="P57" s="2" t="n"/>
    </row>
    <row r="58" ht="13.2" customHeight="1" s="49">
      <c r="A58" s="8" t="inlineStr">
        <is>
          <t>62</t>
        </is>
      </c>
      <c r="B58" s="2"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2" t="n"/>
      <c r="D58" s="2" t="inlineStr">
        <is>
          <t>0.67</t>
        </is>
      </c>
      <c r="E58" s="2" t="inlineStr">
        <is>
          <t>1.3</t>
        </is>
      </c>
      <c r="F58" s="2" t="inlineStr">
        <is>
          <t>1.5</t>
        </is>
      </c>
      <c r="G58" s="2" t="inlineStr">
        <is>
          <t>Dexamethasone 12 mg IV stat</t>
        </is>
      </c>
      <c r="H58" s="2" t="inlineStr">
        <is>
          <t>2.4</t>
        </is>
      </c>
      <c r="I58" s="8" t="n">
        <v>3</v>
      </c>
      <c r="J58" s="2" t="inlineStr">
        <is>
          <t>✅ คำตอบที่ถูกต้อง: ข้อ ค. 1.5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2" t="n"/>
      <c r="L58" s="2" t="inlineStr">
        <is>
          <t>CINV &amp; Supportive Care</t>
        </is>
      </c>
      <c r="M58" s="2" t="inlineStr">
        <is>
          <t>Clinic</t>
        </is>
      </c>
      <c r="N58" s="2" t="inlineStr">
        <is>
          <t>ข้อ 62 Pharma Plus เล่มม่วง (เฉลยข้อ ค)</t>
        </is>
      </c>
      <c r="O58" s="2" t="n"/>
      <c r="P58" s="2" t="n"/>
    </row>
    <row r="59" ht="13.2" customHeight="1" s="49">
      <c r="A59" s="8" t="inlineStr">
        <is>
          <t>63</t>
        </is>
      </c>
      <c r="B59" s="2" t="inlineStr">
        <is>
          <t>ข้อใดคือขนาดยาของ cyclophosphamide ที่ถูกต้องในผู้ป่วยรายนี้</t>
        </is>
      </c>
      <c r="C59" s="2" t="n"/>
      <c r="D59" s="2" t="inlineStr">
        <is>
          <t>130 mg</t>
        </is>
      </c>
      <c r="E59" s="2" t="inlineStr">
        <is>
          <t>150 mg</t>
        </is>
      </c>
      <c r="F59" s="2" t="inlineStr">
        <is>
          <t>200 mg</t>
        </is>
      </c>
      <c r="G59" s="2" t="inlineStr">
        <is>
          <t>225 mg</t>
        </is>
      </c>
      <c r="H59" s="2" t="inlineStr">
        <is>
          <t>450 mg</t>
        </is>
      </c>
      <c r="I59" s="8" t="n">
        <v>2</v>
      </c>
      <c r="J59" s="2" t="inlineStr">
        <is>
          <t>✅ คำตอบที่ถูกต้อง: ข้อ ข. 150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CINV &amp; Supportive Care</t>
        </is>
      </c>
      <c r="M59" s="2" t="inlineStr">
        <is>
          <t>Clinic</t>
        </is>
      </c>
      <c r="N59" s="2" t="inlineStr">
        <is>
          <t>ข้อ 63 Pharma Plus เล่มม่วง (เฉลยข้อ ข)</t>
        </is>
      </c>
      <c r="O59" s="2" t="n"/>
      <c r="P59" s="2" t="n"/>
    </row>
    <row r="60" ht="13.2" customHeight="1" s="49">
      <c r="A60" s="8" t="inlineStr">
        <is>
          <t>64</t>
        </is>
      </c>
      <c r="B60" s="2" t="inlineStr">
        <is>
          <t>ข้อใดคือผลข้างเคียงของยา cyclophosphamide ที่สำคัญ</t>
        </is>
      </c>
      <c r="C60" s="2" t="n"/>
      <c r="D60" s="2" t="inlineStr">
        <is>
          <t>Hemorrhagic cystitis</t>
        </is>
      </c>
      <c r="E60" s="2" t="inlineStr">
        <is>
          <t>Hepatotoxic</t>
        </is>
      </c>
      <c r="F60" s="2" t="inlineStr">
        <is>
          <t>Thrombocytopenia</t>
        </is>
      </c>
      <c r="G60" s="2" t="inlineStr">
        <is>
          <t>Cardiac conduction ผิดปกติ</t>
        </is>
      </c>
      <c r="H60" s="2" t="inlineStr">
        <is>
          <t>Alopecia</t>
        </is>
      </c>
      <c r="I60" s="8" t="n">
        <v>1</v>
      </c>
      <c r="J60" s="2" t="inlineStr">
        <is>
          <t>✅ คำตอบที่ถูกต้อง: ข้อ ก. Hemorrhagic cystitis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CINV &amp; Supportive Care</t>
        </is>
      </c>
      <c r="M60" s="2" t="inlineStr">
        <is>
          <t>Clinic</t>
        </is>
      </c>
      <c r="N60" s="2" t="inlineStr">
        <is>
          <t>ข้อ 64 Pharma Plus เล่มม่วง (เฉลยข้อ ก)</t>
        </is>
      </c>
      <c r="O60" s="2" t="n"/>
      <c r="P60" s="2" t="n"/>
    </row>
    <row r="61" ht="13.2" customHeight="1" s="49">
      <c r="A61" s="8" t="inlineStr">
        <is>
          <t>65</t>
        </is>
      </c>
      <c r="B61" s="2" t="inlineStr">
        <is>
          <t>ยาในข้อใด มีกลไกการออกฤทธิ์เหมือนยา cyclophosphamide</t>
        </is>
      </c>
      <c r="C61" s="2" t="n"/>
      <c r="D61" s="2" t="inlineStr">
        <is>
          <t>Doxorubicin</t>
        </is>
      </c>
      <c r="E61" s="2" t="inlineStr">
        <is>
          <t>5-FU</t>
        </is>
      </c>
      <c r="F61" s="2" t="inlineStr">
        <is>
          <t>Cisplatin</t>
        </is>
      </c>
      <c r="G61" s="2" t="inlineStr">
        <is>
          <t>Etoposide</t>
        </is>
      </c>
      <c r="H61" s="2" t="inlineStr">
        <is>
          <t>Vincristine</t>
        </is>
      </c>
      <c r="I61" s="8" t="n">
        <v>3</v>
      </c>
      <c r="J61" s="2"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CINV &amp; Supportive Care</t>
        </is>
      </c>
      <c r="M61" s="2" t="inlineStr">
        <is>
          <t>Clinic</t>
        </is>
      </c>
      <c r="N61" s="2" t="inlineStr">
        <is>
          <t>ข้อ 65 Pharma Plus เล่มม่วง (เฉลยข้อ ค)</t>
        </is>
      </c>
      <c r="O61" s="2" t="n"/>
      <c r="P61" s="2" t="n"/>
    </row>
    <row r="62" ht="13.2" customHeight="1" s="49">
      <c r="A62" s="8" t="inlineStr">
        <is>
          <t>66</t>
        </is>
      </c>
      <c r="B62" s="2" t="inlineStr">
        <is>
          <t>ข้อใดคือผลข้างเคียงของยา methotrexate</t>
        </is>
      </c>
      <c r="C62" s="2" t="n"/>
      <c r="D62" s="2" t="inlineStr">
        <is>
          <t>Hemorrhagic cystitis</t>
        </is>
      </c>
      <c r="E62" s="2" t="inlineStr">
        <is>
          <t>Stomatitis</t>
        </is>
      </c>
      <c r="F62" s="2" t="inlineStr">
        <is>
          <t>Thrombocytopenia</t>
        </is>
      </c>
      <c r="G62" s="2" t="inlineStr">
        <is>
          <t>Cardiac conduction ผิดปกติ</t>
        </is>
      </c>
      <c r="H62" s="2" t="inlineStr">
        <is>
          <t>Alopecia</t>
        </is>
      </c>
      <c r="I62" s="8" t="n">
        <v>2</v>
      </c>
      <c r="J62" s="2" t="inlineStr">
        <is>
          <t>✅ คำตอบที่ถูกต้อง: ข้อ ข. Stomatitis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2" t="n"/>
      <c r="L62" s="2" t="inlineStr">
        <is>
          <t>CINV &amp; Supportive Care</t>
        </is>
      </c>
      <c r="M62" s="2" t="inlineStr">
        <is>
          <t>Clinic</t>
        </is>
      </c>
      <c r="N62" s="2" t="inlineStr">
        <is>
          <t>ข้อ 66 Pharma Plus เล่มม่วง (เฉลยข้อ ข ค จ)</t>
        </is>
      </c>
      <c r="O62" s="2" t="n"/>
      <c r="P62" s="2" t="n"/>
    </row>
    <row r="63" ht="13.2" customHeight="1" s="49">
      <c r="A63" s="8" t="inlineStr">
        <is>
          <t>67</t>
        </is>
      </c>
      <c r="B63" s="2" t="inlineStr">
        <is>
          <t>ยาในข้อใดเสริมการออกฤทธิ์ cytotoxic ของยา 5-FU</t>
        </is>
      </c>
      <c r="C63" s="2" t="n"/>
      <c r="D63" s="2" t="inlineStr">
        <is>
          <t>Dexamethasone</t>
        </is>
      </c>
      <c r="E63" s="2" t="inlineStr">
        <is>
          <t>Ondansetron</t>
        </is>
      </c>
      <c r="F63" s="2" t="inlineStr">
        <is>
          <t>Folic acid</t>
        </is>
      </c>
      <c r="G63" s="2" t="inlineStr">
        <is>
          <t>Allopurinol</t>
        </is>
      </c>
      <c r="H63" s="2" t="inlineStr">
        <is>
          <t>Leucovorin</t>
        </is>
      </c>
      <c r="I63" s="8" t="n">
        <v>5</v>
      </c>
      <c r="J63" s="2" t="inlineStr">
        <is>
          <t>✅ คำตอบที่ถูกต้อง: ข้อ จ. Leucovorin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CINV &amp; Supportive Care</t>
        </is>
      </c>
      <c r="M63" s="2" t="inlineStr">
        <is>
          <t>Clinic</t>
        </is>
      </c>
      <c r="N63" s="2" t="inlineStr">
        <is>
          <t>ข้อ 67 Pharma Plus เล่มม่วง (เฉลยข้อ จ)</t>
        </is>
      </c>
      <c r="O63" s="2" t="n"/>
      <c r="P63" s="2" t="n"/>
    </row>
    <row r="64" ht="13.2" customHeight="1" s="49">
      <c r="A64" s="8" t="inlineStr">
        <is>
          <t>69</t>
        </is>
      </c>
      <c r="B64" s="2" t="inlineStr">
        <is>
          <t>ข้อใดเป็นกลไกของ Anti-PD1 สำหรับรักษา NSCLC</t>
        </is>
      </c>
      <c r="C64" s="2" t="n"/>
      <c r="D64" s="8" t="inlineStr">
        <is>
          <t>จับกับ PD-L1 บน cell มะเร็ง</t>
        </is>
      </c>
      <c r="E64" s="8" t="inlineStr">
        <is>
          <t>จับกับ PD-1 บน T cell</t>
        </is>
      </c>
      <c r="F64" s="8" t="inlineStr">
        <is>
          <t>กระตุ้นให้เกิดการสร้าง antigen</t>
        </is>
      </c>
      <c r="G64" s="2" t="inlineStr">
        <is>
          <t>จับกับ CTLA-4</t>
        </is>
      </c>
      <c r="H64" s="8" t="inlineStr">
        <is>
          <t>จับกับ tyrosine kinase</t>
        </is>
      </c>
      <c r="I64" s="8" t="n">
        <v>1</v>
      </c>
      <c r="J64" s="2" t="inlineStr">
        <is>
          <t>✅ คำตอบที่ถูกต้อง: ข้อ ก. จับกับ PD-L1 บน cell มะเร็ง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CINV &amp; Supportive Care</t>
        </is>
      </c>
      <c r="M64" s="2" t="inlineStr">
        <is>
          <t>Oncologic</t>
        </is>
      </c>
      <c r="N64" s="2" t="inlineStr">
        <is>
          <t>Mock PLE-CC 1 ข้อ 76</t>
        </is>
      </c>
      <c r="O64" s="2" t="n"/>
      <c r="P64" s="2" t="n"/>
    </row>
    <row r="65" ht="13.2" customHeight="1" s="49">
      <c r="A65" s="8" t="inlineStr">
        <is>
          <t>70</t>
        </is>
      </c>
      <c r="B65" s="2" t="inlineStr">
        <is>
          <t>ลดความเสี่ยงมะเร็งเต้านม</t>
        </is>
      </c>
      <c r="C65" s="2" t="n"/>
      <c r="D65" s="2" t="inlineStr">
        <is>
          <t>Oncologic</t>
        </is>
      </c>
      <c r="E65" s="2" t="inlineStr">
        <is>
          <t>Palonosetron 0.25 mg IV stat</t>
        </is>
      </c>
      <c r="F65" s="2" t="inlineStr">
        <is>
          <t>Ondansetron 8 mg IV stat</t>
        </is>
      </c>
      <c r="G65" s="2" t="inlineStr">
        <is>
          <t>Aprepitant 125 mg PO stat</t>
        </is>
      </c>
      <c r="H65" s="2" t="inlineStr">
        <is>
          <t>Dexamethasone 12 mg IV stat</t>
        </is>
      </c>
      <c r="I65" s="8" t="n">
        <v>1</v>
      </c>
      <c r="J65"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5" s="2" t="n"/>
      <c r="L65" s="2" t="inlineStr">
        <is>
          <t>CINV &amp; Supportive Care</t>
        </is>
      </c>
      <c r="M65" s="2" t="inlineStr">
        <is>
          <t>Oncologic</t>
        </is>
      </c>
      <c r="N65" s="2" t="inlineStr">
        <is>
          <t>PLE-CC1 ปี 2566 Day 1 ข้อ 2</t>
        </is>
      </c>
      <c r="O65" s="2" t="n"/>
      <c r="P65" s="2" t="n"/>
    </row>
    <row r="66" ht="13.2" customHeight="1" s="49">
      <c r="A66" s="8" t="inlineStr">
        <is>
          <t>71</t>
        </is>
      </c>
      <c r="B66" s="2" t="inlineStr">
        <is>
          <t>Epinehrine ผู้ป่วยได้รับยาchemotherapy สูตรac ควรได้รับยาต้านอาเจียนอะไรบ้าง ตัวเลือก</t>
        </is>
      </c>
      <c r="C66" s="2" t="n"/>
      <c r="D66" s="2" t="inlineStr">
        <is>
          <t>Oncologic</t>
        </is>
      </c>
      <c r="E66" s="2" t="inlineStr">
        <is>
          <t>Dexamethasone 12 mg IV stat</t>
        </is>
      </c>
      <c r="F66" s="2" t="inlineStr">
        <is>
          <t>Filgrastim (G-CSF) 300 mcg SC OD</t>
        </is>
      </c>
      <c r="G66" s="2" t="inlineStr">
        <is>
          <t>Metoclopramide 10 mg TID</t>
        </is>
      </c>
      <c r="H66" s="2" t="inlineStr">
        <is>
          <t>Lorazepam 1 mg PO PRN</t>
        </is>
      </c>
      <c r="I66" s="8" t="n">
        <v>1</v>
      </c>
      <c r="J66"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6" s="2" t="n"/>
      <c r="L66" s="2" t="inlineStr">
        <is>
          <t>CINV &amp; Supportive Care</t>
        </is>
      </c>
      <c r="M66" s="2" t="inlineStr">
        <is>
          <t>Oncologic</t>
        </is>
      </c>
      <c r="N66" s="2" t="inlineStr">
        <is>
          <t>PLE-CC1 ปี 2566 Day 2 ข้อ 3</t>
        </is>
      </c>
      <c r="O66" s="2" t="n"/>
      <c r="P66" s="2" t="n"/>
    </row>
    <row r="67" ht="13.2" customHeight="1" s="49">
      <c r="A67" s="8" t="inlineStr">
        <is>
          <t>72</t>
        </is>
      </c>
      <c r="B67" s="2" t="inlineStr">
        <is>
          <t>Cancer…ได้รับสูตรยาที่มีDoxorubicin ประเมินอะไรก่อนให้ยา… ตัวเลือก</t>
        </is>
      </c>
      <c r="C67" s="2" t="n"/>
      <c r="D67" s="2" t="inlineStr">
        <is>
          <t>Oncologic</t>
        </is>
      </c>
      <c r="E67" s="2" t="inlineStr">
        <is>
          <t>LVEF</t>
        </is>
      </c>
      <c r="F67" s="2" t="inlineStr">
        <is>
          <t>Morphine 10 mg PO Q4H PRN</t>
        </is>
      </c>
      <c r="G67" s="2" t="inlineStr">
        <is>
          <t>Calcium folinate (Leucovorin) 50 mg IV</t>
        </is>
      </c>
      <c r="H67" s="2" t="inlineStr">
        <is>
          <t>Mesna 400 mg IV stat</t>
        </is>
      </c>
      <c r="I67" s="8" t="n">
        <v>1</v>
      </c>
      <c r="J67"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LVEF ไม่ตรงกับข้อบ่งใช้หรือกลไกการออกฤทธิ์ที่ถูกต้องตาม NCCN Clinical Practice Guidelines in Oncology / ASCO Guidelines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7" s="2" t="n"/>
      <c r="L67" s="2" t="inlineStr">
        <is>
          <t>CINV &amp; Supportive Care</t>
        </is>
      </c>
      <c r="M67" s="2" t="inlineStr">
        <is>
          <t>Oncologic</t>
        </is>
      </c>
      <c r="N67" s="2" t="inlineStr">
        <is>
          <t>PLE-CC1 ปี 2566 Day 2 ข้อ 12</t>
        </is>
      </c>
      <c r="O67" s="2" t="n"/>
      <c r="P67" s="2" t="n"/>
    </row>
    <row r="68" ht="13.2" customHeight="1" s="49">
      <c r="A68" s="8" t="inlineStr">
        <is>
          <t>72</t>
        </is>
      </c>
      <c r="B68" s="2" t="inlineStr">
        <is>
          <t>ผู้ป่วยมะเร็งเต้านมต้องกิน tamoxifen นานเท่าใด</t>
        </is>
      </c>
      <c r="C68" s="2" t="n"/>
      <c r="D68" s="2" t="inlineStr">
        <is>
          <t>14 วัน</t>
        </is>
      </c>
      <c r="E68" s="2" t="inlineStr">
        <is>
          <t>30 วัน</t>
        </is>
      </c>
      <c r="F68" s="2" t="inlineStr">
        <is>
          <t>6 เดือน</t>
        </is>
      </c>
      <c r="G68" s="2" t="inlineStr">
        <is>
          <t>1 ปี</t>
        </is>
      </c>
      <c r="H68" s="2" t="inlineStr">
        <is>
          <t>5 ปี</t>
        </is>
      </c>
      <c r="I68" s="8" t="n">
        <v>1</v>
      </c>
      <c r="J68" s="2" t="inlineStr">
        <is>
          <t>✅ คำตอบที่ถูกต้อง: ข้อ ก. 14 วัน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30 วัน ไม่ตรงกับข้อบ่งใช้หรือกลไกการออกฤทธิ์ที่ถูกต้องตาม NCCN Clinical Practice Guidelines in Oncology / ASCO Guidelines
• ข้อ ค. (6 เดือน): 6 เดือน ไม่ตรงกับข้อบ่งใช้หรือกลไกการออกฤทธิ์ที่ถูกต้องตาม NCCN Clinical Practice Guidelines in Oncology / ASCO Guidelines
• ข้อ ง. (1 ปี): 1 ปี ไม่ตรงกับข้อบ่งใช้หรือกลไกการออกฤทธิ์ที่ถูกต้องตาม NCCN Clinical Practice Guidelines in Oncology / ASCO Guidelines
• ข้อ จ. (5 ปี): 5 ปี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2" t="n"/>
      <c r="L68" s="2" t="inlineStr">
        <is>
          <t>CINV &amp; Supportive Care</t>
        </is>
      </c>
      <c r="M68" s="2" t="inlineStr">
        <is>
          <t>Clinic</t>
        </is>
      </c>
      <c r="N68" s="2" t="inlineStr">
        <is>
          <t>ข้อ 66 (PLE_CC1_2558_Key.md)</t>
        </is>
      </c>
      <c r="O68" s="2" t="n"/>
      <c r="P68" s="2" t="n"/>
    </row>
    <row r="69" ht="13.2" customHeight="1" s="49">
      <c r="A69" s="8" t="inlineStr">
        <is>
          <t>73</t>
        </is>
      </c>
      <c r="B69" s="2" t="inlineStr">
        <is>
          <t>Gene ที่จำเพาะต่อมะเร็งเต้านม</t>
        </is>
      </c>
      <c r="C69" s="2" t="n"/>
      <c r="D69" s="2" t="inlineStr">
        <is>
          <t>KRAS</t>
        </is>
      </c>
      <c r="E69" s="2" t="inlineStr">
        <is>
          <t>BRCA-2</t>
        </is>
      </c>
      <c r="F69" s="2" t="inlineStr">
        <is>
          <t>P53</t>
        </is>
      </c>
      <c r="G69" s="2" t="inlineStr">
        <is>
          <t>EGFR</t>
        </is>
      </c>
      <c r="H69" s="2" t="inlineStr">
        <is>
          <t>HER-2</t>
        </is>
      </c>
      <c r="I69" s="8" t="n">
        <v>1</v>
      </c>
      <c r="J69" s="2" t="inlineStr">
        <is>
          <t>✅ คำตอบที่ถูกต้อง: ข้อ ก. KRAS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BRCA-2 ไม่ตรงกับข้อบ่งใช้หรือกลไกการออกฤทธิ์ที่ถูกต้องตาม NCCN Clinical Practice Guidelines in Oncology / ASCO Guidelines
• ข้อ ค. (P53): P53 ไม่ตรงกับข้อบ่งใช้หรือกลไกการออกฤทธิ์ที่ถูกต้องตาม NCCN Clinical Practice Guidelines in Oncology / ASCO Guidelines
• ข้อ ง. (EGFR): EGFR ไม่ตรงกับข้อบ่งใช้หรือกลไกการออกฤทธิ์ที่ถูกต้องตาม NCCN Clinical Practice Guidelines in Oncology / ASCO Guidelines
• ข้อ จ. (HER-2): HER-2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2" t="n"/>
      <c r="L69" s="2" t="inlineStr">
        <is>
          <t>CINV &amp; Supportive Care</t>
        </is>
      </c>
      <c r="M69" s="2" t="inlineStr">
        <is>
          <t>Clinic</t>
        </is>
      </c>
      <c r="N69" s="2" t="inlineStr">
        <is>
          <t>ข้อ 79 (Pharmtutor_2024_Set2.md)</t>
        </is>
      </c>
      <c r="O69" s="2" t="n"/>
      <c r="P69" s="2" t="n"/>
    </row>
    <row r="70" ht="13.2" customHeight="1" s="49">
      <c r="A70" s="8" t="inlineStr">
        <is>
          <t>74</t>
        </is>
      </c>
      <c r="B70" s="2" t="inlineStr">
        <is>
          <t>Cisplatin 50 mg และ Vinblastin 6 mg</t>
        </is>
      </c>
      <c r="C70" s="2" t="n"/>
      <c r="D70" s="2" t="inlineStr">
        <is>
          <t>Dexamethasone 12 mg IV stat</t>
        </is>
      </c>
      <c r="E70" s="2" t="inlineStr">
        <is>
          <t>Filgrastim (G-CSF) 300 mcg SC OD</t>
        </is>
      </c>
      <c r="F70" s="2" t="inlineStr">
        <is>
          <t>Metoclopramide 10 mg TID</t>
        </is>
      </c>
      <c r="G70" s="2" t="inlineStr">
        <is>
          <t>Lorazepam 1 mg PO PRN</t>
        </is>
      </c>
      <c r="H70" s="2" t="inlineStr">
        <is>
          <t>Morphine 10 mg PO Q4H PRN</t>
        </is>
      </c>
      <c r="I70" s="8" t="n">
        <v>1</v>
      </c>
      <c r="J70" s="2"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2" t="n"/>
      <c r="L70" s="2" t="inlineStr">
        <is>
          <t>CINV &amp; Supportive Care</t>
        </is>
      </c>
      <c r="M70" s="2" t="inlineStr">
        <is>
          <t>Clinic</t>
        </is>
      </c>
      <c r="N70" s="2" t="inlineStr">
        <is>
          <t>ข้อ 1 (PLE_CC1_2533.md)</t>
        </is>
      </c>
      <c r="O70" s="2" t="n"/>
      <c r="P70" s="2" t="n"/>
      <c r="Q70" s="2" t="n"/>
    </row>
    <row r="71" ht="13.2" customHeight="1" s="49">
      <c r="A71" s="8" t="inlineStr">
        <is>
          <t>75</t>
        </is>
      </c>
      <c r="B71" s="2" t="inlineStr">
        <is>
          <t>Cisplatin 100 mg และ Vinblastin 12 mg</t>
        </is>
      </c>
      <c r="C71" s="2" t="n"/>
      <c r="D71" s="2" t="inlineStr">
        <is>
          <t>Lorazepam 1 mg PO PRN</t>
        </is>
      </c>
      <c r="E71" s="2" t="inlineStr">
        <is>
          <t>Morphine 10 mg PO Q4H PRN</t>
        </is>
      </c>
      <c r="F71" s="2" t="inlineStr">
        <is>
          <t>Calcium folinate (Leucovorin) 50 mg IV</t>
        </is>
      </c>
      <c r="G71" s="2" t="inlineStr">
        <is>
          <t>Mesna 400 mg IV stat</t>
        </is>
      </c>
      <c r="H71" s="2" t="inlineStr">
        <is>
          <t>Rasburicase 0.2 mg/kg IV</t>
        </is>
      </c>
      <c r="I71" s="8" t="n">
        <v>1</v>
      </c>
      <c r="J71" s="2"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2" t="n"/>
      <c r="L71" s="2" t="inlineStr">
        <is>
          <t>CINV &amp; Supportive Care</t>
        </is>
      </c>
      <c r="M71" s="2" t="inlineStr">
        <is>
          <t>Clinic</t>
        </is>
      </c>
      <c r="N71" s="2" t="inlineStr">
        <is>
          <t>ข้อ 2 (PLE_CC1_2533.md)</t>
        </is>
      </c>
      <c r="O71" s="2" t="n"/>
      <c r="P71" s="2" t="n"/>
    </row>
    <row r="72" ht="13.2" customHeight="1" s="49">
      <c r="A72" s="8" t="inlineStr">
        <is>
          <t>76</t>
        </is>
      </c>
      <c r="B72" s="2" t="inlineStr">
        <is>
          <t>Cisplatin 125 mg และ Vinblastin 18 mg</t>
        </is>
      </c>
      <c r="C72" s="2" t="n"/>
      <c r="D72" s="2" t="inlineStr">
        <is>
          <t>Mesna 400 mg IV stat</t>
        </is>
      </c>
      <c r="E72" s="2" t="inlineStr">
        <is>
          <t>Rasburicase 0.2 mg/kg IV</t>
        </is>
      </c>
      <c r="F72" s="2" t="inlineStr">
        <is>
          <t>Palonosetron 0.25 mg IV stat</t>
        </is>
      </c>
      <c r="G72" s="2" t="inlineStr">
        <is>
          <t>Ondansetron 8 mg IV stat</t>
        </is>
      </c>
      <c r="H72" s="2" t="inlineStr">
        <is>
          <t>Aprepitant 125 mg PO stat</t>
        </is>
      </c>
      <c r="I72" s="8" t="n">
        <v>1</v>
      </c>
      <c r="J72" s="2"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2" t="n"/>
      <c r="L72" s="2" t="inlineStr">
        <is>
          <t>CINV &amp; Supportive Care</t>
        </is>
      </c>
      <c r="M72" s="2" t="inlineStr">
        <is>
          <t>Clinic</t>
        </is>
      </c>
      <c r="N72" s="2" t="inlineStr">
        <is>
          <t>ข้อ 3 (PLE_CC1_2533.md)</t>
        </is>
      </c>
      <c r="O72" s="2" t="n"/>
      <c r="P72" s="2" t="n"/>
    </row>
    <row r="73" ht="13.2" customHeight="1" s="49">
      <c r="A73" s="8" t="inlineStr">
        <is>
          <t>77</t>
        </is>
      </c>
      <c r="B73" s="2" t="inlineStr">
        <is>
          <t>Cisplatin 150 mg และ Vinblastin 24 mg</t>
        </is>
      </c>
      <c r="C73" s="2" t="n"/>
      <c r="D73" s="2" t="inlineStr">
        <is>
          <t>Ondansetron 8 mg IV stat</t>
        </is>
      </c>
      <c r="E73" s="2" t="inlineStr">
        <is>
          <t>Aprepitant 125 mg PO stat</t>
        </is>
      </c>
      <c r="F73" s="2" t="inlineStr">
        <is>
          <t>Dexamethasone 12 mg IV stat</t>
        </is>
      </c>
      <c r="G73" s="2" t="inlineStr">
        <is>
          <t>Filgrastim (G-CSF) 300 mcg SC OD</t>
        </is>
      </c>
      <c r="H73" s="2" t="inlineStr">
        <is>
          <t>Metoclopramide 10 mg TID</t>
        </is>
      </c>
      <c r="I73" s="8" t="n">
        <v>1</v>
      </c>
      <c r="J73" s="2"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2" t="n"/>
      <c r="L73" s="2" t="inlineStr">
        <is>
          <t>CINV &amp; Supportive Care</t>
        </is>
      </c>
      <c r="M73" s="2" t="inlineStr">
        <is>
          <t>Clinic</t>
        </is>
      </c>
      <c r="N73" s="2" t="inlineStr">
        <is>
          <t>ข้อ 4 (PLE_CC1_2533.md)</t>
        </is>
      </c>
      <c r="O73" s="2" t="n"/>
      <c r="P73" s="2" t="n"/>
    </row>
    <row r="74" ht="13.2" customHeight="1" s="49">
      <c r="A74" s="8" t="inlineStr">
        <is>
          <t>78</t>
        </is>
      </c>
      <c r="B74" s="2" t="inlineStr">
        <is>
          <t>Cisplatin 175 mg และ Vinblastin 48 mg</t>
        </is>
      </c>
      <c r="C74" s="2" t="n"/>
      <c r="D74" s="2" t="inlineStr">
        <is>
          <t>Filgrastim (G-CSF) 300 mcg SC OD</t>
        </is>
      </c>
      <c r="E74" s="2" t="inlineStr">
        <is>
          <t>Metoclopramide 10 mg TID</t>
        </is>
      </c>
      <c r="F74" s="2" t="inlineStr">
        <is>
          <t>Lorazepam 1 mg PO PRN</t>
        </is>
      </c>
      <c r="G74" s="2" t="inlineStr">
        <is>
          <t>Morphine 10 mg PO Q4H PRN</t>
        </is>
      </c>
      <c r="H74" s="2" t="inlineStr">
        <is>
          <t>Calcium folinate (Leucovorin) 50 mg IV</t>
        </is>
      </c>
      <c r="I74" s="8" t="n">
        <v>1</v>
      </c>
      <c r="J74" s="2"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2" t="n"/>
      <c r="L74" s="2" t="inlineStr">
        <is>
          <t>CINV &amp; Supportive Care</t>
        </is>
      </c>
      <c r="M74" s="2" t="inlineStr">
        <is>
          <t>Clinic</t>
        </is>
      </c>
      <c r="N74" s="2" t="inlineStr">
        <is>
          <t>ข้อ 5 (PLE_CC1_2533.md)</t>
        </is>
      </c>
      <c r="O74" s="2" t="n"/>
      <c r="P74" s="2" t="n"/>
    </row>
    <row r="75" ht="13.2" customHeight="1" s="49">
      <c r="A75" s="8" t="inlineStr">
        <is>
          <t>79</t>
        </is>
      </c>
      <c r="B75" s="2" t="inlineStr">
        <is>
          <t>อาการอาเจียนที่เกิดขึ้นจาก Cisplatin ป้องกันได้ด้วยวิธีใด</t>
        </is>
      </c>
      <c r="C75" s="2" t="n"/>
      <c r="D75" s="2" t="inlineStr">
        <is>
          <t>Morphine 10 mg PO Q4H PRN</t>
        </is>
      </c>
      <c r="E75" s="2" t="inlineStr">
        <is>
          <t>Calcium folinate (Leucovorin) 50 mg IV</t>
        </is>
      </c>
      <c r="F75" s="2" t="inlineStr">
        <is>
          <t>Mesna 400 mg IV stat</t>
        </is>
      </c>
      <c r="G75" s="2" t="inlineStr">
        <is>
          <t>Rasburicase 0.2 mg/kg IV</t>
        </is>
      </c>
      <c r="H75" s="2" t="inlineStr">
        <is>
          <t>Palonosetron 0.25 mg IV stat</t>
        </is>
      </c>
      <c r="I75" s="8" t="n">
        <v>1</v>
      </c>
      <c r="J75" s="2" t="inlineStr">
        <is>
          <t>✅ คำตอบที่ถูกต้อง: ข้อ ก. Morphine 10 mg PO Q4H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2" t="n"/>
      <c r="L75" s="2" t="inlineStr">
        <is>
          <t>CINV &amp; Supportive Care</t>
        </is>
      </c>
      <c r="M75" s="2" t="inlineStr">
        <is>
          <t>Clinic</t>
        </is>
      </c>
      <c r="N75" s="2" t="inlineStr">
        <is>
          <t>ข้อ 4 (PLE_CC1_2533.md)</t>
        </is>
      </c>
      <c r="O75" s="2" t="n"/>
      <c r="P75" s="2" t="n"/>
    </row>
    <row r="76" ht="13.2" customHeight="1" s="49">
      <c r="A76" s="8" t="inlineStr">
        <is>
          <t>80</t>
        </is>
      </c>
      <c r="B76" s="2" t="inlineStr">
        <is>
          <t>ควรฉีด Cisplatin แบบ IV push</t>
        </is>
      </c>
      <c r="C76" s="2" t="n"/>
      <c r="D76" s="2" t="inlineStr">
        <is>
          <t>Rasburicase 0.2 mg/kg IV</t>
        </is>
      </c>
      <c r="E76" s="2" t="inlineStr">
        <is>
          <t>Palonosetron 0.25 mg IV stat</t>
        </is>
      </c>
      <c r="F76" s="2" t="inlineStr">
        <is>
          <t>Ondansetron 8 mg IV stat</t>
        </is>
      </c>
      <c r="G76" s="2" t="inlineStr">
        <is>
          <t>Aprepitant 125 mg PO stat</t>
        </is>
      </c>
      <c r="H76" s="2" t="inlineStr">
        <is>
          <t>Dexamethasone 12 mg IV stat</t>
        </is>
      </c>
      <c r="I76" s="8" t="n">
        <v>1</v>
      </c>
      <c r="J76" s="2" t="inlineStr">
        <is>
          <t>✅ คำตอบที่ถูกต้อง: ข้อ ก.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2" t="n"/>
      <c r="L76" s="2" t="inlineStr">
        <is>
          <t>CINV &amp; Supportive Care</t>
        </is>
      </c>
      <c r="M76" s="2" t="inlineStr">
        <is>
          <t>Clinic</t>
        </is>
      </c>
      <c r="N76" s="2" t="inlineStr">
        <is>
          <t>ข้อ 2 (PLE_CC1_2533.md)</t>
        </is>
      </c>
      <c r="O76" s="2" t="n"/>
      <c r="P76" s="2" t="n"/>
    </row>
    <row r="77" ht="13.2" customHeight="1" s="49">
      <c r="A77" s="8" t="inlineStr">
        <is>
          <t>81</t>
        </is>
      </c>
      <c r="B77" s="2" t="inlineStr">
        <is>
          <t>ให้ NSS ก่อนให้ Cisplatin</t>
        </is>
      </c>
      <c r="C77" s="2" t="n"/>
      <c r="D77" s="2" t="inlineStr">
        <is>
          <t>Aprepitant 125 mg PO stat</t>
        </is>
      </c>
      <c r="E77" s="2" t="inlineStr">
        <is>
          <t>Dexamethasone 12 mg IV stat</t>
        </is>
      </c>
      <c r="F77" s="2" t="inlineStr">
        <is>
          <t>Filgrastim (G-CSF) 300 mcg SC OD</t>
        </is>
      </c>
      <c r="G77" s="2" t="inlineStr">
        <is>
          <t>Metoclopramide 10 mg TID</t>
        </is>
      </c>
      <c r="H77" s="2" t="inlineStr">
        <is>
          <t>Lorazepam 1 mg PO PRN</t>
        </is>
      </c>
      <c r="I77" s="8" t="n">
        <v>1</v>
      </c>
      <c r="J77" s="2" t="inlineStr">
        <is>
          <t>✅ คำตอบที่ถูกต้อง: ข้อ ก. Aprepitant 125 mg PO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2" t="n"/>
      <c r="L77" s="2" t="inlineStr">
        <is>
          <t>CINV &amp; Supportive Care</t>
        </is>
      </c>
      <c r="M77" s="2" t="inlineStr">
        <is>
          <t>Clinic</t>
        </is>
      </c>
      <c r="N77" s="2" t="inlineStr">
        <is>
          <t>ข้อ 4 (PLE_CC1_2533.md)</t>
        </is>
      </c>
      <c r="O77" s="2" t="n"/>
      <c r="P77" s="2" t="n"/>
    </row>
    <row r="78" ht="13.2" customHeight="1" s="49">
      <c r="A78" s="8" t="inlineStr">
        <is>
          <t>82</t>
        </is>
      </c>
      <c r="B78" s="2" t="inlineStr">
        <is>
          <t>ให้ D5W ก่อนให้ Cisplatin หลังจากนั้นแพทย์ได้ทำการเปลี่ยนยา Vinblastine เป็น Gemcitabine</t>
        </is>
      </c>
      <c r="C78" s="2" t="n"/>
      <c r="D78" s="2" t="inlineStr">
        <is>
          <t>Metoclopramide 10 mg TID</t>
        </is>
      </c>
      <c r="E78" s="2" t="inlineStr">
        <is>
          <t>Lorazepam 1 mg PO PRN</t>
        </is>
      </c>
      <c r="F78" s="2" t="inlineStr">
        <is>
          <t>Morphine 10 mg PO Q4H PRN</t>
        </is>
      </c>
      <c r="G78" s="2" t="inlineStr">
        <is>
          <t>Calcium folinate (Leucovorin) 50 mg IV</t>
        </is>
      </c>
      <c r="H78" s="2" t="inlineStr">
        <is>
          <t>Mesna 400 mg IV stat</t>
        </is>
      </c>
      <c r="I78" s="8" t="n">
        <v>1</v>
      </c>
      <c r="J78" s="2" t="inlineStr">
        <is>
          <t>✅ คำตอบที่ถูกต้อง: ข้อ ก. Metoclopramide 10 mg TID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2" t="n"/>
      <c r="L78" s="2" t="inlineStr">
        <is>
          <t>CINV &amp; Supportive Care</t>
        </is>
      </c>
      <c r="M78" s="2" t="inlineStr">
        <is>
          <t>Clinic</t>
        </is>
      </c>
      <c r="N78" s="2" t="inlineStr">
        <is>
          <t>ข้อ 5 (PLE_CC1_2533.md)</t>
        </is>
      </c>
      <c r="O78" s="2" t="n"/>
      <c r="P78" s="2" t="n"/>
    </row>
    <row r="79" ht="13.2" customHeight="1" s="49">
      <c r="A79" s="8" t="inlineStr">
        <is>
          <t>83</t>
        </is>
      </c>
      <c r="B79" s="2" t="inlineStr">
        <is>
          <t>ผู้ป่วยที่ได้รับยา Methotrexate ควรได้รับการติดตามค่าใดต่อไปนี้</t>
        </is>
      </c>
      <c r="C79" s="2" t="n"/>
      <c r="D79" s="2" t="inlineStr">
        <is>
          <t>complete blood count, AST, ALT, albumin</t>
        </is>
      </c>
      <c r="E79" s="2" t="inlineStr">
        <is>
          <t>complete blood count, creatinine, glucose</t>
        </is>
      </c>
      <c r="F79" s="2" t="inlineStr">
        <is>
          <t>complete blood count, urinalysis</t>
        </is>
      </c>
      <c r="G79" s="2" t="inlineStr">
        <is>
          <t>ตรวจความดันโลหิตทุก6เดือน</t>
        </is>
      </c>
      <c r="H79" s="2" t="inlineStr">
        <is>
          <t>ตรวจตาทุก 6 เดือน</t>
        </is>
      </c>
      <c r="I79" s="8" t="n">
        <v>1</v>
      </c>
      <c r="J79" s="2" t="inlineStr">
        <is>
          <t>✅ คำตอบที่ถูกต้อง: ข้อ ก. complete blood count, AST, ALT,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9" s="2" t="n"/>
      <c r="L79" s="2" t="inlineStr">
        <is>
          <t>CINV &amp; Supportive Care</t>
        </is>
      </c>
      <c r="M79" s="2" t="inlineStr">
        <is>
          <t>Clinic</t>
        </is>
      </c>
      <c r="N79" s="2" t="inlineStr">
        <is>
          <t>ข้อ 34 (PLE_CC1_Practice_Exam.md)</t>
        </is>
      </c>
      <c r="O79" s="2" t="n"/>
      <c r="P79" s="2" t="n"/>
    </row>
    <row r="80" ht="13.2" customHeight="1" s="49">
      <c r="A80" s="8" t="inlineStr">
        <is>
          <t>84</t>
        </is>
      </c>
      <c r="B80" s="2"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0" s="2" t="n"/>
      <c r="D80" s="2" t="inlineStr">
        <is>
          <t>Palonosetron 0.25 mg IV stat</t>
        </is>
      </c>
      <c r="E80" s="2" t="inlineStr">
        <is>
          <t>Ondansetron 8 mg IV stat</t>
        </is>
      </c>
      <c r="F80" s="2" t="inlineStr">
        <is>
          <t>Aprepitant 125 mg PO stat</t>
        </is>
      </c>
      <c r="G80" s="2" t="inlineStr">
        <is>
          <t>Dexamethasone 12 mg IV stat</t>
        </is>
      </c>
      <c r="H80" s="2" t="inlineStr">
        <is>
          <t>Filgrastim (G-CSF) 300 mcg SC OD</t>
        </is>
      </c>
      <c r="I80" s="8" t="n">
        <v>1</v>
      </c>
      <c r="J80" s="2" t="inlineStr">
        <is>
          <t>✅ คำตอบที่ถูกต้อง: ข้อ ก. Palonosetron 0.25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2" t="n"/>
      <c r="L80" s="2" t="inlineStr">
        <is>
          <t>CINV &amp; Supportive Care</t>
        </is>
      </c>
      <c r="M80" s="2" t="inlineStr">
        <is>
          <t>Clinic</t>
        </is>
      </c>
      <c r="N80" s="2" t="inlineStr">
        <is>
          <t>ข้อ 5 (PLE_CC1_Key_Rx20_UBU.md)</t>
        </is>
      </c>
      <c r="O80" s="2" t="n"/>
      <c r="P80" s="2" t="n"/>
    </row>
    <row r="81" ht="13.2" customHeight="1" s="49">
      <c r="A81" s="8" t="inlineStr">
        <is>
          <t>85</t>
        </is>
      </c>
      <c r="B81" s="2" t="inlineStr">
        <is>
          <t>Cisplatin inhibits DNA synthesis by the formation of DNA cross-links; denatures the double helix; covalently binds to DNA bases and disrupts DNA function;</t>
        </is>
      </c>
      <c r="C81" s="2" t="n"/>
      <c r="D81" s="2" t="inlineStr">
        <is>
          <t>Dexamethasone 12 mg IV stat</t>
        </is>
      </c>
      <c r="E81" s="2" t="inlineStr">
        <is>
          <t>Filgrastim (G-CSF) 300 mcg SC OD</t>
        </is>
      </c>
      <c r="F81" s="2" t="inlineStr">
        <is>
          <t>Metoclopramide 10 mg TID</t>
        </is>
      </c>
      <c r="G81" s="2" t="inlineStr">
        <is>
          <t>Lorazepam 1 mg PO PRN</t>
        </is>
      </c>
      <c r="H81" s="2" t="inlineStr">
        <is>
          <t>Morphine 10 mg PO Q4H PRN</t>
        </is>
      </c>
      <c r="I81" s="8" t="n">
        <v>1</v>
      </c>
      <c r="J81" s="2"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2" t="n"/>
      <c r="L81" s="2" t="inlineStr">
        <is>
          <t>CINV &amp; Supportive Care</t>
        </is>
      </c>
      <c r="M81" s="2" t="inlineStr">
        <is>
          <t>Clinic</t>
        </is>
      </c>
      <c r="N81" s="2" t="inlineStr">
        <is>
          <t>ข้อ 5 (PLE_CC1_Key_Rx20_UBU.md)</t>
        </is>
      </c>
      <c r="O81" s="2" t="n"/>
      <c r="P81" s="2" t="n"/>
    </row>
    <row r="82" ht="13.2" customHeight="1" s="49">
      <c r="A82" s="8" t="inlineStr">
        <is>
          <t>86</t>
        </is>
      </c>
      <c r="B82" s="2" t="inlineStr">
        <is>
          <t>Cisplatin จะจับกับ Nitrogen ในสำยเบสที่ตำแหน่งใด</t>
        </is>
      </c>
      <c r="C82" s="2" t="n"/>
      <c r="D82" s="2" t="inlineStr">
        <is>
          <t>Lorazepam 1 mg PO PRN</t>
        </is>
      </c>
      <c r="E82" s="2" t="inlineStr">
        <is>
          <t>Morphine 10 mg PO Q4H PRN</t>
        </is>
      </c>
      <c r="F82" s="2" t="inlineStr">
        <is>
          <t>Calcium folinate (Leucovorin) 50 mg IV</t>
        </is>
      </c>
      <c r="G82" s="2" t="inlineStr">
        <is>
          <t>Mesna 400 mg IV stat</t>
        </is>
      </c>
      <c r="H82" s="2" t="inlineStr">
        <is>
          <t>Rasburicase 0.2 mg/kg IV</t>
        </is>
      </c>
      <c r="I82" s="8" t="n">
        <v>1</v>
      </c>
      <c r="J82" s="2"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2" t="n"/>
      <c r="L82" s="2" t="inlineStr">
        <is>
          <t>CINV &amp; Supportive Care</t>
        </is>
      </c>
      <c r="M82" s="2" t="inlineStr">
        <is>
          <t>Clinic</t>
        </is>
      </c>
      <c r="N82" s="2" t="inlineStr">
        <is>
          <t>ข้อ 104 (PLE_CC1_Key_Rx20_UBU.md)</t>
        </is>
      </c>
      <c r="O82" s="2" t="n"/>
      <c r="P82" s="2" t="n"/>
    </row>
    <row r="83" ht="13.2" customHeight="1" s="49">
      <c r="A83" s="8" t="inlineStr">
        <is>
          <t>87</t>
        </is>
      </c>
      <c r="B83" s="2" t="inlineStr">
        <is>
          <t>Doxorubicin ออกฤทธิ์โดยทำลาย DNA ของเชื้อ</t>
        </is>
      </c>
      <c r="C83" s="2" t="n"/>
      <c r="D83" s="2" t="inlineStr">
        <is>
          <t>Mesna 400 mg IV stat</t>
        </is>
      </c>
      <c r="E83" s="2" t="inlineStr">
        <is>
          <t>Rasburicase 0.2 mg/kg IV</t>
        </is>
      </c>
      <c r="F83" s="2" t="inlineStr">
        <is>
          <t>Palonosetron 0.25 mg IV stat</t>
        </is>
      </c>
      <c r="G83" s="2" t="inlineStr">
        <is>
          <t>Ondansetron 8 mg IV stat</t>
        </is>
      </c>
      <c r="H83" s="2" t="inlineStr">
        <is>
          <t>Aprepitant 125 mg PO stat</t>
        </is>
      </c>
      <c r="I83" s="8" t="n">
        <v>1</v>
      </c>
      <c r="J83" s="2"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2" t="n"/>
      <c r="L83" s="2" t="inlineStr">
        <is>
          <t>CINV &amp; Supportive Care</t>
        </is>
      </c>
      <c r="M83" s="2" t="inlineStr">
        <is>
          <t>Clinic</t>
        </is>
      </c>
      <c r="N83" s="2" t="inlineStr">
        <is>
          <t>ข้อ 1 (PLE_CC1_Key_Rx20_UBU.md)</t>
        </is>
      </c>
      <c r="O83" s="2" t="n"/>
      <c r="P83" s="2" t="n"/>
    </row>
    <row r="84" ht="13.2" customHeight="1" s="49">
      <c r="A84" s="8" t="inlineStr">
        <is>
          <t>88</t>
        </is>
      </c>
      <c r="B84" s="2" t="inlineStr">
        <is>
          <t>Doxorubicin ออกฤทธิ์เป็น intercalating ต่อสาย DNA</t>
        </is>
      </c>
      <c r="C84" s="2" t="n"/>
      <c r="D84" s="2" t="inlineStr">
        <is>
          <t>Ondansetron 8 mg IV stat</t>
        </is>
      </c>
      <c r="E84" s="2" t="inlineStr">
        <is>
          <t>Aprepitant 125 mg PO stat</t>
        </is>
      </c>
      <c r="F84" s="2" t="inlineStr">
        <is>
          <t>Dexamethasone 12 mg IV stat</t>
        </is>
      </c>
      <c r="G84" s="2" t="inlineStr">
        <is>
          <t>Filgrastim (G-CSF) 300 mcg SC OD</t>
        </is>
      </c>
      <c r="H84" s="2" t="inlineStr">
        <is>
          <t>Metoclopramide 10 mg TID</t>
        </is>
      </c>
      <c r="I84" s="8" t="n">
        <v>1</v>
      </c>
      <c r="J84" s="2"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2" t="n"/>
      <c r="L84" s="2" t="inlineStr">
        <is>
          <t>CINV &amp; Supportive Care</t>
        </is>
      </c>
      <c r="M84" s="2" t="inlineStr">
        <is>
          <t>Clinic</t>
        </is>
      </c>
      <c r="N84" s="2" t="inlineStr">
        <is>
          <t>ข้อ 4 (PLE_CC1_Key_Rx20_UBU.md)</t>
        </is>
      </c>
      <c r="O84" s="2" t="n"/>
      <c r="P84" s="2" t="n"/>
    </row>
    <row r="85" ht="13.2" customHeight="1" s="49">
      <c r="A85" s="8" t="inlineStr">
        <is>
          <t>89</t>
        </is>
      </c>
      <c r="B85" s="2" t="inlineStr">
        <is>
          <t>ยามะเร็งเตรียมในห้องที่มีแรงดันเป็นแบบ positive pressure</t>
        </is>
      </c>
      <c r="C85" s="2" t="n"/>
      <c r="D85" s="2" t="inlineStr">
        <is>
          <t>Filgrastim (G-CSF) 300 mcg SC OD</t>
        </is>
      </c>
      <c r="E85" s="2" t="inlineStr">
        <is>
          <t>Metoclopramide 10 mg TID</t>
        </is>
      </c>
      <c r="F85" s="2" t="inlineStr">
        <is>
          <t>Lorazepam 1 mg PO PRN</t>
        </is>
      </c>
      <c r="G85" s="2" t="inlineStr">
        <is>
          <t>Morphine 10 mg PO Q4H PRN</t>
        </is>
      </c>
      <c r="H85" s="2" t="inlineStr">
        <is>
          <t>Calcium folinate (Leucovorin) 50 mg IV</t>
        </is>
      </c>
      <c r="I85" s="8" t="n">
        <v>1</v>
      </c>
      <c r="J85" s="2"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2" t="n"/>
      <c r="L85" s="2" t="inlineStr">
        <is>
          <t>CINV &amp; Supportive Care</t>
        </is>
      </c>
      <c r="M85" s="2" t="inlineStr">
        <is>
          <t>Clinic</t>
        </is>
      </c>
      <c r="N85" s="2" t="inlineStr">
        <is>
          <t>ข้อ 1 (PLE_CC1_Key_Rx20_UBU.md)</t>
        </is>
      </c>
      <c r="O85" s="2" t="n"/>
      <c r="P85" s="2" t="n"/>
    </row>
    <row r="86" ht="13.2" customHeight="1" s="49">
      <c r="A86" s="8" t="inlineStr">
        <is>
          <t>90</t>
        </is>
      </c>
      <c r="B86" s="2" t="inlineStr">
        <is>
          <t>เพราะ ยามะเร็งเตรียมในห้องที่มีแรงดันเป็นแบบneagatiive pressure</t>
        </is>
      </c>
      <c r="C86" s="2" t="n"/>
      <c r="D86" s="2" t="inlineStr">
        <is>
          <t>Morphine 10 mg PO Q4H PRN</t>
        </is>
      </c>
      <c r="E86" s="2" t="inlineStr">
        <is>
          <t>Calcium folinate (Leucovorin) 50 mg IV</t>
        </is>
      </c>
      <c r="F86" s="2" t="inlineStr">
        <is>
          <t>Mesna 400 mg IV stat</t>
        </is>
      </c>
      <c r="G86" s="2" t="inlineStr">
        <is>
          <t>Rasburicase 0.2 mg/kg IV</t>
        </is>
      </c>
      <c r="H86" s="2" t="inlineStr">
        <is>
          <t>Palonosetron 0.25 mg IV stat</t>
        </is>
      </c>
      <c r="I86" s="8" t="n">
        <v>4</v>
      </c>
      <c r="J86" s="2" t="inlineStr">
        <is>
          <t>✅ คำตอบที่ถูกต้อง: ข้อ ง.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2" t="n"/>
      <c r="L86" s="2" t="inlineStr">
        <is>
          <t>CINV &amp; Supportive Care</t>
        </is>
      </c>
      <c r="M86" s="2" t="inlineStr">
        <is>
          <t>Clinic</t>
        </is>
      </c>
      <c r="N86" s="2" t="inlineStr">
        <is>
          <t>ข้อ 4 (PLE_CC1_Key_Rx20_UBU.md)</t>
        </is>
      </c>
      <c r="O86" s="2" t="n"/>
      <c r="P86" s="2" t="n"/>
    </row>
    <row r="87" ht="13.2" customHeight="1" s="49">
      <c r="A87" s="8" t="inlineStr">
        <is>
          <t>91</t>
        </is>
      </c>
      <c r="B87" s="2" t="inlineStr">
        <is>
          <t>Cumulative dose ของ Doxorubicin ในผู้ป่วยรายนี้ คือเท่าไร</t>
        </is>
      </c>
      <c r="C87" s="2" t="n"/>
      <c r="D87" s="2" t="inlineStr">
        <is>
          <t>60 mg/m 2</t>
        </is>
      </c>
      <c r="E87" s="2" t="inlineStr">
        <is>
          <t>180 mg/m 2</t>
        </is>
      </c>
      <c r="F87" s="2" t="inlineStr">
        <is>
          <t>240 mg/m 2</t>
        </is>
      </c>
      <c r="G87" s="2" t="inlineStr">
        <is>
          <t>300 mg/m 2</t>
        </is>
      </c>
      <c r="H87" s="2" t="inlineStr">
        <is>
          <t>480 mg/m 2 cycle 4 x 60 = 240 mg/m 2</t>
        </is>
      </c>
      <c r="I87" s="8" t="n">
        <v>3</v>
      </c>
      <c r="J87" s="2" t="inlineStr">
        <is>
          <t>✅ คำตอบที่ถูกต้อง: ข้อ ค. 240 mg/m 2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2" t="n"/>
      <c r="L87" s="2" t="inlineStr">
        <is>
          <t>CINV &amp; Supportive Care</t>
        </is>
      </c>
      <c r="M87" s="2" t="inlineStr">
        <is>
          <t>Clinic</t>
        </is>
      </c>
      <c r="N87" s="2" t="inlineStr">
        <is>
          <t>ข้อ 10 (PLE_CC1_Key_Rx20_UBU.md)</t>
        </is>
      </c>
      <c r="O87" s="2" t="n"/>
      <c r="P87" s="2" t="n"/>
    </row>
    <row r="88" ht="13.2" customHeight="1" s="49">
      <c r="A88" s="8" t="inlineStr">
        <is>
          <t>92</t>
        </is>
      </c>
      <c r="B88" s="2" t="inlineStr">
        <is>
          <t>กลไกการเกิด cardiotoxicity ของยา doxorubicin คือข้อใด</t>
        </is>
      </c>
      <c r="C88" s="2" t="n"/>
      <c r="D88" s="2" t="inlineStr">
        <is>
          <t>Free radical generation</t>
        </is>
      </c>
      <c r="E88" s="2" t="inlineStr">
        <is>
          <t>Topoisomerase inhibitors</t>
        </is>
      </c>
      <c r="F88" s="2" t="inlineStr">
        <is>
          <t>Intercalated DNA</t>
        </is>
      </c>
      <c r="G88" s="2" t="inlineStr">
        <is>
          <t>Inhibit microtubule assembly</t>
        </is>
      </c>
      <c r="H88" s="2" t="inlineStr">
        <is>
          <t>Inhibit microtubule dis-asembly</t>
        </is>
      </c>
      <c r="I88" s="8" t="n">
        <v>1</v>
      </c>
      <c r="J88" s="2" t="inlineStr">
        <is>
          <t>✅ คำตอบที่ถูกต้อง: ข้อ ก. Free radical generation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t>
        </is>
      </c>
      <c r="K88" s="2" t="n"/>
      <c r="L88" s="2" t="inlineStr">
        <is>
          <t>CINV &amp; Supportive Care</t>
        </is>
      </c>
      <c r="M88" s="2" t="inlineStr">
        <is>
          <t>Clinic</t>
        </is>
      </c>
      <c r="N88" s="2" t="inlineStr">
        <is>
          <t>ข้อ 11 (PLE_CC1_Key_Rx20_UBU.md)</t>
        </is>
      </c>
      <c r="O88" s="2" t="n"/>
      <c r="P88" s="2" t="n"/>
    </row>
    <row r="89" ht="13.2" customHeight="1" s="49">
      <c r="A89" t="n">
        <v>93</v>
      </c>
      <c r="B89" t="inlineStr">
        <is>
          <t>ข้อใดคือกลไกการออกฤทธิ์ของยา cyclophosphamide</t>
        </is>
      </c>
      <c r="D89" t="inlineStr">
        <is>
          <t>Alkylating agent</t>
        </is>
      </c>
      <c r="E89" t="inlineStr">
        <is>
          <t>Antimetabolite</t>
        </is>
      </c>
      <c r="F89" t="inlineStr">
        <is>
          <t>Antimitotic</t>
        </is>
      </c>
      <c r="G89" t="inlineStr">
        <is>
          <t>Inhibit topoisomerase</t>
        </is>
      </c>
      <c r="H89" t="inlineStr">
        <is>
          <t>Inhibit DNA polymerase</t>
        </is>
      </c>
      <c r="I89" t="inlineStr">
        <is>
          <t>1</t>
        </is>
      </c>
      <c r="J89"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9" t="inlineStr">
        <is>
          <t>Hypertension</t>
        </is>
      </c>
      <c r="M89" t="inlineStr">
        <is>
          <t>Clinic</t>
        </is>
      </c>
      <c r="N89" t="inlineStr">
        <is>
          <t>ข้อ 107 (PLE_CC1_2562_Key.md)</t>
        </is>
      </c>
    </row>
    <row r="90" ht="13.2" customHeight="1" s="49">
      <c r="A90" t="n">
        <v>94</v>
      </c>
      <c r="B90" t="inlineStr">
        <is>
          <t>ข้อใดคือยากลุ่ม anti-microtubule</t>
        </is>
      </c>
      <c r="D90" t="inlineStr">
        <is>
          <t>Paclitaxel</t>
        </is>
      </c>
      <c r="E90" t="inlineStr">
        <is>
          <t>Doxorubicin</t>
        </is>
      </c>
      <c r="F90" t="inlineStr">
        <is>
          <t>Cisplatin</t>
        </is>
      </c>
      <c r="G90" t="inlineStr">
        <is>
          <t>Cyclophosphamide</t>
        </is>
      </c>
      <c r="H90" t="inlineStr">
        <is>
          <t>Methotrexate</t>
        </is>
      </c>
      <c r="I90" t="inlineStr">
        <is>
          <t>1</t>
        </is>
      </c>
      <c r="J90"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0" t="inlineStr">
        <is>
          <t>Hypertension</t>
        </is>
      </c>
      <c r="M90" t="inlineStr">
        <is>
          <t>Clinic</t>
        </is>
      </c>
      <c r="N90" t="inlineStr">
        <is>
          <t>ข้อ 54 (PLE_CC1_2559.md)</t>
        </is>
      </c>
    </row>
    <row r="91" ht="13.2" customHeight="1" s="49">
      <c r="A91" t="n">
        <v>95</v>
      </c>
      <c r="B91" t="inlineStr">
        <is>
          <t>ข้อใดคืออาการไม่พึงประสงค์ที่พบบ่อยจาก cyclophosphamide</t>
        </is>
      </c>
      <c r="D91" t="inlineStr">
        <is>
          <t>Mucositis</t>
        </is>
      </c>
      <c r="E91" t="inlineStr">
        <is>
          <t>Neuropathy</t>
        </is>
      </c>
      <c r="F91" t="inlineStr">
        <is>
          <t>Hemorrhagic cystitis</t>
        </is>
      </c>
      <c r="G91" t="inlineStr">
        <is>
          <t>Hand foot syndrome</t>
        </is>
      </c>
      <c r="H91" t="inlineStr">
        <is>
          <t>Anemia</t>
        </is>
      </c>
      <c r="I91" t="inlineStr">
        <is>
          <t>1</t>
        </is>
      </c>
      <c r="J91"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1" t="inlineStr">
        <is>
          <t>Hypertension</t>
        </is>
      </c>
      <c r="M91" t="inlineStr">
        <is>
          <t>Clinic</t>
        </is>
      </c>
      <c r="N91" t="inlineStr">
        <is>
          <t>ข้อ 63 (PLE_CC1_2558_Key.md)</t>
        </is>
      </c>
    </row>
    <row r="92" ht="13.2" customHeight="1" s="49">
      <c r="A92" t="n">
        <v>96</v>
      </c>
      <c r="B92" t="inlineStr">
        <is>
          <t>Cyclophosphamide ออกฤทธิ์อย่างไร</t>
        </is>
      </c>
      <c r="D92" t="inlineStr">
        <is>
          <t>Inhibit depolymerization of mitotic spindle</t>
        </is>
      </c>
      <c r="E92" t="inlineStr">
        <is>
          <t>Intercalation</t>
        </is>
      </c>
      <c r="F92" t="inlineStr">
        <is>
          <t>Alkylated DNA</t>
        </is>
      </c>
      <c r="G92" t="inlineStr">
        <is>
          <t>Inhibit polymerization of microtubule</t>
        </is>
      </c>
      <c r="H92" t="inlineStr">
        <is>
          <t>Inhibit topoisomerase IV</t>
        </is>
      </c>
      <c r="I92" t="inlineStr">
        <is>
          <t>1</t>
        </is>
      </c>
      <c r="J92"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2" t="inlineStr">
        <is>
          <t>Hypertension</t>
        </is>
      </c>
      <c r="M92" t="inlineStr">
        <is>
          <t>Clinic</t>
        </is>
      </c>
      <c r="N92" t="inlineStr">
        <is>
          <t>ข้อ 65 (PLE_CC1_2558_Key.md)</t>
        </is>
      </c>
    </row>
    <row r="93" ht="13.2" customHeight="1" s="49">
      <c r="A93" t="n">
        <v>97</v>
      </c>
      <c r="B93"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D93" t="inlineStr">
        <is>
          <t>Visual change</t>
        </is>
      </c>
      <c r="E93" t="inlineStr">
        <is>
          <t>LFT</t>
        </is>
      </c>
      <c r="F93" t="inlineStr">
        <is>
          <t>eGFR</t>
        </is>
      </c>
      <c r="G93" t="inlineStr">
        <is>
          <t>CBC</t>
        </is>
      </c>
      <c r="H93" t="inlineStr">
        <is>
          <t>LVEF</t>
        </is>
      </c>
      <c r="I93" t="inlineStr">
        <is>
          <t>1</t>
        </is>
      </c>
      <c r="J93"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3" t="inlineStr">
        <is>
          <t>Hypertension</t>
        </is>
      </c>
      <c r="M93" t="inlineStr">
        <is>
          <t>Clinic</t>
        </is>
      </c>
      <c r="N93" t="inlineStr">
        <is>
          <t>ข้อ 80 (Pharmtutor_2024_Set1.md)</t>
        </is>
      </c>
    </row>
    <row r="94" ht="13.2" customHeight="1" s="49">
      <c r="A94" t="n">
        <v>98</v>
      </c>
      <c r="B94" t="inlineStr">
        <is>
          <t>ยาในข้อใดต่อไปนี้สามารถช่วยลดอาการข้างเคียงที่เป็นพิษต่อหัวใจ จากยา Doxorubicin</t>
        </is>
      </c>
      <c r="D94" t="inlineStr">
        <is>
          <t>DMSO</t>
        </is>
      </c>
      <c r="E94" t="inlineStr">
        <is>
          <t>Dexrazoxane</t>
        </is>
      </c>
      <c r="F94" t="inlineStr">
        <is>
          <t>Dextromethorphan</t>
        </is>
      </c>
      <c r="G94" t="inlineStr">
        <is>
          <t>Dexamethasone</t>
        </is>
      </c>
      <c r="H94" t="inlineStr">
        <is>
          <t>Drospirenone</t>
        </is>
      </c>
      <c r="I94" t="inlineStr">
        <is>
          <t>1</t>
        </is>
      </c>
      <c r="J94"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4" t="inlineStr">
        <is>
          <t>Hypertension</t>
        </is>
      </c>
      <c r="M94" t="inlineStr">
        <is>
          <t>Clinic</t>
        </is>
      </c>
      <c r="N94" t="inlineStr">
        <is>
          <t>ข้อ 81 (Pharmtutor_2024_Set1.md)</t>
        </is>
      </c>
    </row>
    <row r="95" ht="13.2" customHeight="1" s="49">
      <c r="A95" t="n">
        <v>99</v>
      </c>
      <c r="B95" t="inlineStr">
        <is>
          <t>กลไกใดของยา Doxorubicin ทำให้เกิดอาการข้างเคียงที่เป็นพิษต่อหัวใจ</t>
        </is>
      </c>
      <c r="D95" t="inlineStr">
        <is>
          <t>Alkylating agent</t>
        </is>
      </c>
      <c r="E95" t="inlineStr">
        <is>
          <t>Intercalation</t>
        </is>
      </c>
      <c r="F95" t="inlineStr">
        <is>
          <t>Free radical formation</t>
        </is>
      </c>
      <c r="G95" t="inlineStr">
        <is>
          <t>Topoisomerase inhibitors</t>
        </is>
      </c>
      <c r="H95" t="inlineStr">
        <is>
          <t>Inhibit tubulin assembly</t>
        </is>
      </c>
      <c r="I95" t="inlineStr">
        <is>
          <t>1</t>
        </is>
      </c>
      <c r="J9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5" t="inlineStr">
        <is>
          <t>Hypertension</t>
        </is>
      </c>
      <c r="M95" t="inlineStr">
        <is>
          <t>Clinic</t>
        </is>
      </c>
      <c r="N95" t="inlineStr">
        <is>
          <t>ข้อ 82 (Pharmtutor_2024_Set1.md)</t>
        </is>
      </c>
    </row>
    <row r="96" ht="13.2" customHeight="1" s="49">
      <c r="A96" t="n">
        <v>100</v>
      </c>
      <c r="B96" t="inlineStr">
        <is>
          <t>ยาเคมีบำบัตรสูตร AC (Doxorubicin,Cyclophosphamide) ควรmonitorสิ่งใด</t>
        </is>
      </c>
      <c r="D96" t="inlineStr">
        <is>
          <t>SCr</t>
        </is>
      </c>
      <c r="E96" t="inlineStr">
        <is>
          <t>AST</t>
        </is>
      </c>
      <c r="F96" t="inlineStr">
        <is>
          <t>Lipo-A</t>
        </is>
      </c>
      <c r="G96" t="inlineStr">
        <is>
          <t>Hct</t>
        </is>
      </c>
      <c r="H96" t="inlineStr">
        <is>
          <t>LVEF</t>
        </is>
      </c>
      <c r="I96" t="inlineStr">
        <is>
          <t>1</t>
        </is>
      </c>
      <c r="J96"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6" t="inlineStr">
        <is>
          <t>Hypertension</t>
        </is>
      </c>
      <c r="M96" t="inlineStr">
        <is>
          <t>Clinic</t>
        </is>
      </c>
      <c r="N96" t="inlineStr">
        <is>
          <t>ข้อ 78 (Pharmtutor_2024_Set2.md)</t>
        </is>
      </c>
    </row>
    <row r="97" ht="13.2" customHeight="1" s="49">
      <c r="A97" t="n">
        <v>101</v>
      </c>
      <c r="B97" t="inlineStr">
        <is>
          <t>เมื่อผู้ป่วยได้รับยาสูตรAC (Doxorubicin/Cyclophosphamide) ควรได้รับยาใดในการเเก้อาการคลื่นไว้อาเจียน</t>
        </is>
      </c>
      <c r="D97" t="inlineStr">
        <is>
          <t>Olanzapine + Dexamethasone</t>
        </is>
      </c>
      <c r="E97" t="inlineStr">
        <is>
          <t>Olanzapine + Metoclopramide</t>
        </is>
      </c>
      <c r="F97" t="inlineStr">
        <is>
          <t>Aprepitant + Ondansetron</t>
        </is>
      </c>
      <c r="G97" t="inlineStr">
        <is>
          <t>Aprepitant + Metoclopramide + Lorazepam</t>
        </is>
      </c>
      <c r="H97" t="inlineStr">
        <is>
          <t>Aprepitant + Ondansetron + Dexamethasone + Olanzapine</t>
        </is>
      </c>
      <c r="I97" t="inlineStr">
        <is>
          <t>1</t>
        </is>
      </c>
      <c r="J97"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7" t="inlineStr">
        <is>
          <t>Hypertension</t>
        </is>
      </c>
      <c r="M97" t="inlineStr">
        <is>
          <t>Clinic</t>
        </is>
      </c>
      <c r="N97" t="inlineStr">
        <is>
          <t>ข้อ 80 (Pharmtutor_2024_Set2.md)</t>
        </is>
      </c>
    </row>
    <row r="98" ht="13.2" customHeight="1" s="49">
      <c r="A98" t="n">
        <v>102</v>
      </c>
      <c r="B98"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D98" t="inlineStr">
        <is>
          <t>ยาใดต้องให้กินน ้ามากๆ ตอบ Cyclophosphamide</t>
        </is>
      </c>
      <c r="E98" t="inlineStr">
        <is>
          <t>ยาใดทำให้เจ็บปาก เป็นแผลในปาก แต่ไม่มีการติดเชื้อ</t>
        </is>
      </c>
      <c r="F98" t="inlineStr">
        <is>
          <t>Doxorubicin</t>
        </is>
      </c>
      <c r="G98" t="inlineStr">
        <is>
          <t>Vincristine</t>
        </is>
      </c>
      <c r="H98" t="inlineStr">
        <is>
          <t>Cyclophosphamide</t>
        </is>
      </c>
      <c r="I98" t="inlineStr">
        <is>
          <t>1</t>
        </is>
      </c>
      <c r="J98"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98" t="inlineStr">
        <is>
          <t>Hypertension</t>
        </is>
      </c>
      <c r="M98" t="inlineStr">
        <is>
          <t>Clinic</t>
        </is>
      </c>
      <c r="N98" t="inlineStr">
        <is>
          <t>ข้อ 3 (PLE_CC1_2556.md)</t>
        </is>
      </c>
    </row>
    <row r="99" ht="13.2" customHeight="1" s="49">
      <c r="A99" t="n">
        <v>103</v>
      </c>
      <c r="B99" t="inlineStr">
        <is>
          <t>ต้องใช้ยา Cyclophosphamide กับผู้ป่วยวันละเท่าไหร่ เมื่อคิดพื้นที่ผิวตามสูตร</t>
        </is>
      </c>
      <c r="D99" t="inlineStr">
        <is>
          <t>728 mg/day</t>
        </is>
      </c>
      <c r="E99" t="inlineStr">
        <is>
          <t>748 mg/day</t>
        </is>
      </c>
      <c r="F99" t="inlineStr">
        <is>
          <t>768 mg/day</t>
        </is>
      </c>
      <c r="G99" t="inlineStr">
        <is>
          <t>788 mg/day</t>
        </is>
      </c>
      <c r="H99" t="inlineStr">
        <is>
          <t>798 mg/day สูตร body surface area (BSA) = ℎ𝑒𝑖𝑔ℎ𝑡(𝑐𝑚)ข𝑤𝑒𝑖𝑔ℎ𝑡(𝑘𝑔) = 160ข40 3600 =</t>
        </is>
      </c>
      <c r="I99" t="inlineStr">
        <is>
          <t>5</t>
        </is>
      </c>
      <c r="J99"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9" t="inlineStr">
        <is>
          <t>Hypertension</t>
        </is>
      </c>
      <c r="M99" t="inlineStr">
        <is>
          <t>Clinic</t>
        </is>
      </c>
      <c r="N99" t="inlineStr">
        <is>
          <t>ข้อ 1 (PLE_CC1_2554 SET2.md)</t>
        </is>
      </c>
    </row>
    <row r="100" ht="13.2" customHeight="1" s="49">
      <c r="A100" t="n">
        <v>104</v>
      </c>
      <c r="B100" t="inlineStr">
        <is>
          <t>ข้อใดออกฤทธิ์เหมือน Cyclophosphamide</t>
        </is>
      </c>
      <c r="D100" t="inlineStr">
        <is>
          <t>Docetaxel</t>
        </is>
      </c>
      <c r="E100" t="inlineStr">
        <is>
          <t>Cytarabine</t>
        </is>
      </c>
      <c r="F100" t="inlineStr">
        <is>
          <t>Cisplatin</t>
        </is>
      </c>
      <c r="G100" t="inlineStr">
        <is>
          <t>Ifosfamide</t>
        </is>
      </c>
      <c r="H100" t="inlineStr">
        <is>
          <t>Navelbine mustard, cyclophosphamide, ifosfamide, cisplatin และ dacarbazine</t>
        </is>
      </c>
      <c r="I100" t="inlineStr">
        <is>
          <t>4</t>
        </is>
      </c>
      <c r="J100"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4 (PLE_CC1_2554 SET2.md)</t>
        </is>
      </c>
    </row>
    <row r="101" ht="13.2" customHeight="1" s="49">
      <c r="A101" t="n">
        <v>105</v>
      </c>
      <c r="B101"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D101" t="inlineStr">
        <is>
          <t>400 ml.</t>
        </is>
      </c>
      <c r="E101" t="inlineStr">
        <is>
          <t>420 ml.</t>
        </is>
      </c>
      <c r="F101" t="inlineStr">
        <is>
          <t>440 ml.</t>
        </is>
      </c>
      <c r="G101" t="inlineStr">
        <is>
          <t>460 ml.</t>
        </is>
      </c>
      <c r="H101" t="inlineStr">
        <is>
          <t>480 ml.</t>
        </is>
      </c>
      <c r="I101" t="inlineStr">
        <is>
          <t>2</t>
        </is>
      </c>
      <c r="J101"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t>
        </is>
      </c>
      <c r="L101" t="inlineStr">
        <is>
          <t>Hypertension</t>
        </is>
      </c>
      <c r="M101" t="inlineStr">
        <is>
          <t>Clinic</t>
        </is>
      </c>
      <c r="N101" t="inlineStr">
        <is>
          <t>ข้อ 5 (PLE_CC1_2554 SET2.md)</t>
        </is>
      </c>
    </row>
    <row r="102" ht="13.2" customHeight="1" s="49">
      <c r="A102" t="n">
        <v>106</v>
      </c>
      <c r="B102" t="inlineStr">
        <is>
          <t>เกี่ยวกับอาการไมGพึงประสงค_จากยา cyclophosphamide ข้อใดไมGถูกต$อง</t>
        </is>
      </c>
      <c r="D102" t="inlineStr">
        <is>
          <t>ทำให$เกิดภาวะ cystitis</t>
        </is>
      </c>
      <c r="E102" t="inlineStr">
        <is>
          <t>เปญน dose-related toxicity</t>
        </is>
      </c>
      <c r="F102" t="inlineStr">
        <is>
          <t>สารที่ออกฤทธิ์ทำให$เกิดพิษคือ acrolein</t>
        </is>
      </c>
      <c r="G102" t="inlineStr">
        <is>
          <t>เมื่อเกิด extravasation ควรได$รับ hyaluronidase เปญน antidote</t>
        </is>
      </c>
      <c r="H102" t="inlineStr">
        <is>
          <t>ใช$ mesna เปญน uroprotective</t>
        </is>
      </c>
      <c r="I102" t="inlineStr">
        <is>
          <t>4</t>
        </is>
      </c>
      <c r="J102"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22 (PLE_CC1_Key_Rx20_UBU.md)</t>
        </is>
      </c>
    </row>
    <row r="103" ht="13.2" customHeight="1" s="49">
      <c r="A103" t="n">
        <v>107</v>
      </c>
      <c r="B103" t="inlineStr">
        <is>
          <t>ยาในข้อใดมีประโยชน_สำหรับ anticipatory nausea and vomiting</t>
        </is>
      </c>
      <c r="D103" t="inlineStr">
        <is>
          <t>Dexamethasone</t>
        </is>
      </c>
      <c r="E103" t="inlineStr">
        <is>
          <t>Ondansetron</t>
        </is>
      </c>
      <c r="F103" t="inlineStr">
        <is>
          <t>Aprepitant</t>
        </is>
      </c>
      <c r="G103" t="inlineStr">
        <is>
          <t>Lorazepam</t>
        </is>
      </c>
      <c r="H103" t="inlineStr">
        <is>
          <t>Metoclopramide</t>
        </is>
      </c>
      <c r="I103" t="inlineStr">
        <is>
          <t>4</t>
        </is>
      </c>
      <c r="J103"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23 (PLE_CC1_Key_Rx20_UBU.md)</t>
        </is>
      </c>
    </row>
    <row r="104" ht="13.2" customHeight="1" s="49">
      <c r="A104" t="n">
        <v>108</v>
      </c>
      <c r="B104" t="inlineStr">
        <is>
          <t>เภสัชกรจะแนะนำผลิตภัณฑ์ใดเพื่อรักษา Mild acne</t>
        </is>
      </c>
      <c r="D104" t="inlineStr">
        <is>
          <t>สบู่มังคุด</t>
        </is>
      </c>
      <c r="E104" t="inlineStr">
        <is>
          <t>เจลพญายอ</t>
        </is>
      </c>
      <c r="F104" t="inlineStr">
        <is>
          <t>ครีมว่านหางจระเข้</t>
        </is>
      </c>
      <c r="G104" t="inlineStr">
        <is>
          <t>มาสก์ดึงผิวใบบัวบก</t>
        </is>
      </c>
      <c r="H104" t="inlineStr">
        <is>
          <t>ผงขมิ้นชันขัดหน้า</t>
        </is>
      </c>
      <c r="I104" t="inlineStr">
        <is>
          <t>1</t>
        </is>
      </c>
      <c r="J104"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t>
        </is>
      </c>
      <c r="L104" t="inlineStr">
        <is>
          <t>Hypertension</t>
        </is>
      </c>
      <c r="M104" t="inlineStr">
        <is>
          <t>Clinic</t>
        </is>
      </c>
      <c r="N104" t="inlineStr">
        <is>
          <t>ข้อ 9 (PLE_CC1_Key_Rx20_UBU.md)</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73"/>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8" t="inlineStr">
        <is>
          <t>1</t>
        </is>
      </c>
      <c r="B3"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2" t="n"/>
      <c r="D3" s="2" t="inlineStr">
        <is>
          <t>Acute kidney injury</t>
        </is>
      </c>
      <c r="E3" s="2" t="inlineStr">
        <is>
          <t>Renal insufficiency</t>
        </is>
      </c>
      <c r="F3" s="2" t="inlineStr">
        <is>
          <t>Chronic kidney disease</t>
        </is>
      </c>
      <c r="G3" s="2" t="inlineStr">
        <is>
          <t>Uremia</t>
        </is>
      </c>
      <c r="H3" s="2" t="inlineStr">
        <is>
          <t>End-stage renal failure</t>
        </is>
      </c>
      <c r="I3" s="8" t="n">
        <v>3</v>
      </c>
      <c r="J3" s="2"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Chronic kidney diseases</t>
        </is>
      </c>
      <c r="M3" s="2" t="inlineStr">
        <is>
          <t>Clinic</t>
        </is>
      </c>
      <c r="N3" s="2" t="inlineStr">
        <is>
          <t>ข้อ 1 Pharma Plus เล่มม่วง (เฉลยข้อ ค)</t>
        </is>
      </c>
      <c r="O3" s="2" t="n"/>
      <c r="P3" s="2" t="n"/>
    </row>
    <row r="4" ht="13.2" customHeight="1" s="49">
      <c r="A4" s="8" t="inlineStr">
        <is>
          <t>2</t>
        </is>
      </c>
      <c r="B4"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2" t="n"/>
      <c r="D4" s="2" t="inlineStr">
        <is>
          <t>Potassium chloride</t>
        </is>
      </c>
      <c r="E4" s="2" t="inlineStr">
        <is>
          <t>Sodium chloride</t>
        </is>
      </c>
      <c r="F4" s="2" t="inlineStr">
        <is>
          <t>Sodium polystyrene sulfonate</t>
        </is>
      </c>
      <c r="G4" s="2" t="inlineStr">
        <is>
          <t>Calcium chloride</t>
        </is>
      </c>
      <c r="H4" s="2" t="inlineStr">
        <is>
          <t>Calcium phosphate</t>
        </is>
      </c>
      <c r="I4" s="8" t="n">
        <v>3</v>
      </c>
      <c r="J4" s="2"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Chronic kidney diseases</t>
        </is>
      </c>
      <c r="M4" s="2" t="inlineStr">
        <is>
          <t>Clinic</t>
        </is>
      </c>
      <c r="N4" s="2" t="inlineStr">
        <is>
          <t>ข้อ 2 Pharma Plus เล่มม่วง (เฉลยข้อ ค)</t>
        </is>
      </c>
      <c r="O4" s="2" t="n"/>
      <c r="P4" s="2" t="n"/>
    </row>
    <row r="5" ht="13.2" customHeight="1" s="49">
      <c r="A5" s="8" t="inlineStr">
        <is>
          <t>3</t>
        </is>
      </c>
      <c r="B5"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2" t="n"/>
      <c r="D5" s="2" t="inlineStr">
        <is>
          <t>Hydrochlorothiazide</t>
        </is>
      </c>
      <c r="E5" s="2" t="inlineStr">
        <is>
          <t>Spironolactone</t>
        </is>
      </c>
      <c r="F5" s="2" t="inlineStr">
        <is>
          <t>Furosemide</t>
        </is>
      </c>
      <c r="G5" s="2" t="inlineStr">
        <is>
          <t>Amiloride</t>
        </is>
      </c>
      <c r="H5" s="2" t="inlineStr">
        <is>
          <t>Indapamide</t>
        </is>
      </c>
      <c r="I5" s="8" t="n">
        <v>3</v>
      </c>
      <c r="J5" s="2"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2" t="n"/>
      <c r="L5" s="2" t="inlineStr">
        <is>
          <t>Chronic kidney diseases</t>
        </is>
      </c>
      <c r="M5" s="2" t="inlineStr">
        <is>
          <t>Clinic</t>
        </is>
      </c>
      <c r="N5" s="2" t="inlineStr">
        <is>
          <t>ข้อ 3 Pharma Plus เล่มม่วง (เฉลยข้อ ค)</t>
        </is>
      </c>
      <c r="O5" s="2" t="n"/>
      <c r="P5" s="2" t="n"/>
    </row>
    <row r="6" ht="13.2" customHeight="1" s="49">
      <c r="A6" s="8" t="inlineStr">
        <is>
          <t>4</t>
        </is>
      </c>
      <c r="B6"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2" t="n"/>
      <c r="D6" s="2" t="inlineStr">
        <is>
          <t>ลดอาการบวมคั่งน้ำ</t>
        </is>
      </c>
      <c r="E6" s="2" t="inlineStr">
        <is>
          <t>ป้องกัน renal shut down</t>
        </is>
      </c>
      <c r="F6" s="2" t="inlineStr">
        <is>
          <t>ออกฤทธิ์ได้แม้ผู้ป่วยที่ไตบกพร่องในการทำงานอย่างรุนแรง</t>
        </is>
      </c>
      <c r="G6" s="2" t="inlineStr">
        <is>
          <t>ไม่มีผลรบกวนสมดุลกรด-ด่างในร่างกาย</t>
        </is>
      </c>
      <c r="H6" s="2" t="inlineStr">
        <is>
          <t>ออกฤทธิ์เร็วและแรง</t>
        </is>
      </c>
      <c r="I6" s="8" t="n">
        <v>2</v>
      </c>
      <c r="J6" s="2"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Chronic kidney diseases</t>
        </is>
      </c>
      <c r="M6" s="2" t="inlineStr">
        <is>
          <t>Clinic</t>
        </is>
      </c>
      <c r="N6" s="2" t="inlineStr">
        <is>
          <t>ข้อ 4 Pharma Plus เล่มม่วง (เฉลยข้อ ข)</t>
        </is>
      </c>
      <c r="O6" s="2" t="n"/>
      <c r="P6" s="2" t="n"/>
    </row>
    <row r="7" ht="13.2" customHeight="1" s="49">
      <c r="A7" s="8" t="inlineStr">
        <is>
          <t>5</t>
        </is>
      </c>
      <c r="B7" s="2" t="inlineStr">
        <is>
          <t>จงบอกข้อบ่งใช้ของ sodamint® (sodium bicarbonate) ในผู้ป่วยรายนี้</t>
        </is>
      </c>
      <c r="C7" s="2" t="n"/>
      <c r="D7" s="2" t="inlineStr">
        <is>
          <t>Antacid</t>
        </is>
      </c>
      <c r="E7" s="2" t="inlineStr">
        <is>
          <t>Metabolic acidosis</t>
        </is>
      </c>
      <c r="F7" s="2" t="inlineStr">
        <is>
          <t>Alkalinize urine</t>
        </is>
      </c>
      <c r="G7" s="2" t="inlineStr">
        <is>
          <t>Phosphate binder</t>
        </is>
      </c>
      <c r="H7" s="2" t="inlineStr">
        <is>
          <t>Increase absorption of folic acid</t>
        </is>
      </c>
      <c r="I7" s="8" t="n">
        <v>2</v>
      </c>
      <c r="J7" s="2" t="inlineStr">
        <is>
          <t>✅ คำตอบที่ถูกต้อง: ข้อ ข. Metabolic acidosis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Fluid &amp; Electrolyte</t>
        </is>
      </c>
      <c r="M7" s="2" t="inlineStr">
        <is>
          <t>Clinic</t>
        </is>
      </c>
      <c r="N7" s="2" t="inlineStr">
        <is>
          <t>ข้อ 5 Pharma Plus เล่มม่วง (เฉลยข้อ ข)</t>
        </is>
      </c>
      <c r="O7" s="2" t="n"/>
      <c r="P7" s="2" t="n"/>
    </row>
    <row r="8" ht="13.2" customHeight="1" s="49">
      <c r="A8" s="8" t="inlineStr">
        <is>
          <t>6</t>
        </is>
      </c>
      <c r="B8" s="2" t="inlineStr">
        <is>
          <t>ในกรณีที่ห้องยาไม่มี CaCO₃ ยาใดต่อไปนี้ที่ไม่สามารถใช้ทดแทน CaCO₃ ในผู้ป่วยรายนี้ได้</t>
        </is>
      </c>
      <c r="C8" s="2" t="n"/>
      <c r="D8" s="2" t="inlineStr">
        <is>
          <t>Lanthanum carbonate</t>
        </is>
      </c>
      <c r="E8" s="2" t="inlineStr">
        <is>
          <t>Al(OH)₃</t>
        </is>
      </c>
      <c r="F8" s="2" t="inlineStr">
        <is>
          <t>Mg(OH)₂</t>
        </is>
      </c>
      <c r="G8" s="2" t="inlineStr">
        <is>
          <t>Calcium gluconate</t>
        </is>
      </c>
      <c r="H8" s="2" t="inlineStr">
        <is>
          <t>Calcium lactate</t>
        </is>
      </c>
      <c r="I8" s="8" t="n">
        <v>3</v>
      </c>
      <c r="J8" s="2" t="inlineStr">
        <is>
          <t>✅ คำตอบที่ถูกต้อง: ข้อ ค. Mg(OH)₂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Chronic kidney diseases</t>
        </is>
      </c>
      <c r="M8" s="2" t="inlineStr">
        <is>
          <t>Clinic</t>
        </is>
      </c>
      <c r="N8" s="2" t="inlineStr">
        <is>
          <t>ข้อ 6 Pharma Plus เล่มม่วง (เฉลยข้อ ค)</t>
        </is>
      </c>
      <c r="O8" s="2" t="n"/>
      <c r="P8" s="2" t="n"/>
    </row>
    <row r="9" ht="13.2" customHeight="1" s="49">
      <c r="A9" s="8" t="inlineStr">
        <is>
          <t>7</t>
        </is>
      </c>
      <c r="B9" s="2"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2" t="n"/>
      <c r="D9" s="2" t="inlineStr">
        <is>
          <t>Eprex ใช้กระตุ้นสร้าง RBC</t>
        </is>
      </c>
      <c r="E9" s="2" t="inlineStr">
        <is>
          <t>Eprex ผลิตด้วยเทคนิค recombination technology</t>
        </is>
      </c>
      <c r="F9" s="2" t="inlineStr">
        <is>
          <t>Eprex ต้องเก็บไว้ที่อุณหภูมิ 2-8°C</t>
        </is>
      </c>
      <c r="G9" s="2" t="inlineStr">
        <is>
          <t>Eprex ใช้ฉีดโดยวิธี IV push เท่านั้น</t>
        </is>
      </c>
      <c r="H9" s="2" t="inlineStr">
        <is>
          <t>Eprex สามารถทำให้เกิดความดันโลหิตสูงได้</t>
        </is>
      </c>
      <c r="I9" s="8" t="n">
        <v>4</v>
      </c>
      <c r="J9" s="2" t="inlineStr">
        <is>
          <t>✅ คำตอบที่ถูกต้อง: ข้อ ง. Eprex ใช้ฉีดโดยวิธี IV push เท่านั้น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Chronic kidney diseases</t>
        </is>
      </c>
      <c r="M9" s="2" t="inlineStr">
        <is>
          <t>Clinic</t>
        </is>
      </c>
      <c r="N9" s="2" t="inlineStr">
        <is>
          <t>ข้อ 7 Pharma Plus เล่มม่วง (เฉลยข้อ ง)</t>
        </is>
      </c>
      <c r="O9" s="2" t="n"/>
      <c r="P9" s="2" t="n"/>
    </row>
    <row r="10" ht="13.2" customHeight="1" s="49">
      <c r="A10" s="8" t="inlineStr">
        <is>
          <t>8</t>
        </is>
      </c>
      <c r="B10" s="2" t="inlineStr">
        <is>
          <t>คำแนะนำใดที่ไม่เหมาะสมสำหรับผู้ป่วยไตเรื้อรัง</t>
        </is>
      </c>
      <c r="C10" s="2" t="n"/>
      <c r="D10" s="2" t="inlineStr">
        <is>
          <t>ควรรับประทานกล้วย, ส้ม, แตงโม</t>
        </is>
      </c>
      <c r="E10" s="2" t="inlineStr">
        <is>
          <t>ควรจำกัดการดื่มแอลกอฮอล์, น้ำอัดลม</t>
        </is>
      </c>
      <c r="F10" s="2" t="inlineStr">
        <is>
          <t>ควรจำกัดการรับประทานเนื้อสัตว์, เกลือ</t>
        </is>
      </c>
      <c r="G10" s="2" t="inlineStr">
        <is>
          <t>ควรจำกัดอาหารที่มีไขมันสูง</t>
        </is>
      </c>
      <c r="H10" s="2" t="inlineStr">
        <is>
          <t>ควรรับประทานอาหารที่มีเส้นใยสูง</t>
        </is>
      </c>
      <c r="I10" s="8" t="n">
        <v>1</v>
      </c>
      <c r="J10" s="2" t="inlineStr">
        <is>
          <t>✅ คำตอบที่ถูกต้อง: ข้อ ก. ควรรับประทานกล้วย, ส้ม, 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Chronic kidney diseases</t>
        </is>
      </c>
      <c r="M10" s="2" t="inlineStr">
        <is>
          <t>Clinic</t>
        </is>
      </c>
      <c r="N10" s="2" t="inlineStr">
        <is>
          <t>ข้อ 8 Pharma Plus เล่มม่วง (เฉลยข้อ ก)</t>
        </is>
      </c>
      <c r="O10" s="2" t="n"/>
      <c r="P10" s="2" t="n"/>
    </row>
    <row r="11" ht="13.2" customHeight="1" s="49">
      <c r="A11" s="8" t="inlineStr">
        <is>
          <t>9</t>
        </is>
      </c>
      <c r="B11" s="2" t="inlineStr">
        <is>
          <t>ผู้ป่วยมีอาการท้องผูก หลังจากรับประทานยาที่แพทย์สั่ง ท่านจะแนะนำให้ผู้ป่วยใช้ยาใด ยกเว้น</t>
        </is>
      </c>
      <c r="C11" s="2" t="n"/>
      <c r="D11" s="2" t="inlineStr">
        <is>
          <t>Bisacodyl</t>
        </is>
      </c>
      <c r="E11" s="2" t="inlineStr">
        <is>
          <t>MOM (milk of magnesia)</t>
        </is>
      </c>
      <c r="F11" s="2" t="inlineStr">
        <is>
          <t>Metamucil® (psyllium seed)</t>
        </is>
      </c>
      <c r="G11" s="2" t="inlineStr">
        <is>
          <t>Senokot® (senosides)</t>
        </is>
      </c>
      <c r="H11" s="2" t="inlineStr">
        <is>
          <t>ELPco® (emulsion liquid paraffin compound)</t>
        </is>
      </c>
      <c r="I11" s="8" t="n">
        <v>2</v>
      </c>
      <c r="J11" s="2" t="inlineStr">
        <is>
          <t>✅ คำตอบที่ถูกต้อง: ข้อ ข. MOM (milk of magnesia)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Chronic kidney diseases</t>
        </is>
      </c>
      <c r="M11" s="2" t="inlineStr">
        <is>
          <t>Clinic</t>
        </is>
      </c>
      <c r="N11" s="2" t="inlineStr">
        <is>
          <t>ข้อ 9 Pharma Plus เล่มม่วง (เฉลยข้อ ข)</t>
        </is>
      </c>
      <c r="O11" s="2" t="n"/>
      <c r="P11" s="2" t="n"/>
    </row>
    <row r="12" ht="13.2" customHeight="1" s="49">
      <c r="A12" s="8" t="inlineStr">
        <is>
          <t>10</t>
        </is>
      </c>
      <c r="B12" s="2"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2" t="n"/>
      <c r="D12" s="2" t="inlineStr">
        <is>
          <t>24 mL</t>
        </is>
      </c>
      <c r="E12" s="2" t="inlineStr">
        <is>
          <t>34 mL</t>
        </is>
      </c>
      <c r="F12" s="2" t="inlineStr">
        <is>
          <t>54 mL</t>
        </is>
      </c>
      <c r="G12" s="2" t="inlineStr">
        <is>
          <t>68 mL</t>
        </is>
      </c>
      <c r="H12" s="2" t="inlineStr">
        <is>
          <t>86 mL</t>
        </is>
      </c>
      <c r="I12" s="8" t="n">
        <v>2</v>
      </c>
      <c r="J12" s="2"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Fluid &amp; Electrolyte</t>
        </is>
      </c>
      <c r="M12" s="2" t="inlineStr">
        <is>
          <t>Clinic</t>
        </is>
      </c>
      <c r="N12" s="2" t="inlineStr">
        <is>
          <t>ข้อ 10 Pharma Plus เล่มม่วง (เฉลยข้อ ข)</t>
        </is>
      </c>
      <c r="O12" s="2" t="n"/>
      <c r="P12" s="2" t="n"/>
    </row>
    <row r="13" ht="13.2" customHeight="1" s="49">
      <c r="A13" s="8" t="inlineStr">
        <is>
          <t>11</t>
        </is>
      </c>
      <c r="B13" s="2" t="inlineStr">
        <is>
          <t>ผู้ป่วยต้องการดื่มน้ำผลไม้ น้ำผลไม้ชนิดใดต่อไปนี้สามารถแนะนำให้ผู้ป่วยรับประทานได้</t>
        </is>
      </c>
      <c r="C13" s="2" t="n"/>
      <c r="D13" s="2" t="inlineStr">
        <is>
          <t>น้ำลูกยอ</t>
        </is>
      </c>
      <c r="E13" s="2" t="inlineStr">
        <is>
          <t>น้ำส้ม</t>
        </is>
      </c>
      <c r="F13" s="2" t="inlineStr">
        <is>
          <t>น้ำแตงโม</t>
        </is>
      </c>
      <c r="G13" s="2" t="inlineStr">
        <is>
          <t>น้ำกระเจี๊ยบ</t>
        </is>
      </c>
      <c r="H13" s="2" t="inlineStr">
        <is>
          <t>น้ำกล้วยหอมปั่น</t>
        </is>
      </c>
      <c r="I13" s="8" t="n">
        <v>3</v>
      </c>
      <c r="J13" s="2" t="inlineStr">
        <is>
          <t>✅ คำตอบที่ถูกต้อง: ข้อ ค. น้ำแตงโม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Chronic kidney diseases</t>
        </is>
      </c>
      <c r="M13" s="2" t="inlineStr">
        <is>
          <t>Clinic</t>
        </is>
      </c>
      <c r="N13" s="2" t="inlineStr">
        <is>
          <t>ข้อ 11 Pharma Plus เล่มม่วง (เฉลยข้อ ค)</t>
        </is>
      </c>
      <c r="O13" s="2" t="n"/>
      <c r="P13" s="2" t="n"/>
    </row>
    <row r="14" ht="13.2" customHeight="1" s="49">
      <c r="A14" s="8" t="inlineStr">
        <is>
          <t>12</t>
        </is>
      </c>
      <c r="B14" s="2" t="inlineStr">
        <is>
          <t>ผู้ป่วยมาพบแพทย์ด้วยอาการไอแห้ง ไม่มีน้ำมูก ไม่มีไข้ ท่านคิดว่าน่าจะเกิดจากยาตัวใด</t>
        </is>
      </c>
      <c r="C14" s="2" t="n"/>
      <c r="D14" s="2" t="inlineStr">
        <is>
          <t>Sodamint</t>
        </is>
      </c>
      <c r="E14" s="2" t="inlineStr">
        <is>
          <t>Enalapril</t>
        </is>
      </c>
      <c r="F14" s="2" t="inlineStr">
        <is>
          <t>CaCO3</t>
        </is>
      </c>
      <c r="G14" s="2" t="inlineStr">
        <is>
          <t>Folic acid</t>
        </is>
      </c>
      <c r="H14" s="2" t="inlineStr">
        <is>
          <t>1alpha-VitD3</t>
        </is>
      </c>
      <c r="I14" s="8" t="n">
        <v>2</v>
      </c>
      <c r="J14" s="2" t="inlineStr">
        <is>
          <t>✅ คำตอบที่ถูกต้อง: ข้อ ข. Enalapril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[NEED_REVIEW]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2" t="n"/>
      <c r="L14" s="2" t="inlineStr">
        <is>
          <t>Chronic kidney diseases</t>
        </is>
      </c>
      <c r="M14" s="2" t="inlineStr">
        <is>
          <t>Clinic</t>
        </is>
      </c>
      <c r="N14" s="2" t="inlineStr">
        <is>
          <t>ข้อ 12 Pharma Plus เล่มม่วง (เฉลยข้อ ข)</t>
        </is>
      </c>
      <c r="O14" s="2" t="n"/>
      <c r="P14" s="2" t="n"/>
    </row>
    <row r="15" ht="13.2" customHeight="1" s="49">
      <c r="A15" s="8" t="inlineStr">
        <is>
          <t>13</t>
        </is>
      </c>
      <c r="B15" s="2"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2" t="n"/>
      <c r="D15" s="2" t="inlineStr">
        <is>
          <t>Prednisolone</t>
        </is>
      </c>
      <c r="E15" s="2" t="inlineStr">
        <is>
          <t>Cyclosporine</t>
        </is>
      </c>
      <c r="F15" s="2" t="inlineStr">
        <is>
          <t>Tacrolimus</t>
        </is>
      </c>
      <c r="G15" s="2" t="inlineStr">
        <is>
          <t>Leucovorin</t>
        </is>
      </c>
      <c r="H15" s="2" t="inlineStr">
        <is>
          <t>Mycophenolate mofetil</t>
        </is>
      </c>
      <c r="I15" s="8" t="n">
        <v>4</v>
      </c>
      <c r="J15" s="2" t="inlineStr">
        <is>
          <t>✅ คำตอบที่ถูกต้อง: ข้อ ง. Leucovorin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Chronic kidney diseases</t>
        </is>
      </c>
      <c r="M15" s="2" t="inlineStr">
        <is>
          <t>Clinic</t>
        </is>
      </c>
      <c r="N15" s="2" t="inlineStr">
        <is>
          <t>ข้อ 13 Pharma Plus เล่มม่วง (เฉลยข้อ ง)</t>
        </is>
      </c>
      <c r="O15" s="2" t="n"/>
      <c r="P15" s="2" t="n"/>
    </row>
    <row r="16" ht="13.2" customHeight="1" s="49">
      <c r="A16" s="8" t="inlineStr">
        <is>
          <t>14</t>
        </is>
      </c>
      <c r="B16"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2" t="n"/>
      <c r="D16" s="2" t="inlineStr">
        <is>
          <t>10 mL/min</t>
        </is>
      </c>
      <c r="E16" s="2" t="inlineStr">
        <is>
          <t>15 mL/min</t>
        </is>
      </c>
      <c r="F16" s="2" t="inlineStr">
        <is>
          <t>20 mL/min</t>
        </is>
      </c>
      <c r="G16" s="2" t="inlineStr">
        <is>
          <t>25 mL/min</t>
        </is>
      </c>
      <c r="H16" s="2" t="inlineStr">
        <is>
          <t>30 mL/min</t>
        </is>
      </c>
      <c r="I16" s="8" t="n">
        <v>4</v>
      </c>
      <c r="J16" s="2"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2" t="n"/>
      <c r="L16" s="2" t="inlineStr">
        <is>
          <t>Chronic kidney diseases</t>
        </is>
      </c>
      <c r="M16" s="2" t="inlineStr">
        <is>
          <t>Clinic</t>
        </is>
      </c>
      <c r="N16" s="2" t="inlineStr">
        <is>
          <t>ข้อ 14 Pharma Plus เล่มม่วง (เฉลยข้อ ง)</t>
        </is>
      </c>
      <c r="O16" s="2" t="n"/>
      <c r="P16" s="2" t="n"/>
    </row>
    <row r="17" ht="13.2" customHeight="1" s="49">
      <c r="A17" s="8" t="inlineStr">
        <is>
          <t>15</t>
        </is>
      </c>
      <c r="B17"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2" t="n"/>
      <c r="D17" s="2" t="inlineStr">
        <is>
          <t>Hypovolemia</t>
        </is>
      </c>
      <c r="E17" s="2" t="inlineStr">
        <is>
          <t>Bleeding</t>
        </is>
      </c>
      <c r="F17" s="2" t="inlineStr">
        <is>
          <t>Rhabdomyolysis</t>
        </is>
      </c>
      <c r="G17" s="2" t="inlineStr">
        <is>
          <t>ได้รับยา nephrotoxic</t>
        </is>
      </c>
      <c r="H17" s="2" t="inlineStr">
        <is>
          <t>นิ่ว</t>
        </is>
      </c>
      <c r="I17" s="8" t="n">
        <v>3</v>
      </c>
      <c r="J17" s="2" t="inlineStr">
        <is>
          <t>✅ คำตอบที่ถูกต้อง: ข้อ ค. Rhabdomyolysis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2" t="n"/>
      <c r="L17" s="2" t="inlineStr">
        <is>
          <t>Chronic kidney diseases</t>
        </is>
      </c>
      <c r="M17" s="2" t="inlineStr">
        <is>
          <t>Clinic</t>
        </is>
      </c>
      <c r="N17" s="2" t="inlineStr">
        <is>
          <t>ข้อ 15 Pharma Plus เล่มม่วง (เฉลยข้อ ค)</t>
        </is>
      </c>
      <c r="O17" s="2" t="n"/>
      <c r="P17" s="2" t="n"/>
    </row>
    <row r="18" ht="13.2" customHeight="1" s="49">
      <c r="A18" s="8" t="inlineStr">
        <is>
          <t>16</t>
        </is>
      </c>
      <c r="B18" s="2" t="inlineStr">
        <is>
          <t>ภาวะ oliguria คือข้อใด</t>
        </is>
      </c>
      <c r="C18" s="2" t="n"/>
      <c r="D18" s="2" t="inlineStr">
        <is>
          <t>ภาวะปัสสาวะมากกว่าปกติ</t>
        </is>
      </c>
      <c r="E18" s="2" t="inlineStr">
        <is>
          <t>ภาวะปัสสาวะน้อยกว่าปกติ</t>
        </is>
      </c>
      <c r="F18" s="2" t="inlineStr">
        <is>
          <t>ภาวะปัสสาวะใกล้เคียงกับปกติ</t>
        </is>
      </c>
      <c r="G18" s="2" t="inlineStr">
        <is>
          <t>ภาวะเม็ดเลือดในปัสสาวะ</t>
        </is>
      </c>
      <c r="H18" s="2" t="inlineStr">
        <is>
          <t>ภาวะโปรตีนในปัสสาวะ</t>
        </is>
      </c>
      <c r="I18" s="8" t="n">
        <v>2</v>
      </c>
      <c r="J18" s="2" t="inlineStr">
        <is>
          <t>✅ คำตอบที่ถูกต้อง: ข้อ ข. ภาวะปัสสาวะน้อยกว่าปกติ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Chronic kidney diseases</t>
        </is>
      </c>
      <c r="M18" s="2" t="inlineStr">
        <is>
          <t>Clinic</t>
        </is>
      </c>
      <c r="N18" s="2" t="inlineStr">
        <is>
          <t>ข้อ 16 Pharma Plus เล่มม่วง (เฉลยข้อ ข)</t>
        </is>
      </c>
      <c r="O18" s="2" t="n"/>
      <c r="P18" s="2" t="n"/>
    </row>
    <row r="19" ht="13.2" customHeight="1" s="49">
      <c r="A19" s="8" t="inlineStr">
        <is>
          <t>17</t>
        </is>
      </c>
      <c r="B19" s="2" t="inlineStr">
        <is>
          <t>อาการข้างต้น อาจเกิดได้จากยาในข้อใด</t>
        </is>
      </c>
      <c r="C19" s="2" t="n"/>
      <c r="D19" s="2" t="inlineStr">
        <is>
          <t>Atenolol</t>
        </is>
      </c>
      <c r="E19" s="2" t="inlineStr">
        <is>
          <t>Simvastatin</t>
        </is>
      </c>
      <c r="F19" s="2" t="inlineStr">
        <is>
          <t>Aspirin</t>
        </is>
      </c>
      <c r="G19" s="2" t="inlineStr">
        <is>
          <t>Hydralazine</t>
        </is>
      </c>
      <c r="H19" s="2" t="inlineStr">
        <is>
          <t>Felodipine</t>
        </is>
      </c>
      <c r="I19" s="8" t="n">
        <v>2</v>
      </c>
      <c r="J19" s="2" t="inlineStr">
        <is>
          <t>✅ คำตอบที่ถูกต้อง: ข้อ ข. Simvastatin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Chronic kidney diseases</t>
        </is>
      </c>
      <c r="M19" s="2" t="inlineStr">
        <is>
          <t>Clinic</t>
        </is>
      </c>
      <c r="N19" s="2" t="inlineStr">
        <is>
          <t>ข้อ 17 Pharma Plus เล่มม่วง (เฉลยข้อ ข)</t>
        </is>
      </c>
      <c r="O19" s="2" t="n"/>
      <c r="P19" s="2" t="n"/>
    </row>
    <row r="20" ht="13.2" customHeight="1" s="49">
      <c r="A20" s="8" t="inlineStr">
        <is>
          <t>18</t>
        </is>
      </c>
      <c r="B20" s="2" t="inlineStr">
        <is>
          <t>ในภาวะข้างต้น ผู้ป่วยควรได้รับการรักษาในข้อมากที่สุด ในการปรับสมดุลอิเล็กโทรไลต์</t>
        </is>
      </c>
      <c r="C20" s="2" t="n"/>
      <c r="D20" s="2" t="inlineStr">
        <is>
          <t>Dextrose + insulin</t>
        </is>
      </c>
      <c r="E20" s="2" t="inlineStr">
        <is>
          <t>Erythropoietin</t>
        </is>
      </c>
      <c r="F20" s="2" t="inlineStr">
        <is>
          <t>Sodium bicarbonate</t>
        </is>
      </c>
      <c r="G20" s="2" t="inlineStr">
        <is>
          <t>Calcitriol</t>
        </is>
      </c>
      <c r="H20" s="2" t="inlineStr">
        <is>
          <t>Calcium carbonate</t>
        </is>
      </c>
      <c r="I20" s="8" t="n">
        <v>1</v>
      </c>
      <c r="J20" s="2" t="inlineStr">
        <is>
          <t>✅ คำตอบที่ถูกต้อง: ข้อ ก. Dextrose + insulin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Chronic kidney diseases</t>
        </is>
      </c>
      <c r="M20" s="2" t="inlineStr">
        <is>
          <t>Clinic</t>
        </is>
      </c>
      <c r="N20" s="2" t="inlineStr">
        <is>
          <t>ข้อ 18 Pharma Plus เล่มม่วง (เฉลยข้อ ก)</t>
        </is>
      </c>
      <c r="O20" s="2" t="n"/>
      <c r="P20" s="2" t="n"/>
    </row>
    <row r="21" ht="13.2" customHeight="1" s="49">
      <c r="A21" s="8" t="inlineStr">
        <is>
          <t>19</t>
        </is>
      </c>
      <c r="B21" s="2" t="inlineStr">
        <is>
          <t>ข้อใดเป็นผลกระทบเกี่ยวกับสมดุลอิเล็กโทรไลต์จากการใช้ยา oral corticosteroids</t>
        </is>
      </c>
      <c r="C21" s="2" t="n"/>
      <c r="D21" s="2" t="inlineStr">
        <is>
          <t>Hyperkalemia</t>
        </is>
      </c>
      <c r="E21" s="2" t="inlineStr">
        <is>
          <t>Hyponatremia</t>
        </is>
      </c>
      <c r="F21" s="2" t="inlineStr">
        <is>
          <t>Hypocalcemia</t>
        </is>
      </c>
      <c r="G21" s="2" t="inlineStr">
        <is>
          <t>Hypokalemia</t>
        </is>
      </c>
      <c r="H21" s="2" t="inlineStr">
        <is>
          <t>Hyperchloremic</t>
        </is>
      </c>
      <c r="I21" s="8" t="n">
        <v>4</v>
      </c>
      <c r="J21" s="2" t="inlineStr">
        <is>
          <t>✅ คำตอบที่ถูกต้อง: ข้อ ง. Hypokalemia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Fluid &amp; Electrolyte</t>
        </is>
      </c>
      <c r="M21" s="2" t="inlineStr">
        <is>
          <t>Clinic</t>
        </is>
      </c>
      <c r="N21" s="2" t="inlineStr">
        <is>
          <t>ข้อ 19 Pharma Plus เล่มม่วง (เฉลยข้อ ง)</t>
        </is>
      </c>
      <c r="O21" s="2" t="n"/>
      <c r="P21" s="2" t="n"/>
    </row>
    <row r="22" ht="13.2" customHeight="1" s="49">
      <c r="A22" s="8" t="inlineStr">
        <is>
          <t>20</t>
        </is>
      </c>
      <c r="B22" s="2"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2" t="n"/>
      <c r="D22" s="2" t="inlineStr">
        <is>
          <t>ผู้ป่วยเป็นโรคความดันโลหิตสูงและเบาหวาน</t>
        </is>
      </c>
      <c r="E22" s="2" t="inlineStr">
        <is>
          <t>ผู้ป่วยเป็นโรคเกาต์</t>
        </is>
      </c>
      <c r="F22" s="2" t="inlineStr">
        <is>
          <t>สูบบุหรี่วันละ 1 ซอง</t>
        </is>
      </c>
      <c r="G22" s="2" t="inlineStr">
        <is>
          <t>ไม่ค่อยออกกำลังกาย</t>
        </is>
      </c>
      <c r="H22" s="2" t="inlineStr">
        <is>
          <t>มีอาชีพเป็นทนาย</t>
        </is>
      </c>
      <c r="I22" s="8" t="n">
        <v>1</v>
      </c>
      <c r="J22" s="2"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2" t="n"/>
      <c r="L22" s="2" t="inlineStr">
        <is>
          <t>Chronic kidney diseases</t>
        </is>
      </c>
      <c r="M22" s="2" t="inlineStr">
        <is>
          <t>Clinic</t>
        </is>
      </c>
      <c r="N22" s="2" t="inlineStr">
        <is>
          <t>ข้อ 20 Pharma Plus เล่มม่วง (เฉลยข้อ ก)</t>
        </is>
      </c>
      <c r="O22" s="2" t="n"/>
      <c r="P22" s="2" t="n"/>
    </row>
    <row r="23" ht="13.2" customHeight="1" s="49">
      <c r="A23" s="8" t="inlineStr">
        <is>
          <t>21</t>
        </is>
      </c>
      <c r="B23" s="2" t="inlineStr">
        <is>
          <t>ผู้ป่วยมีภาวะ fluid retention ควรได้รับยาใด</t>
        </is>
      </c>
      <c r="C23" s="2" t="n"/>
      <c r="D23" s="2" t="inlineStr">
        <is>
          <t>HCTZ</t>
        </is>
      </c>
      <c r="E23" s="2" t="inlineStr">
        <is>
          <t>Amirolide</t>
        </is>
      </c>
      <c r="F23" s="2" t="inlineStr">
        <is>
          <t>Furosemide</t>
        </is>
      </c>
      <c r="G23" s="2" t="inlineStr">
        <is>
          <t>Acetazolamide</t>
        </is>
      </c>
      <c r="H23" s="2" t="inlineStr">
        <is>
          <t>HCTZ+Amirolide</t>
        </is>
      </c>
      <c r="I23" s="8" t="n">
        <v>3</v>
      </c>
      <c r="J23" s="2" t="inlineStr">
        <is>
          <t>✅ คำตอบที่ถูกต้อง: ข้อ ค.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2" t="n"/>
      <c r="L23" s="2" t="inlineStr">
        <is>
          <t>Chronic kidney diseases</t>
        </is>
      </c>
      <c r="M23" s="2" t="inlineStr">
        <is>
          <t>Clinic</t>
        </is>
      </c>
      <c r="N23" s="2" t="inlineStr">
        <is>
          <t>ข้อ 21 Pharma Plus เล่มม่วง (เฉลยข้อ ค)</t>
        </is>
      </c>
      <c r="O23" s="2" t="n"/>
      <c r="P23" s="2" t="n"/>
    </row>
    <row r="24" ht="13.2" customHeight="1" s="49">
      <c r="A24" s="8" t="inlineStr">
        <is>
          <t>22</t>
        </is>
      </c>
      <c r="B24" s="2"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2" t="n"/>
      <c r="D24" s="2" t="inlineStr">
        <is>
          <t>ไตวายเฉียบพลัน จากยา enalapril</t>
        </is>
      </c>
      <c r="E24" s="2" t="inlineStr">
        <is>
          <t>ไตวายเฉียบพลัน จากยา hydrochlorothiazide</t>
        </is>
      </c>
      <c r="F24" s="2" t="inlineStr">
        <is>
          <t>ไตวายเฉียบพลัน จากภาวะ dehydration</t>
        </is>
      </c>
      <c r="G24" s="2" t="inlineStr">
        <is>
          <t>ไตวายเรื้อรัง จากโรคความดันโลหิตสูง</t>
        </is>
      </c>
      <c r="H24" s="2" t="inlineStr">
        <is>
          <t>ไตวายเรื้อรัง จากการมีนิ่วอุดตันในท่อไต</t>
        </is>
      </c>
      <c r="I24" s="8" t="n">
        <v>4</v>
      </c>
      <c r="J24" s="2" t="inlineStr">
        <is>
          <t>✅ คำตอบที่ถูกต้อง: ข้อ ง. ไตวายเรื้อรัง จากโรคความดันโลหิตสูง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Chronic kidney diseases</t>
        </is>
      </c>
      <c r="M24" s="2" t="inlineStr">
        <is>
          <t>Clinic</t>
        </is>
      </c>
      <c r="N24" s="2" t="inlineStr">
        <is>
          <t>ข้อ 22 Pharma Plus เล่มม่วง (เฉลยข้อ ง)</t>
        </is>
      </c>
      <c r="O24" s="2" t="n"/>
      <c r="P24" s="2" t="n"/>
    </row>
    <row r="25" ht="13.2" customHeight="1" s="49">
      <c r="A25" s="8" t="inlineStr">
        <is>
          <t>23</t>
        </is>
      </c>
      <c r="B25" s="2" t="inlineStr">
        <is>
          <t>Hydrochlorothiazide (HCTZ) ออกฤทธิ์ยับยั้งกระบวนการในข้อใด</t>
        </is>
      </c>
      <c r="C25" s="2" t="n"/>
      <c r="D25" s="2" t="inlineStr">
        <is>
          <t>Vasopressin's action</t>
        </is>
      </c>
      <c r="E25" s="2" t="inlineStr">
        <is>
          <t>Reabsorption of Na⁺</t>
        </is>
      </c>
      <c r="F25" s="2" t="inlineStr">
        <is>
          <t>Na⁺/K⁺/2Cl⁻ symporter</t>
        </is>
      </c>
      <c r="G25" s="2" t="inlineStr">
        <is>
          <t>Na⁺/K⁺ exchanger</t>
        </is>
      </c>
      <c r="H25" s="2" t="inlineStr">
        <is>
          <t>Reabsorption by Na⁺/Cl⁻ symporter</t>
        </is>
      </c>
      <c r="I25" s="8" t="n">
        <v>5</v>
      </c>
      <c r="J25" s="2" t="inlineStr">
        <is>
          <t>✅ คำตอบที่ถูกต้อง: ข้อ จ. Reabsorption by Na⁺/Cl⁻ symporter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2" t="n"/>
      <c r="L25" s="2" t="inlineStr">
        <is>
          <t>Chronic kidney diseases</t>
        </is>
      </c>
      <c r="M25" s="2" t="inlineStr">
        <is>
          <t>Clinic</t>
        </is>
      </c>
      <c r="N25" s="2" t="inlineStr">
        <is>
          <t>ข้อ 23 Pharma Plus เล่มม่วง (เฉลยข้อ จ)</t>
        </is>
      </c>
      <c r="O25" s="2" t="n"/>
      <c r="P25" s="2" t="n"/>
    </row>
    <row r="26" ht="13.2" customHeight="1" s="49">
      <c r="A26" s="8" t="inlineStr">
        <is>
          <t>24</t>
        </is>
      </c>
      <c r="B26" s="2" t="inlineStr">
        <is>
          <t>ผู้ป่วยมีภาวะ fluid retention การรักษาใดที่ไม่เหมาะสม</t>
        </is>
      </c>
      <c r="C26" s="2" t="n"/>
      <c r="D26" s="2" t="inlineStr">
        <is>
          <t>จำกัดน้ำ</t>
        </is>
      </c>
      <c r="E26" s="2" t="inlineStr">
        <is>
          <t>ให้ยาขับปัสสาวะ</t>
        </is>
      </c>
      <c r="F26" s="2" t="inlineStr">
        <is>
          <t>ควบคุมความดันด้วยยา enalapril ต่อ</t>
        </is>
      </c>
      <c r="G26" s="2" t="inlineStr">
        <is>
          <t>รักษา CHF ด้วยยา digoxin</t>
        </is>
      </c>
      <c r="H26" s="2" t="inlineStr">
        <is>
          <t>ทำ hemodialysis</t>
        </is>
      </c>
      <c r="I26" s="8" t="n">
        <v>5</v>
      </c>
      <c r="J26" s="2" t="inlineStr">
        <is>
          <t>✅ คำตอบที่ถูกต้อง: ข้อ จ. ทำ hemodialysis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Chronic kidney diseases</t>
        </is>
      </c>
      <c r="M26" s="2" t="inlineStr">
        <is>
          <t>Clinic</t>
        </is>
      </c>
      <c r="N26" s="2" t="inlineStr">
        <is>
          <t>ข้อ 24 Pharma Plus เล่มม่วง (เฉลยข้อ จ)</t>
        </is>
      </c>
      <c r="O26" s="2" t="n"/>
      <c r="P26" s="2" t="n"/>
    </row>
    <row r="27" ht="13.2" customHeight="1" s="49">
      <c r="A27" s="8" t="inlineStr">
        <is>
          <t>25</t>
        </is>
      </c>
      <c r="B27" s="2" t="inlineStr">
        <is>
          <t>แพทย์พิจารณาจ่ายยาขับปัสสาวะ ยาใดเหมาะสมที่สุดในผู้ป่วยรายนี้</t>
        </is>
      </c>
      <c r="C27" s="2" t="n"/>
      <c r="D27" s="2" t="inlineStr">
        <is>
          <t>HCTZ</t>
        </is>
      </c>
      <c r="E27" s="2" t="inlineStr">
        <is>
          <t>Spironolactone</t>
        </is>
      </c>
      <c r="F27" s="2" t="inlineStr">
        <is>
          <t>Ethacrynic acid</t>
        </is>
      </c>
      <c r="G27" s="2" t="inlineStr">
        <is>
          <t>Furosemide</t>
        </is>
      </c>
      <c r="H27" s="2" t="inlineStr">
        <is>
          <t>Amiloride</t>
        </is>
      </c>
      <c r="I27" s="8" t="n">
        <v>4</v>
      </c>
      <c r="J27" s="2" t="inlineStr">
        <is>
          <t>✅ คำตอบที่ถูกต้อง: ข้อ ง.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2" t="n"/>
      <c r="L27" s="2" t="inlineStr">
        <is>
          <t>Chronic kidney diseases</t>
        </is>
      </c>
      <c r="M27" s="2" t="inlineStr">
        <is>
          <t>Clinic</t>
        </is>
      </c>
      <c r="N27" s="2" t="inlineStr">
        <is>
          <t>ข้อ 25 Pharma Plus เล่มม่วง (เฉลยข้อ ง)</t>
        </is>
      </c>
      <c r="O27" s="2" t="n"/>
      <c r="P27" s="2" t="n"/>
    </row>
    <row r="28" ht="13.2" customHeight="1" s="49">
      <c r="A28" s="8" t="inlineStr">
        <is>
          <t>26</t>
        </is>
      </c>
      <c r="B28" s="2" t="inlineStr">
        <is>
          <t>อาการข้างเคียงจากการใช้ยาขับปัสสาวะดังกล่าวข้างต้นคือข้อใด</t>
        </is>
      </c>
      <c r="C28" s="2" t="n"/>
      <c r="D28" s="2" t="inlineStr">
        <is>
          <t>Hypocalcemia</t>
        </is>
      </c>
      <c r="E28" s="2" t="inlineStr">
        <is>
          <t>Hyponatremia</t>
        </is>
      </c>
      <c r="F28" s="2" t="inlineStr">
        <is>
          <t>Hypokalemia</t>
        </is>
      </c>
      <c r="G28" s="2" t="inlineStr">
        <is>
          <t>Hypercalcemia</t>
        </is>
      </c>
      <c r="H28" s="2" t="inlineStr">
        <is>
          <t>Acidosis</t>
        </is>
      </c>
      <c r="I28" s="8" t="n">
        <v>1</v>
      </c>
      <c r="J28" s="2" t="inlineStr">
        <is>
          <t>✅ คำตอบที่ถูกต้อง: ข้อ ก. Hypocalcemia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Chronic kidney diseases</t>
        </is>
      </c>
      <c r="M28" s="2" t="inlineStr">
        <is>
          <t>Clinic</t>
        </is>
      </c>
      <c r="N28" s="2" t="inlineStr">
        <is>
          <t>ข้อ 26 Pharma Plus เล่มม่วง (เฉลยข้อ ก ค)</t>
        </is>
      </c>
      <c r="O28" s="2" t="n"/>
      <c r="P28" s="2" t="n"/>
    </row>
    <row r="29" ht="13.2" customHeight="1" s="49">
      <c r="A29" s="8" t="inlineStr">
        <is>
          <t>28</t>
        </is>
      </c>
      <c r="B29" s="2" t="inlineStr">
        <is>
          <t>of oxidation is increased by the addition of alkali or by exposure to light. (ใช้ตอบข้อ 57-58)
ควรให้ยาใด</t>
        </is>
      </c>
      <c r="C29" s="2" t="n"/>
      <c r="D29" s="2" t="inlineStr">
        <is>
          <t>Atezolizumab + Bevacizumab</t>
        </is>
      </c>
      <c r="E29" s="2" t="inlineStr">
        <is>
          <t>Amivantamab + Lazertinib</t>
        </is>
      </c>
      <c r="F29" s="2" t="inlineStr">
        <is>
          <t>Carboplatin + Paclitaxel</t>
        </is>
      </c>
      <c r="G29" s="2" t="inlineStr">
        <is>
          <t>Osimertinib + Pemetrexed</t>
        </is>
      </c>
      <c r="H29" s="2" t="inlineStr">
        <is>
          <t>จับ EGFR หยุดสัญญาณกระตุ้นเซลล์</t>
        </is>
      </c>
      <c r="I29" s="8" t="n">
        <v>3</v>
      </c>
      <c r="J29" s="2" t="inlineStr">
        <is>
          <t>✅ คำตอบที่ถูกต้อง: ข้อ ค. Carboplatin + Paclitaxel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Chronic kidney diseases</t>
        </is>
      </c>
      <c r="M29" s="2" t="inlineStr">
        <is>
          <t>CKD/AKI</t>
        </is>
      </c>
      <c r="N29" s="2" t="inlineStr">
        <is>
          <t>Mock PLE-CC 1 ข้อ 66</t>
        </is>
      </c>
      <c r="O29" s="2" t="n"/>
      <c r="P29" s="2" t="n"/>
      <c r="Q29" s="2" t="n"/>
    </row>
    <row r="30" ht="13.2" customHeight="1" s="49">
      <c r="A30" s="8" t="inlineStr">
        <is>
          <t>29</t>
        </is>
      </c>
      <c r="B30" s="2" t="inlineStr">
        <is>
          <t>ยาที่เลือกข้อก่อนหน้า เกี่ยวกับ biomaker ใด</t>
        </is>
      </c>
      <c r="C30" s="2" t="n"/>
      <c r="D30" s="2" t="inlineStr">
        <is>
          <t>จับกับ MHC class 1 เพิ่ม antigen presentation</t>
        </is>
      </c>
      <c r="E30" s="2" t="inlineStr">
        <is>
          <t>จับ CTLA-4 บน T cell เพิ่มการทำงานของ Treg</t>
        </is>
      </c>
      <c r="F30" s="2" t="inlineStr">
        <is>
          <t>จับ PD-L1 บน tumor cell เพิ่ม clt</t>
        </is>
      </c>
      <c r="G30" s="2" t="inlineStr">
        <is>
          <t>จับ PD-1 บน T cell ลดการจับกันของ PD-1/PD-L1 ส่งผลให้ฟื้นการทำงานของ T cell</t>
        </is>
      </c>
      <c r="H30" s="2" t="inlineStr">
        <is>
          <t>จับ EGFR หยุดสัญญาณกระตุ้นเซลล์</t>
        </is>
      </c>
      <c r="I30" s="8" t="n">
        <v>2</v>
      </c>
      <c r="J30" s="2" t="inlineStr">
        <is>
          <t>✅ คำตอบที่ถูกต้อง: ข้อ ข. จับ CTLA-4 บน T cell เพิ่มการทำงานของ Treg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Chronic kidney diseases</t>
        </is>
      </c>
      <c r="M30" s="2" t="inlineStr">
        <is>
          <t>CKD/AKI</t>
        </is>
      </c>
      <c r="N30" s="2" t="inlineStr">
        <is>
          <t>Mock PLE-CC 1 ข้อ 69</t>
        </is>
      </c>
      <c r="O30" s="2" t="n"/>
      <c r="P30" s="2" t="n"/>
      <c r="Q30" s="2" t="n"/>
    </row>
    <row r="31" ht="13.2" customHeight="1" s="49">
      <c r="A31" s="8" t="inlineStr">
        <is>
          <t>30</t>
        </is>
      </c>
      <c r="B31" s="2" t="inlineStr">
        <is>
          <t>ถัา EGFR exon 19 deletion positive ต้องเปลี่ยนการรักษาเป็นอะไร</t>
        </is>
      </c>
      <c r="C31" s="2" t="n"/>
      <c r="D31" s="2" t="inlineStr">
        <is>
          <t>รักษาแบบเดิม</t>
        </is>
      </c>
      <c r="E31" s="2" t="inlineStr">
        <is>
          <t>Pembrolizumab</t>
        </is>
      </c>
      <c r="F31" s="2" t="inlineStr">
        <is>
          <t>Ceftuximab</t>
        </is>
      </c>
      <c r="G31" s="2" t="inlineStr">
        <is>
          <t>Bevacizumab + carboplatin + paciltaxel</t>
        </is>
      </c>
      <c r="H31" s="2" t="inlineStr">
        <is>
          <t>EGFR TKI target therapy</t>
        </is>
      </c>
      <c r="I31" s="8" t="n">
        <v>1</v>
      </c>
      <c r="J31" s="2"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Chronic kidney diseases</t>
        </is>
      </c>
      <c r="M31" s="2" t="inlineStr">
        <is>
          <t>CKD/AKI</t>
        </is>
      </c>
      <c r="N31" s="2" t="inlineStr">
        <is>
          <t>Mock PLE-CC 1 ข้อ 70</t>
        </is>
      </c>
      <c r="O31" s="2" t="n"/>
      <c r="P31" s="2" t="n"/>
      <c r="Q31" s="2" t="n"/>
    </row>
    <row r="32" ht="13.2" customHeight="1" s="49">
      <c r="A32" s="8" t="inlineStr">
        <is>
          <t>31</t>
        </is>
      </c>
      <c r="B32" s="2" t="inlineStr">
        <is>
          <t>Immune checkpoint inhibitor (ICI) ใน NSCLC (non-small cell lung cancer) อะไรบ่งบอกว่าการรักษาดีขึ้น</t>
        </is>
      </c>
      <c r="C32" s="2" t="n"/>
      <c r="D32" s="2" t="inlineStr">
        <is>
          <t>CEA (Carcinoembryonic antigen)</t>
        </is>
      </c>
      <c r="E32" s="2" t="inlineStr">
        <is>
          <t>TPS ของ PD-L1 (Tumor Proportion Score of PD-L1)</t>
        </is>
      </c>
      <c r="F32" s="2" t="inlineStr">
        <is>
          <t>TMB ต ่า (Tumor Mutational Burden ต ่า)</t>
        </is>
      </c>
      <c r="G32" s="2" t="inlineStr">
        <is>
          <t>LDH ในเลือด (Lactate dehydrogenase)</t>
        </is>
      </c>
      <c r="H32" s="2" t="inlineStr">
        <is>
          <t>EGFR exon 19 deletion express</t>
        </is>
      </c>
      <c r="I32" s="8" t="n">
        <v>1</v>
      </c>
      <c r="J32" s="2" t="inlineStr">
        <is>
          <t>✅ คำตอบที่ถูกต้อง: ข้อ ก. CEA (Carcinoembryonic antigen)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Chronic kidney diseases</t>
        </is>
      </c>
      <c r="M32" s="2" t="inlineStr">
        <is>
          <t>CKD/AKI</t>
        </is>
      </c>
      <c r="N32" s="2" t="inlineStr">
        <is>
          <t>Mock PLE-CC 1 ข้อ 77</t>
        </is>
      </c>
      <c r="O32" s="2" t="n"/>
      <c r="P32" s="2" t="n"/>
      <c r="Q32" s="2" t="n"/>
    </row>
    <row r="33" ht="13.2" customHeight="1" s="49">
      <c r="A33" s="8" t="inlineStr">
        <is>
          <t>32</t>
        </is>
      </c>
      <c r="B33" s="2" t="inlineStr">
        <is>
          <t>กลไกที่ทำให้เกิด exon 19 deletion บน EGFR ส่งผลต่อกลไกการทำงานของ EGFR tyrosine kinase inhibitor
ยังไง</t>
        </is>
      </c>
      <c r="C33" s="2" t="n"/>
      <c r="D33" s="2" t="inlineStr">
        <is>
          <t>CKD/AKI</t>
        </is>
      </c>
      <c r="E33" s="2" t="inlineStr">
        <is>
          <t>ส่งผลต่อการจับ ligand</t>
        </is>
      </c>
      <c r="F33" s="2" t="inlineStr">
        <is>
          <t>ยับยั้งการแสดงออกของ BCL</t>
        </is>
      </c>
      <c r="G33" s="2" t="inlineStr">
        <is>
          <t>Furosemide 40 mg IV/PO OD</t>
        </is>
      </c>
      <c r="H33" s="2" t="inlineStr">
        <is>
          <t>Erythropoietin (EPO) 4000 units SC weekly</t>
        </is>
      </c>
      <c r="I33" s="8" t="n">
        <v>1</v>
      </c>
      <c r="J33"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Chronic kidney diseases</t>
        </is>
      </c>
      <c r="M33" s="2" t="inlineStr">
        <is>
          <t>CKD/AKI</t>
        </is>
      </c>
      <c r="N33" s="2" t="inlineStr">
        <is>
          <t>Mock PLE-CC 1 ข้อ 80</t>
        </is>
      </c>
      <c r="O33" s="2" t="n"/>
      <c r="P33" s="2" t="n"/>
    </row>
    <row r="34" ht="13.2" customHeight="1" s="49">
      <c r="A34" s="8" t="inlineStr">
        <is>
          <t>33</t>
        </is>
      </c>
      <c r="B34" s="2" t="inlineStr">
        <is>
          <t>การกลายพันธุ์ของ T790M ของ EGFR ใน NSCLC ทำให้ผู้ป่วยดื้อต่อยา Gifitinib กับ Erlotinib กลไกคืออะไร</t>
        </is>
      </c>
      <c r="C34" s="2" t="n"/>
      <c r="D34" s="2" t="inlineStr">
        <is>
          <t>เพิ่มการจับ ATP ที่ kinase domain</t>
        </is>
      </c>
      <c r="E34" s="2" t="inlineStr">
        <is>
          <t>เพิ่ม Stearic hindrance ทำให้ไม่จับ ATP ที่ binding pocket</t>
        </is>
      </c>
      <c r="F34" s="2" t="inlineStr">
        <is>
          <t>เพิ่มการแสดงออก EGFR บนเยื่อหุ้ม Cellผิวเซลล์</t>
        </is>
      </c>
      <c r="G34" s="2" t="inlineStr">
        <is>
          <t>Internalization และ degradation ลดลง</t>
        </is>
      </c>
      <c r="H34" s="2" t="inlineStr">
        <is>
          <t>HER2 dimerization</t>
        </is>
      </c>
      <c r="I34" s="8" t="n">
        <v>3</v>
      </c>
      <c r="J34" s="2"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Chronic kidney diseases</t>
        </is>
      </c>
      <c r="M34" s="2" t="inlineStr">
        <is>
          <t>CKD/AKI</t>
        </is>
      </c>
      <c r="N34" s="2" t="inlineStr">
        <is>
          <t>Mock PLE-CC 1 ข้อ 81</t>
        </is>
      </c>
      <c r="O34" s="2" t="n"/>
      <c r="P34" s="2" t="n"/>
      <c r="Q34" s="2" t="n"/>
    </row>
    <row r="35" ht="13.2" customHeight="1" s="49">
      <c r="A35" s="8" t="inlineStr">
        <is>
          <t>34</t>
        </is>
      </c>
      <c r="B35" s="2" t="inlineStr">
        <is>
          <t>จากข้อมูลในสถานการณ์นี้ ข้อใดต่อไปนี้ไม่ใช่ปัจจัยเสี่ยงที่เกี่ยวข้องกับการเกิดโรคไตเรื้อรัง (CKD) ในผู้ป่วย รายนี้</t>
        </is>
      </c>
      <c r="C35" s="2" t="n"/>
      <c r="D35" s="2" t="inlineStr">
        <is>
          <t>แม่</t>
        </is>
      </c>
      <c r="E35" s="2" t="inlineStr">
        <is>
          <t>HbA1c</t>
        </is>
      </c>
      <c r="F35" s="2" t="inlineStr">
        <is>
          <t>FBS</t>
        </is>
      </c>
      <c r="G35" s="2" t="inlineStr">
        <is>
          <t>[NEED_REVIEW]</t>
        </is>
      </c>
      <c r="H35" s="2" t="inlineStr">
        <is>
          <t>[NEED_REVIEW]</t>
        </is>
      </c>
      <c r="I35" s="8" t="n">
        <v>1</v>
      </c>
      <c r="J35"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จากข้อมูลในสถานการณ์นี้ ข้อใดต่อไปนี้ไม่ใช่ปัจจัยเสี่ยงที่เกี่ยวข้องกับการเกิดโรคไตเรื้อรัง (CKD) ในผู้ป่วย รายนี้</t>
        </is>
      </c>
      <c r="K35" s="2" t="n"/>
      <c r="L35" s="2" t="inlineStr">
        <is>
          <t>Chronic kidney diseases</t>
        </is>
      </c>
      <c r="M35" s="2" t="inlineStr">
        <is>
          <t>CKD/AKI</t>
        </is>
      </c>
      <c r="N35" s="2" t="inlineStr">
        <is>
          <t>PLE_CC1_2567_Key ข้อ 48</t>
        </is>
      </c>
      <c r="O35" s="2" t="n"/>
      <c r="P35" s="2" t="n"/>
      <c r="Q35" s="2" t="n"/>
    </row>
    <row r="36" ht="13.2" customHeight="1" s="49">
      <c r="A36" s="8" t="inlineStr">
        <is>
          <t>35</t>
        </is>
      </c>
      <c r="B36" s="2" t="inlineStr">
        <is>
          <t>ข้อใดเป็นเกณฑ์ในการวินิจฉัยว่าผู้ป่วยคนนี้เป็นโรคไตเรื้อรัง</t>
        </is>
      </c>
      <c r="C36" s="2" t="n"/>
      <c r="D36" s="2" t="inlineStr">
        <is>
          <t>serum HCO3 22 mg/dl</t>
        </is>
      </c>
      <c r="E36" s="2" t="inlineStr">
        <is>
          <t>AUACR 282</t>
        </is>
      </c>
      <c r="F36" s="2" t="inlineStr">
        <is>
          <t>คนในครอบครัวเป็นโรคไต</t>
        </is>
      </c>
      <c r="G36" s="2" t="inlineStr">
        <is>
          <t>[NEED_REVIEW]</t>
        </is>
      </c>
      <c r="H36" s="2" t="inlineStr">
        <is>
          <t>BUN</t>
        </is>
      </c>
      <c r="I36" s="8" t="n">
        <v>1</v>
      </c>
      <c r="J36" s="2" t="inlineStr">
        <is>
          <t>✅ คำตอบที่ถูกต้อง: ข้อ ก. serum HCO3 22 mg/dl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([NEED_REVIEW]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Chronic kidney diseases</t>
        </is>
      </c>
      <c r="M36" s="2" t="inlineStr">
        <is>
          <t>CKD/AKI</t>
        </is>
      </c>
      <c r="N36" s="2" t="inlineStr">
        <is>
          <t>PLE_CC1_2567_Key ข้อ 50</t>
        </is>
      </c>
      <c r="O36" s="2" t="n"/>
      <c r="P36" s="2" t="n"/>
      <c r="Q36" s="2" t="n"/>
    </row>
    <row r="37" ht="13.2" customHeight="1" s="49">
      <c r="A37" s="8" t="inlineStr">
        <is>
          <t>36</t>
        </is>
      </c>
      <c r="B37" s="2" t="inlineStr">
        <is>
          <t>ค;าใดที่ไม;ไดใชติดตามผลการรักษา AKI</t>
        </is>
      </c>
      <c r="C37" s="2" t="n"/>
      <c r="D37" s="2" t="inlineStr">
        <is>
          <t>BP</t>
        </is>
      </c>
      <c r="E37" s="2" t="inlineStr">
        <is>
          <t>Urine specific gravity</t>
        </is>
      </c>
      <c r="F37" s="2" t="inlineStr">
        <is>
          <t>SCr</t>
        </is>
      </c>
      <c r="G37" s="2" t="inlineStr">
        <is>
          <t>Intake/Output</t>
        </is>
      </c>
      <c r="H37" s="2" t="inlineStr">
        <is>
          <t>BUN</t>
        </is>
      </c>
      <c r="I37" s="8" t="n">
        <v>1</v>
      </c>
      <c r="J37"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ค;าใดที่ไม;ไดใชติดตามผลการรักษา AKI</t>
        </is>
      </c>
      <c r="K37" s="2" t="n"/>
      <c r="L37" s="2" t="inlineStr">
        <is>
          <t>Acute kidney injury</t>
        </is>
      </c>
      <c r="M37" s="2" t="inlineStr">
        <is>
          <t>CKD/AKI</t>
        </is>
      </c>
      <c r="N37" s="2" t="inlineStr">
        <is>
          <t>PLE_CC1_2565_Day1_Key ข้อ 74</t>
        </is>
      </c>
      <c r="O37" s="2" t="n"/>
      <c r="P37" s="2" t="n"/>
      <c r="Q37" s="2" t="n"/>
    </row>
    <row r="38" ht="13.2" customHeight="1" s="49">
      <c r="A38" s="8" t="inlineStr">
        <is>
          <t>37</t>
        </is>
      </c>
      <c r="B38" s="2" t="inlineStr">
        <is>
          <t>Acute kidney injury (AKI)</t>
        </is>
      </c>
      <c r="C38" s="2" t="n"/>
      <c r="D38" s="2" t="inlineStr">
        <is>
          <t>CKD/AKI</t>
        </is>
      </c>
      <c r="E38" s="2" t="inlineStr">
        <is>
          <t>Potassium chloride 500 mg BID</t>
        </is>
      </c>
      <c r="F38" s="2" t="inlineStr">
        <is>
          <t>Calcium carbonate 1000 mg TID with meals</t>
        </is>
      </c>
      <c r="G38" s="2" t="inlineStr">
        <is>
          <t>Calcium acetate 667 mg TID with meals</t>
        </is>
      </c>
      <c r="H38" s="2" t="inlineStr">
        <is>
          <t>Sevelamer carbonate 800 mg TID with meals</t>
        </is>
      </c>
      <c r="I38" s="8" t="n">
        <v>1</v>
      </c>
      <c r="J38"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Acute kidney injury (AKI)</t>
        </is>
      </c>
      <c r="K38" s="2" t="n"/>
      <c r="L38" s="2" t="inlineStr">
        <is>
          <t>Acute kidney injury</t>
        </is>
      </c>
      <c r="M38" s="2" t="inlineStr">
        <is>
          <t>CKD/AKI</t>
        </is>
      </c>
      <c r="N38" s="2" t="inlineStr">
        <is>
          <t>PLE_CC1_2565_Day1_Key ข้อ 18</t>
        </is>
      </c>
      <c r="O38" s="2" t="n"/>
      <c r="P38" s="2" t="n"/>
    </row>
    <row r="39" ht="13.2" customHeight="1" s="49">
      <c r="A39" s="8" t="inlineStr">
        <is>
          <t>38</t>
        </is>
      </c>
      <c r="B39" s="2" t="inlineStr">
        <is>
          <t>ชีวสมมูลของยาที่ขับออกทางไต ไม-จำเปQนต$องดูอะไร lด 5 log k mnด การสลายRวoอยnด</t>
        </is>
      </c>
      <c r="C39" s="2" t="n"/>
      <c r="D39" s="2" t="inlineStr">
        <is>
          <t>tmax</t>
        </is>
      </c>
      <c r="E39" s="2" t="inlineStr">
        <is>
          <t>Cmax</t>
        </is>
      </c>
      <c r="F39" s="2" t="inlineStr">
        <is>
          <t>AUC</t>
        </is>
      </c>
      <c r="G39" s="2" t="inlineStr">
        <is>
          <t>half-life</t>
        </is>
      </c>
      <c r="H39" s="2" t="inlineStr">
        <is>
          <t>urinary excretion / ใ+,วม/บ Accumulative urinary recovery (Ae) เ1อ3วอ4างเ"น urine แทน AUC /บ Cmax</t>
        </is>
      </c>
      <c r="I39" s="8" t="n">
        <v>1</v>
      </c>
      <c r="J39"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ชีวสมมูลของยาที่ขับออกทางไต ไม-จำเปQนต$องดูอะไร lด 5 log k mnด การสลายRวoอยnด</t>
        </is>
      </c>
      <c r="K39" s="2" t="n"/>
      <c r="L39" s="2" t="inlineStr">
        <is>
          <t>Chronic kidney diseases</t>
        </is>
      </c>
      <c r="M39" s="2" t="inlineStr">
        <is>
          <t>CKD/AKI</t>
        </is>
      </c>
      <c r="N39" s="2" t="inlineStr">
        <is>
          <t>PLE_CC1_2565_Day2_Key ข้อ 75</t>
        </is>
      </c>
      <c r="O39" s="2" t="n"/>
      <c r="P39" s="2" t="n"/>
      <c r="Q39" s="2" t="n"/>
    </row>
    <row r="40" ht="13.2" customHeight="1" s="49">
      <c r="A40" s="8" t="inlineStr">
        <is>
          <t>39</t>
        </is>
      </c>
      <c r="B40" s="2"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2" t="n"/>
      <c r="D40" s="2" t="inlineStr">
        <is>
          <t>CKD/AKI</t>
        </is>
      </c>
      <c r="E40" s="2" t="inlineStr">
        <is>
          <t>Calcium gluconate 10% 10 mL IV over 5 min</t>
        </is>
      </c>
      <c r="F40" s="2" t="inlineStr">
        <is>
          <t>Furosemide 40 mg IV/PO OD</t>
        </is>
      </c>
      <c r="G40" s="2" t="inlineStr">
        <is>
          <t>Erythropoietin (EPO) 4000 units SC weekly</t>
        </is>
      </c>
      <c r="H40" s="2" t="inlineStr">
        <is>
          <t>Calcitriol 0.25 mcg OD</t>
        </is>
      </c>
      <c r="I40" s="8" t="n">
        <v>1</v>
      </c>
      <c r="J40"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t>
        </is>
      </c>
      <c r="K40" s="2" t="n"/>
      <c r="L40" s="2" t="inlineStr">
        <is>
          <t>Acute kidney injury</t>
        </is>
      </c>
      <c r="M40" s="2" t="inlineStr">
        <is>
          <t>CKD/AKI</t>
        </is>
      </c>
      <c r="N40" s="2" t="inlineStr">
        <is>
          <t>PLE_CC1_2564_All_Key ข้อ 9</t>
        </is>
      </c>
      <c r="O40" s="2" t="n"/>
      <c r="P40" s="2" t="n"/>
    </row>
    <row r="41" ht="13.2" customHeight="1" s="49">
      <c r="A41" s="8" t="inlineStr">
        <is>
          <t>40</t>
        </is>
      </c>
      <c r="B41" s="2" t="inlineStr">
        <is>
          <t>ค่า eGFR เท่ากับ 28 คืออยู่ KDIGO stage อะไร อิงตาม KDIGO 2012</t>
        </is>
      </c>
      <c r="C41" s="2" t="n"/>
      <c r="D41" s="2" t="inlineStr">
        <is>
          <t>G1</t>
        </is>
      </c>
      <c r="E41" s="2" t="inlineStr">
        <is>
          <t>G2</t>
        </is>
      </c>
      <c r="F41" s="2" t="inlineStr">
        <is>
          <t>G3a</t>
        </is>
      </c>
      <c r="G41" s="2" t="inlineStr">
        <is>
          <t>G3b</t>
        </is>
      </c>
      <c r="H41" s="2" t="inlineStr">
        <is>
          <t>G4</t>
        </is>
      </c>
      <c r="I41" s="8" t="n">
        <v>1</v>
      </c>
      <c r="J41" s="2"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G1 ไม่ตรงกับข้อบ่งใช้หรือกลไกการออกฤทธิ์ที่ถูกต้องตาม KDIGO 2022 CKD Guideline
• ข้อ ค. (G2): G2 ไม่ตรงกับข้อบ่งใช้หรือกลไกการออกฤทธิ์ที่ถูกต้องตาม KDIGO 2022 CKD Guideline
• ข้อ ง. (G3a): G3a ไม่ตรงกับข้อบ่งใช้หรือกลไกการออกฤทธิ์ที่ถูกต้องตาม KDIGO 2022 CKD Guideline
• ข้อ จ. (G3b): G3b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Chronic kidney diseases</t>
        </is>
      </c>
      <c r="M41" s="2" t="inlineStr">
        <is>
          <t>CKD/AKI</t>
        </is>
      </c>
      <c r="N41" s="2" t="inlineStr">
        <is>
          <t>PLE_CC1_2564_All_Key ข้อ 111</t>
        </is>
      </c>
      <c r="O41" s="2" t="n"/>
      <c r="P41" s="2" t="n"/>
      <c r="Q41" s="2" t="n"/>
    </row>
    <row r="42" ht="13.2" customHeight="1" s="49">
      <c r="A42" s="8" t="inlineStr">
        <is>
          <t>41</t>
        </is>
      </c>
      <c r="B42" s="2" t="inlineStr">
        <is>
          <t>ประกาศสำนักงานคณะกรรมการอาหารและยา เรื่องหลักเกณฑ์ในการโฆษณาอาหาร 2564 [ http://www.ratchakitcha.soc.go.th/DATA/PDF/2564/E/073/T_0014.PDF ]</t>
        </is>
      </c>
      <c r="C42" s="2" t="n"/>
      <c r="D42" s="2" t="inlineStr">
        <is>
          <t>CKD/AKI</t>
        </is>
      </c>
      <c r="E42" s="2" t="inlineStr">
        <is>
          <t>Calcium acetate 667 mg TID with meals</t>
        </is>
      </c>
      <c r="F42" s="2" t="inlineStr">
        <is>
          <t>Sevelamer carbonate 800 mg TID with meals</t>
        </is>
      </c>
      <c r="G42" s="2" t="inlineStr">
        <is>
          <t>Sodium bicarbonate 650 mg TID</t>
        </is>
      </c>
      <c r="H42" s="2" t="inlineStr">
        <is>
          <t>Kayexalate (Sodium polystyrene sulfonate) 15 g TID</t>
        </is>
      </c>
      <c r="I42" s="8" t="n">
        <v>1</v>
      </c>
      <c r="J42" s="2" t="inlineStr">
        <is>
          <t>✅ คำตอบที่ถูกต้อง: ข้อ ก. CKD/AKI
💡 Background:
การบริบาลทางเภสัชกรรมในกลุ่มโรค Acute kidney injury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n"/>
      <c r="L42" s="2" t="inlineStr">
        <is>
          <t>Acute kidney injury</t>
        </is>
      </c>
      <c r="M42" s="2" t="inlineStr">
        <is>
          <t>CKD/AKI</t>
        </is>
      </c>
      <c r="N42" s="2" t="inlineStr">
        <is>
          <t>PLE_CC1_2564_All_Key ข้อ 2</t>
        </is>
      </c>
      <c r="O42" s="2" t="n"/>
      <c r="P42" s="2" t="n"/>
    </row>
    <row r="43" ht="13.2" customHeight="1" s="49">
      <c r="A43" s="8" t="inlineStr">
        <is>
          <t>41</t>
        </is>
      </c>
      <c r="B43" s="2" t="inlineStr">
        <is>
          <t>ผู้ป่วยจัดอยู่ CKD stage ใด = I ~ 45 - 59</t>
        </is>
      </c>
      <c r="C43" s="2" t="n"/>
      <c r="D43" s="2" t="inlineStr">
        <is>
          <t>Sodium bicarbonate 650 mg TID</t>
        </is>
      </c>
      <c r="E43" s="2" t="inlineStr">
        <is>
          <t>Kayexalate (Sodium polystyrene sulfonate) 15 g TID</t>
        </is>
      </c>
      <c r="F43" s="2" t="inlineStr">
        <is>
          <t>3a</t>
        </is>
      </c>
      <c r="G43" s="2" t="inlineStr">
        <is>
          <t>3b</t>
        </is>
      </c>
      <c r="H43" s="2" t="inlineStr">
        <is>
          <t>Erythropoietin (EPO) 4000 units SC weekly</t>
        </is>
      </c>
      <c r="I43" s="8" t="n">
        <v>1</v>
      </c>
      <c r="J43" s="2"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n"/>
      <c r="L43" s="2" t="inlineStr">
        <is>
          <t>Chronic kidney diseases</t>
        </is>
      </c>
      <c r="M43" s="2" t="inlineStr">
        <is>
          <t>Clinic</t>
        </is>
      </c>
      <c r="N43" s="2" t="inlineStr">
        <is>
          <t>ข้อ 73 (PLE_CC1_2562_Key.md)</t>
        </is>
      </c>
      <c r="O43" s="2" t="n"/>
      <c r="P43" s="2" t="n"/>
    </row>
    <row r="44" ht="13.2" customHeight="1" s="49">
      <c r="A44" s="8" t="inlineStr">
        <is>
          <t>42</t>
        </is>
      </c>
      <c r="B44" s="2" t="inlineStr">
        <is>
          <t>การไตเตรตดังกล!าวแบบใด</t>
        </is>
      </c>
      <c r="C44" s="2" t="n"/>
      <c r="D44" s="2" t="inlineStr">
        <is>
          <t>Redox titrate</t>
        </is>
      </c>
      <c r="E44" s="2" t="inlineStr">
        <is>
          <t>Aqueous titrate</t>
        </is>
      </c>
      <c r="F44" s="2" t="inlineStr">
        <is>
          <t>Precipitation titrate</t>
        </is>
      </c>
      <c r="G44" s="2" t="inlineStr">
        <is>
          <t>Non aqueous titrate</t>
        </is>
      </c>
      <c r="H44" s="2" t="inlineStr">
        <is>
          <t>Complexometric</t>
        </is>
      </c>
      <c r="I44" s="8" t="n">
        <v>1</v>
      </c>
      <c r="J44" s="2" t="inlineStr">
        <is>
          <t>✅ คำตอบที่ถูกต้อง: ข้อ ก. Redox titrate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Chronic kidney diseases</t>
        </is>
      </c>
      <c r="M44" s="2" t="inlineStr">
        <is>
          <t>Clinic</t>
        </is>
      </c>
      <c r="N44" s="2" t="inlineStr">
        <is>
          <t>ข้อ 17 (PLE_CC1_2561_Key.md)</t>
        </is>
      </c>
      <c r="O44" s="2" t="n"/>
      <c r="P44" s="2" t="n"/>
    </row>
    <row r="45" ht="13.2" customHeight="1" s="49">
      <c r="A45" s="8" t="inlineStr">
        <is>
          <t>43</t>
        </is>
      </c>
      <c r="B45" s="2" t="inlineStr">
        <is>
          <t>ยาใดไม่ควรใช้ในผู้ป่วยโรคไตเรื อรังรายนี</t>
        </is>
      </c>
      <c r="C45" s="2" t="n"/>
      <c r="D45" s="2" t="inlineStr">
        <is>
          <t>Aspirin</t>
        </is>
      </c>
      <c r="E45" s="2" t="inlineStr">
        <is>
          <t>Glipizide</t>
        </is>
      </c>
      <c r="F45" s="2" t="inlineStr">
        <is>
          <t>Amlodipine</t>
        </is>
      </c>
      <c r="G45" s="2" t="inlineStr">
        <is>
          <t>Alum milk</t>
        </is>
      </c>
      <c r="H45" s="2" t="inlineStr">
        <is>
          <t>Hydralazine</t>
        </is>
      </c>
      <c r="I45" s="8" t="n">
        <v>1</v>
      </c>
      <c r="J45" s="2"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Chronic kidney diseases</t>
        </is>
      </c>
      <c r="M45" s="2" t="inlineStr">
        <is>
          <t>Clinic</t>
        </is>
      </c>
      <c r="N45" s="2" t="inlineStr">
        <is>
          <t>ข้อ 3 (PLE_CC1_2560 22 April Set 1.md)</t>
        </is>
      </c>
      <c r="O45" s="2" t="n"/>
      <c r="P45" s="2" t="n"/>
    </row>
    <row r="46" ht="13.2" customHeight="1" s="49">
      <c r="A46" s="8" t="inlineStr">
        <is>
          <t>44</t>
        </is>
      </c>
      <c r="B46" s="2" t="inlineStr">
        <is>
          <t>ยาใดห้ามใช้ในโรคไต</t>
        </is>
      </c>
      <c r="C46" s="2" t="n"/>
      <c r="D46" s="2" t="inlineStr">
        <is>
          <t>Aspirin</t>
        </is>
      </c>
      <c r="E46" s="2" t="inlineStr">
        <is>
          <t>Glipizide</t>
        </is>
      </c>
      <c r="F46" s="2" t="inlineStr">
        <is>
          <t>Amlodipine</t>
        </is>
      </c>
      <c r="G46" s="2" t="inlineStr">
        <is>
          <t>Alum milk</t>
        </is>
      </c>
      <c r="H46" s="2" t="inlineStr">
        <is>
          <t>Hydralazine</t>
        </is>
      </c>
      <c r="I46" s="8" t="n">
        <v>1</v>
      </c>
      <c r="J46" s="2"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Chronic kidney diseases</t>
        </is>
      </c>
      <c r="M46" s="2" t="inlineStr">
        <is>
          <t>Clinic</t>
        </is>
      </c>
      <c r="N46" s="2" t="inlineStr">
        <is>
          <t>ข้อ 2 (PLE_CC1_2560 22 April Set 2.md)</t>
        </is>
      </c>
      <c r="O46" s="2" t="n"/>
      <c r="P46" s="2" t="n"/>
    </row>
    <row r="47" ht="13.2" customHeight="1" s="49">
      <c r="A47" s="8" t="inlineStr">
        <is>
          <t>45</t>
        </is>
      </c>
      <c r="B47" s="2" t="inlineStr">
        <is>
          <t>ยาใดเป็นพิษต่อไตมากที่สุด</t>
        </is>
      </c>
      <c r="C47" s="2" t="n"/>
      <c r="D47" s="2" t="inlineStr">
        <is>
          <t>Risedronate</t>
        </is>
      </c>
      <c r="E47" s="2" t="inlineStr">
        <is>
          <t>Diclofenac</t>
        </is>
      </c>
      <c r="F47" s="2" t="inlineStr">
        <is>
          <t>Glucosamine</t>
        </is>
      </c>
      <c r="G47" s="2" t="inlineStr">
        <is>
          <t>Vitamin B complex</t>
        </is>
      </c>
      <c r="H47" s="2" t="inlineStr">
        <is>
          <t>Calcium ห้ามนำไปทำซ้ำทุกกรณี เว้นแต่จะได้รับอนุญาต</t>
        </is>
      </c>
      <c r="I47" s="8" t="n">
        <v>1</v>
      </c>
      <c r="J47" s="2" t="inlineStr">
        <is>
          <t>✅ คำตอบที่ถูกต้อง: ข้อ ก. Risedronate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สากล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n"/>
      <c r="L47" s="2" t="inlineStr">
        <is>
          <t>Chronic kidney diseases</t>
        </is>
      </c>
      <c r="M47" s="2" t="inlineStr">
        <is>
          <t>Clinic</t>
        </is>
      </c>
      <c r="N47" s="2" t="inlineStr">
        <is>
          <t>ข้อ 85 (PLE_CC1_2559.md)</t>
        </is>
      </c>
      <c r="O47" s="2" t="n"/>
      <c r="P47" s="2" t="n"/>
    </row>
    <row r="48" ht="13.2" customHeight="1" s="49">
      <c r="A48" s="8" t="inlineStr">
        <is>
          <t>46</t>
        </is>
      </c>
      <c r="B48" s="2" t="inlineStr">
        <is>
          <t>จัดอยู่ใน CKD stageใด</t>
        </is>
      </c>
      <c r="C48" s="2" t="n"/>
      <c r="D48" s="2" t="inlineStr">
        <is>
          <t>Calcitriol 0.25 mcg OD</t>
        </is>
      </c>
      <c r="E48" s="2" t="inlineStr">
        <is>
          <t>II</t>
        </is>
      </c>
      <c r="F48" s="2" t="inlineStr">
        <is>
          <t>III</t>
        </is>
      </c>
      <c r="G48" s="2" t="inlineStr">
        <is>
          <t>IV</t>
        </is>
      </c>
      <c r="H48" s="2" t="inlineStr">
        <is>
          <t>Sevelamer carbonate 800 mg TID with meals</t>
        </is>
      </c>
      <c r="I48" s="8" t="n">
        <v>1</v>
      </c>
      <c r="J4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II ไม่ตรงกับข้อบ่งใช้หรือกลไกการออกฤทธิ์ที่ถูกต้องตาม KDIGO 2022 CKD Guideline
• ข้อ ค. (III): III ไม่ตรงกับข้อบ่งใช้หรือกลไกการออกฤทธิ์ที่ถูกต้องตาม KDIGO 2022 CKD Guideline
• ข้อ ง. (IV): IV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n"/>
      <c r="L48" s="2" t="inlineStr">
        <is>
          <t>Chronic kidney diseases</t>
        </is>
      </c>
      <c r="M48" s="2" t="inlineStr">
        <is>
          <t>Clinic</t>
        </is>
      </c>
      <c r="N48" s="2" t="inlineStr">
        <is>
          <t>ข้อ 47 (PLE_CC1_2558_Key.md)</t>
        </is>
      </c>
      <c r="O48" s="2" t="n"/>
      <c r="P48" s="2" t="n"/>
    </row>
    <row r="49" ht="13.2" customHeight="1" s="49">
      <c r="A49" s="8" t="inlineStr">
        <is>
          <t>47</t>
        </is>
      </c>
      <c r="B49" s="2" t="inlineStr">
        <is>
          <t>ข้อใด ไม่ใช่ เกณฑ์วินิจฉัยภาวะไตเรื้อรัง</t>
        </is>
      </c>
      <c r="C49" s="2" t="n"/>
      <c r="D49" s="2" t="inlineStr">
        <is>
          <t>GFR &lt; 45 ml/min/1.73 m2 ติดต่อกันเกิน 3 เดือน</t>
        </is>
      </c>
      <c r="E49" s="2" t="inlineStr">
        <is>
          <t>ตรวจพบอัลบูมินในปัสสาวะ ≥ 2 ใน 3 ครั้ง ในช่วง 3 เดือน</t>
        </is>
      </c>
      <c r="F49" s="2" t="inlineStr">
        <is>
          <t>ตรวจพบเม็ดเลือดแดงในปัสสาวะ ≥ 2 ใน 3 ครั้ง ในช่วง 3 เดือน</t>
        </is>
      </c>
      <c r="G49" s="2" t="inlineStr">
        <is>
          <t>พบความผิดปกติทางพยาธิสภาพ</t>
        </is>
      </c>
      <c r="H49" s="2" t="inlineStr">
        <is>
          <t>มีประวัติผ่าตัดปลูกถ่ายไต</t>
        </is>
      </c>
      <c r="I49" s="8" t="n">
        <v>1</v>
      </c>
      <c r="J49" s="2" t="inlineStr">
        <is>
          <t>✅ คำตอบที่ถูกต้อง: ข้อ ก. GFR &lt; 45 ml/min/1.73 m2 ติดต่อกันเกิน 3 เดือน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ตรวจพบอัลบูมินในปัสสาวะ ≥ 2 ใน 3 ครั้ง ในช่วง 3 เดือน ไม่ตรงกับข้อบ่งใช้หรือกลไกการออกฤทธิ์ที่ถูกต้องตาม KDIGO 2022 CKD Guideline
• ข้อ ค. (ตรวจพบเม็ดเลือดแดงในปัสสาวะ ≥ 2 ใน 3 ครั้ง ในช่วง 3 เดือน): ตรวจพบเม็ดเลือดแดงในปัสสาวะ ≥ 2 ใน 3 ครั้ง ในช่วง 3 เดือน ไม่ตรงกับข้อบ่งใช้หรือกลไกการออกฤทธิ์ที่ถูกต้องตาม KDIGO 2022 CKD Guideline
• ข้อ ง. (พบความผิดปกติทางพยาธิสภาพ): พบความผิดปกติทางพยาธิสภาพ ไม่ตรงกับข้อบ่งใช้หรือกลไกการออกฤทธิ์ที่ถูกต้องตาม KDIGO 2022 CKD Guideline
• ข้อ จ. (มีประวัติผ่าตัดปลูกถ่ายไต): มีประวัติผ่าตัดปลูกถ่ายไต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n"/>
      <c r="L49" s="2" t="inlineStr">
        <is>
          <t>Chronic kidney diseases</t>
        </is>
      </c>
      <c r="M49" s="2" t="inlineStr">
        <is>
          <t>Clinic</t>
        </is>
      </c>
      <c r="N49" s="2" t="inlineStr">
        <is>
          <t>ข้อ 84 (Pharmtutor_2024_Set2.md)</t>
        </is>
      </c>
      <c r="O49" s="2" t="n"/>
      <c r="P49" s="2" t="n"/>
    </row>
    <row r="50" ht="13.2" customHeight="1" s="49">
      <c r="A50" s="8" t="inlineStr">
        <is>
          <t>48</t>
        </is>
      </c>
      <c r="B50" s="2" t="inlineStr">
        <is>
          <t>ผู้ป่วยรายนี%มีภาวะโรคไตเรื%อรังอยู่ในระยะ (stage) ใด (1) Stage I (2) Stage II (3) Stage III (4) Stage IV (5) Stage V</t>
        </is>
      </c>
      <c r="C50" s="2" t="n"/>
      <c r="D50" s="2" t="inlineStr">
        <is>
          <t>Kayexalate (Sodium polystyrene sulfonate) 15 g TID</t>
        </is>
      </c>
      <c r="E50" s="2" t="inlineStr">
        <is>
          <t>Calcium gluconate 10% 10 mL IV over 5 min</t>
        </is>
      </c>
      <c r="F50" s="2" t="inlineStr">
        <is>
          <t>Furosemide 40 mg IV/PO OD</t>
        </is>
      </c>
      <c r="G50" s="2" t="inlineStr">
        <is>
          <t>Erythropoietin (EPO) 4000 units SC weekly</t>
        </is>
      </c>
      <c r="H50" s="2" t="inlineStr">
        <is>
          <t>Calcitriol 0.25 mcg OD</t>
        </is>
      </c>
      <c r="I50" s="8" t="n">
        <v>1</v>
      </c>
      <c r="J50"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ผู้ป่วยรายนี%มีภาวะโรคไตเรื%อรังอยู่ในระยะ (stage) ใด (1) Stage I (2) Stage II (3) Stage III (4) Stage IV (5) Stage V</t>
        </is>
      </c>
      <c r="K50" s="2" t="n"/>
      <c r="L50" s="2" t="inlineStr">
        <is>
          <t>Chronic kidney diseases</t>
        </is>
      </c>
      <c r="M50" s="2" t="inlineStr">
        <is>
          <t>Clinic</t>
        </is>
      </c>
      <c r="N50" s="2" t="inlineStr">
        <is>
          <t>ข้อ 64 (PLE_CC1_2557.md)</t>
        </is>
      </c>
      <c r="O50" s="2" t="n"/>
      <c r="P50" s="2" t="n"/>
    </row>
    <row r="51" ht="13.2" customHeight="1" s="49">
      <c r="A51" s="8" t="inlineStr">
        <is>
          <t>49</t>
        </is>
      </c>
      <c r="B51" s="2" t="inlineStr">
        <is>
          <t>serumcreatinine</t>
        </is>
      </c>
      <c r="C51" s="2" t="n"/>
      <c r="D51" s="2" t="inlineStr">
        <is>
          <t>Erythropoietin (EPO) 4000 units SC weekly</t>
        </is>
      </c>
      <c r="E51" s="2" t="inlineStr">
        <is>
          <t>Calcitriol 0.25 mcg OD</t>
        </is>
      </c>
      <c r="F51" s="2" t="inlineStr">
        <is>
          <t>Potassium chloride 500 mg BID</t>
        </is>
      </c>
      <c r="G51" s="2" t="inlineStr">
        <is>
          <t>Calcium carbonate 1000 mg TID with meals</t>
        </is>
      </c>
      <c r="H51" s="2" t="inlineStr">
        <is>
          <t>Calcium acetate 667 mg TID with meals</t>
        </is>
      </c>
      <c r="I51" s="8" t="n">
        <v>1</v>
      </c>
      <c r="J51"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serumcreatinine</t>
        </is>
      </c>
      <c r="K51" s="2" t="n"/>
      <c r="L51" s="2" t="inlineStr">
        <is>
          <t>Chronic kidney diseases</t>
        </is>
      </c>
      <c r="M51" s="2" t="inlineStr">
        <is>
          <t>Clinic</t>
        </is>
      </c>
      <c r="N51" s="2" t="inlineStr">
        <is>
          <t>ข้อ 1 (PLE_CC1_2556.md)</t>
        </is>
      </c>
      <c r="O51" s="2" t="n"/>
      <c r="P51" s="2" t="n"/>
    </row>
    <row r="52" ht="13.2" customHeight="1" s="49">
      <c r="A52" s="8" t="inlineStr">
        <is>
          <t>50</t>
        </is>
      </c>
      <c r="B52" s="2" t="inlineStr">
        <is>
          <t>สาเหตุของการเกิดโรคไตในผู้ป่วยรายนี้</t>
        </is>
      </c>
      <c r="C52" s="2" t="n"/>
      <c r="D52" s="2" t="inlineStr">
        <is>
          <t>smoke-induced</t>
        </is>
      </c>
      <c r="E52" s="2" t="inlineStr">
        <is>
          <t>alcohol-induced</t>
        </is>
      </c>
      <c r="F52" s="2" t="inlineStr">
        <is>
          <t>hypovolemia</t>
        </is>
      </c>
      <c r="G52" s="2"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2" t="inlineStr">
        <is>
          <t>Kayexalate (Sodium polystyrene sulfonate) 15 g TID</t>
        </is>
      </c>
      <c r="I52" s="8" t="n">
        <v>2</v>
      </c>
      <c r="J52" s="2" t="inlineStr">
        <is>
          <t>✅ คำตอบที่ถูกต้อง: ข้อ ข. alcohol-induced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2" t="n"/>
      <c r="L52" s="2" t="inlineStr">
        <is>
          <t>Chronic kidney diseases</t>
        </is>
      </c>
      <c r="M52" s="2" t="inlineStr">
        <is>
          <t>Clinic</t>
        </is>
      </c>
      <c r="N52" s="2" t="inlineStr">
        <is>
          <t>ข้อ 4 (PLE_CC1_2554 SET2.md)</t>
        </is>
      </c>
      <c r="O52" s="2" t="n"/>
      <c r="P52" s="2" t="n"/>
    </row>
    <row r="53" ht="13.2" customHeight="1" s="49">
      <c r="A53" s="8" t="inlineStr">
        <is>
          <t>52</t>
        </is>
      </c>
      <c r="B53" s="2"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3" s="2" t="n"/>
      <c r="D53" s="2" t="inlineStr">
        <is>
          <t>Furosemide 40 mg IV/PO OD</t>
        </is>
      </c>
      <c r="E53" s="2" t="inlineStr">
        <is>
          <t>Erythropoietin (EPO) 4000 units SC weekly</t>
        </is>
      </c>
      <c r="F53" s="2" t="inlineStr">
        <is>
          <t>Calcitriol 0.25 mcg OD</t>
        </is>
      </c>
      <c r="G53" s="2" t="inlineStr">
        <is>
          <t>Potassium chloride 500 mg BID</t>
        </is>
      </c>
      <c r="H53" s="2" t="inlineStr">
        <is>
          <t>Calcium carbonate 1000 mg TID with meals</t>
        </is>
      </c>
      <c r="I53" s="8" t="n">
        <v>1</v>
      </c>
      <c r="J53"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รักษาสมดุลของระดับแคลเซียมในเลือดโดยกระตุ้นการสลายแคลเซียมออกจากกระดูกและดูดซึมแคลเซียม กลับจากท่อไต</t>
        </is>
      </c>
      <c r="K53" s="2" t="n"/>
      <c r="L53" s="2" t="inlineStr">
        <is>
          <t>Chronic kidney diseases</t>
        </is>
      </c>
      <c r="M53" s="2" t="inlineStr">
        <is>
          <t>Clinic</t>
        </is>
      </c>
      <c r="N53" s="2" t="inlineStr">
        <is>
          <t>ข้อ 2 (PLE_CC1_Practice_Exam.md)</t>
        </is>
      </c>
      <c r="O53" s="2" t="n"/>
      <c r="P53" s="2" t="n"/>
    </row>
    <row r="54" ht="13.2" customHeight="1" s="49">
      <c r="A54" s="8" t="inlineStr">
        <is>
          <t>53</t>
        </is>
      </c>
      <c r="B54" s="2" t="inlineStr">
        <is>
          <t>มีการทำงานของไตบกพร่อง Anxiety</t>
        </is>
      </c>
      <c r="C54" s="2" t="n"/>
      <c r="D54" s="2" t="inlineStr">
        <is>
          <t>Potassium chloride 500 mg BID</t>
        </is>
      </c>
      <c r="E54" s="2" t="inlineStr">
        <is>
          <t>Calcium carbonate 1000 mg TID with meals</t>
        </is>
      </c>
      <c r="F54" s="2" t="inlineStr">
        <is>
          <t>Calcium acetate 667 mg TID with meals</t>
        </is>
      </c>
      <c r="G54" s="2" t="inlineStr">
        <is>
          <t>Sevelamer carbonate 800 mg TID with meals</t>
        </is>
      </c>
      <c r="H54" s="2" t="inlineStr">
        <is>
          <t>Sodium bicarbonate 650 mg TID</t>
        </is>
      </c>
      <c r="I54" s="8" t="n">
        <v>1</v>
      </c>
      <c r="J54"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มีการทำงานของไตบกพร่อง Anxiety</t>
        </is>
      </c>
      <c r="K54" s="2" t="n"/>
      <c r="L54" s="2" t="inlineStr">
        <is>
          <t>Chronic kidney diseases</t>
        </is>
      </c>
      <c r="M54" s="2" t="inlineStr">
        <is>
          <t>Clinic</t>
        </is>
      </c>
      <c r="N54" s="2" t="inlineStr">
        <is>
          <t>ข้อ 5 (PLE_CC1_Practice_Exam.md)</t>
        </is>
      </c>
      <c r="O54" s="2" t="n"/>
      <c r="P54" s="2" t="n"/>
    </row>
    <row r="55" ht="13.2" customHeight="1" s="49">
      <c r="A55" s="8" t="inlineStr">
        <is>
          <t>54</t>
        </is>
      </c>
      <c r="B55" s="2" t="inlineStr">
        <is>
          <t>ยา A 80% ขับออกทางไตและขับออกในรูป active metabolite ข้อใดเหมาะสมมากที่สุด</t>
        </is>
      </c>
      <c r="C55" s="2" t="n"/>
      <c r="D55" s="2" t="inlineStr">
        <is>
          <t>ควรพิจารณาปรับขนาดยาลดลง หากผู้ป่วยมีการทำงานของไตแย่ลง</t>
        </is>
      </c>
      <c r="E55" s="2" t="inlineStr">
        <is>
          <t>จำเป็นต้องพิจารณาการทำงานของตับร่วมด้วย</t>
        </is>
      </c>
      <c r="F55" s="2" t="inlineStr">
        <is>
          <t>ไม่มีความจำเป็นต้องปรับขนาดยาในผู้ป่วยโรคไต</t>
        </is>
      </c>
      <c r="G55" s="2" t="inlineStr">
        <is>
          <t>ผู้ป่วยควรดื่มน้ำหลังรับประทานยามากๆ เพื่อลดการเกิดพิษของยาต่อไต</t>
        </is>
      </c>
      <c r="H55" s="2" t="inlineStr">
        <is>
          <t>ผู้ป่วย CKD จะไม่สามารถใช้ยาตัวดังกล่าวได้</t>
        </is>
      </c>
      <c r="I55" s="8" t="n">
        <v>1</v>
      </c>
      <c r="J55" s="2" t="inlineStr">
        <is>
          <t>✅ คำตอบที่ถูกต้อง: ข้อ ก. ควรพิจารณาปรับขนาดยาลดลง หากผู้ป่วยมีการทำงานของไตแย่ลง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t>
        </is>
      </c>
      <c r="K55" s="2" t="n"/>
      <c r="L55" s="2" t="inlineStr">
        <is>
          <t>Chronic kidney diseases</t>
        </is>
      </c>
      <c r="M55" s="2" t="inlineStr">
        <is>
          <t>Clinic</t>
        </is>
      </c>
      <c r="N55" s="2" t="inlineStr">
        <is>
          <t>ข้อ 13 (PLE_CC1_Practice_Exam.md)</t>
        </is>
      </c>
      <c r="O55" s="2" t="n"/>
      <c r="P55" s="2" t="n"/>
    </row>
    <row r="56" ht="13.2" customHeight="1" s="49">
      <c r="A56" s="8" t="inlineStr">
        <is>
          <t>55</t>
        </is>
      </c>
      <c r="B56" s="2" t="inlineStr">
        <is>
          <t>ปรับขนาดยาตามไต</t>
        </is>
      </c>
      <c r="C56" s="2" t="n"/>
      <c r="D56" s="2" t="inlineStr">
        <is>
          <t>Calcium gluconate 10% 10 mL IV over 5 min</t>
        </is>
      </c>
      <c r="E56" s="2" t="inlineStr">
        <is>
          <t>Furosemide 40 mg IV/PO OD</t>
        </is>
      </c>
      <c r="F56" s="2" t="inlineStr">
        <is>
          <t>Erythropoietin (EPO) 4000 units SC weekly</t>
        </is>
      </c>
      <c r="G56" s="2" t="inlineStr">
        <is>
          <t>Calcitriol 0.25 mcg OD</t>
        </is>
      </c>
      <c r="H56" s="2" t="inlineStr">
        <is>
          <t>Potassium chloride 500 mg BID</t>
        </is>
      </c>
      <c r="I56" s="8" t="n">
        <v>1</v>
      </c>
      <c r="J56"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ปรับขนาดยาตามไต</t>
        </is>
      </c>
      <c r="K56" s="2" t="n"/>
      <c r="L56" s="2" t="inlineStr">
        <is>
          <t>Chronic kidney diseases</t>
        </is>
      </c>
      <c r="M56" s="2" t="inlineStr">
        <is>
          <t>Clinic</t>
        </is>
      </c>
      <c r="N56" s="2" t="inlineStr">
        <is>
          <t>ข้อ 3 (PLE_CC1_Key_Rx20_UBU.md)</t>
        </is>
      </c>
      <c r="O56" s="2" t="n"/>
      <c r="P56" s="2" t="n"/>
    </row>
    <row r="57" ht="13.2" customHeight="1" s="49">
      <c r="A57" s="8" t="inlineStr">
        <is>
          <t>56</t>
        </is>
      </c>
      <c r="B57" s="2"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7" s="2" t="n"/>
      <c r="D57" s="2" t="inlineStr">
        <is>
          <t>Calcitriol 0.25 mcg OD</t>
        </is>
      </c>
      <c r="E57" s="2" t="inlineStr">
        <is>
          <t>Potassium chloride 500 mg BID</t>
        </is>
      </c>
      <c r="F57" s="2" t="inlineStr">
        <is>
          <t>Calcium carbonate 1000 mg TID with meals</t>
        </is>
      </c>
      <c r="G57" s="2" t="inlineStr">
        <is>
          <t>Calcium acetate 667 mg TID with meals</t>
        </is>
      </c>
      <c r="H57" s="2" t="inlineStr">
        <is>
          <t>Sevelamer carbonate 800 mg TID with meals</t>
        </is>
      </c>
      <c r="I57" s="8" t="n">
        <v>1</v>
      </c>
      <c r="J57"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t>
        </is>
      </c>
      <c r="K57" s="2" t="n"/>
      <c r="L57" s="2" t="inlineStr">
        <is>
          <t>Chronic kidney diseases</t>
        </is>
      </c>
      <c r="M57" s="2" t="inlineStr">
        <is>
          <t>Clinic</t>
        </is>
      </c>
      <c r="N57" s="2" t="inlineStr">
        <is>
          <t>ข้อ 5 (PLE_CC1_Key_Rx20_UBU.md)</t>
        </is>
      </c>
      <c r="O57" s="2" t="n"/>
      <c r="P57" s="2" t="n"/>
    </row>
    <row r="58" ht="13.2" customHeight="1" s="49">
      <c r="A58" s="8" t="inlineStr">
        <is>
          <t>57</t>
        </is>
      </c>
      <c r="B58" s="2" t="inlineStr">
        <is>
          <t>ต้องระวังการใช้ยาในผู้ป่วยโรคไต</t>
        </is>
      </c>
      <c r="C58" s="2" t="n"/>
      <c r="D58" s="2" t="inlineStr">
        <is>
          <t>Calcium acetate 667 mg TID with meals</t>
        </is>
      </c>
      <c r="E58" s="2" t="inlineStr">
        <is>
          <t>Sevelamer carbonate 800 mg TID with meals</t>
        </is>
      </c>
      <c r="F58" s="2" t="inlineStr">
        <is>
          <t>Sodium bicarbonate 650 mg TID</t>
        </is>
      </c>
      <c r="G58" s="2" t="inlineStr">
        <is>
          <t>Kayexalate (Sodium polystyrene sulfonate) 15 g TID</t>
        </is>
      </c>
      <c r="H58" s="2" t="inlineStr">
        <is>
          <t>Calcium gluconate 10% 10 mL IV over 5 min</t>
        </is>
      </c>
      <c r="I58" s="8" t="n">
        <v>1</v>
      </c>
      <c r="J58"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ต้องระวังการใช้ยาในผู้ป่วยโรคไต</t>
        </is>
      </c>
      <c r="K58" s="2" t="n"/>
      <c r="L58" s="2" t="inlineStr">
        <is>
          <t>Chronic kidney diseases</t>
        </is>
      </c>
      <c r="M58" s="2" t="inlineStr">
        <is>
          <t>Clinic</t>
        </is>
      </c>
      <c r="N58" s="2" t="inlineStr">
        <is>
          <t>ข้อ 4 (PLE_CC1_Key_Rx20_UBU.md)</t>
        </is>
      </c>
      <c r="O58" s="2" t="n"/>
      <c r="P58" s="2" t="n"/>
    </row>
    <row r="59" ht="13.2" customHeight="1" s="49">
      <c r="A59" s="8" t="inlineStr">
        <is>
          <t>58</t>
        </is>
      </c>
      <c r="B59" s="2"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59" s="2" t="n"/>
      <c r="D59" s="2" t="inlineStr">
        <is>
          <t>Kayexalate (Sodium polystyrene sulfonate) 15 g TID</t>
        </is>
      </c>
      <c r="E59" s="2" t="inlineStr">
        <is>
          <t>Calcium gluconate 10% 10 mL IV over 5 min</t>
        </is>
      </c>
      <c r="F59" s="2" t="inlineStr">
        <is>
          <t>Furosemide 40 mg IV/PO OD</t>
        </is>
      </c>
      <c r="G59" s="2" t="inlineStr">
        <is>
          <t>Erythropoietin (EPO) 4000 units SC weekly</t>
        </is>
      </c>
      <c r="H59" s="2" t="inlineStr">
        <is>
          <t>Calcitriol 0.25 mcg OD</t>
        </is>
      </c>
      <c r="I59" s="8" t="n">
        <v>1</v>
      </c>
      <c r="J59"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t>
        </is>
      </c>
      <c r="K59" s="2" t="n"/>
      <c r="L59" s="2" t="inlineStr">
        <is>
          <t>Chronic kidney diseases</t>
        </is>
      </c>
      <c r="M59" s="2" t="inlineStr">
        <is>
          <t>Clinic</t>
        </is>
      </c>
      <c r="N59" s="2" t="inlineStr">
        <is>
          <t>ข้อ 5 (PLE_CC1_Key_Rx20_UBU.md)</t>
        </is>
      </c>
      <c r="O59" s="2" t="n"/>
      <c r="P59" s="2" t="n"/>
    </row>
    <row r="60" ht="13.2" customHeight="1" s="49">
      <c r="A60" s="8" t="inlineStr">
        <is>
          <t>59</t>
        </is>
      </c>
      <c r="B60" s="2" t="inlineStr">
        <is>
          <t>ยาบำรุงเลือดสำหรับผู้ป่วยโรคไตที่แนะนำในผู้ป่วยรายนี้มากที่สุด</t>
        </is>
      </c>
      <c r="C60" s="2" t="n"/>
      <c r="D60" s="2" t="inlineStr">
        <is>
          <t>Erythropoietin (EPO) 4000 units SC weekly</t>
        </is>
      </c>
      <c r="E60" s="2" t="inlineStr">
        <is>
          <t>Calcitriol 0.25 mcg OD</t>
        </is>
      </c>
      <c r="F60" s="2" t="inlineStr">
        <is>
          <t>Potassium chloride 500 mg BID</t>
        </is>
      </c>
      <c r="G60" s="2" t="inlineStr">
        <is>
          <t>Calcium carbonate 1000 mg TID with meals</t>
        </is>
      </c>
      <c r="H60" s="2" t="inlineStr">
        <is>
          <t>Calcium acetate 667 mg TID with meals</t>
        </is>
      </c>
      <c r="I60" s="8" t="n">
        <v>1</v>
      </c>
      <c r="J60"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ยาบำรุงเลือดสำหรับผู้ป่วยโรคไตที่แนะนำในผู้ป่วยรายนี้มากที่สุด</t>
        </is>
      </c>
      <c r="K60" s="2" t="n"/>
      <c r="L60" s="2" t="inlineStr">
        <is>
          <t>Chronic kidney diseases</t>
        </is>
      </c>
      <c r="M60" s="2" t="inlineStr">
        <is>
          <t>Clinic</t>
        </is>
      </c>
      <c r="N60" s="2" t="inlineStr">
        <is>
          <t>ข้อ 3 (PLE_CC1_Key_Rx20_UBU.md)</t>
        </is>
      </c>
      <c r="O60" s="2" t="n"/>
      <c r="P60" s="2" t="n"/>
    </row>
    <row r="61" ht="13.2" customHeight="1" s="49">
      <c r="A61" s="8" t="inlineStr">
        <is>
          <t>60</t>
        </is>
      </c>
      <c r="B61" s="2" t="inlineStr">
        <is>
          <t>การโฆษณาทางวิทยุยาสามัญประจำบ้านแผนโบราณสามารถรักษาโรคไตเรื้องรัง ข้อใดต่อไปนี้ถูก</t>
        </is>
      </c>
      <c r="C61" s="2" t="n"/>
      <c r="D61" s="2" t="inlineStr">
        <is>
          <t>Calcium carbonate 1000 mg TID with meals</t>
        </is>
      </c>
      <c r="E61" s="2" t="inlineStr">
        <is>
          <t>Calcium acetate 667 mg TID with meals</t>
        </is>
      </c>
      <c r="F61" s="2" t="inlineStr">
        <is>
          <t>Sevelamer carbonate 800 mg TID with meals</t>
        </is>
      </c>
      <c r="G61" s="2" t="inlineStr">
        <is>
          <t>Sodium bicarbonate 650 mg TID</t>
        </is>
      </c>
      <c r="H61" s="2" t="inlineStr">
        <is>
          <t>Kayexalate (Sodium polystyrene sulfonate) 15 g TID</t>
        </is>
      </c>
      <c r="I61" s="8" t="n">
        <v>1</v>
      </c>
      <c r="J61"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การโฆษณาทางวิทยุยาสามัญประจำบ้านแผนโบราณสามารถรักษาโรคไตเรื้องรัง ข้อใดต่อไปนี้ถูก</t>
        </is>
      </c>
      <c r="K61" s="2" t="n"/>
      <c r="L61" s="2" t="inlineStr">
        <is>
          <t>Chronic kidney diseases</t>
        </is>
      </c>
      <c r="M61" s="2" t="inlineStr">
        <is>
          <t>Clinic</t>
        </is>
      </c>
      <c r="N61" s="2" t="inlineStr">
        <is>
          <t>ข้อ 8 (PLE_CC1_Key_Rx20_UBU.md)</t>
        </is>
      </c>
      <c r="O61" s="2" t="n"/>
      <c r="P61" s="2" t="n"/>
    </row>
    <row r="62" ht="13.2" customHeight="1" s="49">
      <c r="A62" s="8" t="inlineStr">
        <is>
          <t>61</t>
        </is>
      </c>
      <c r="B62" s="2" t="inlineStr">
        <is>
          <t>Creatinine phosphokinase ตอบ 4. Liver enzyme เนื่องจาก standard regimen มียาที่metabolismผ่านตับคือ H, R, Z มีความเสี่ยงการเกิดตับอักเสบ</t>
        </is>
      </c>
      <c r="C62" s="2" t="n"/>
      <c r="D62" s="2" t="inlineStr">
        <is>
          <t>หากใช้ยาคุมกำเนิดร่วมกับยา Rifampin จะเกิดผลอย่างไรกับยาคุมกำเนิดที่ใช้อยู่</t>
        </is>
      </c>
      <c r="E62" s="2" t="inlineStr">
        <is>
          <t>Kayexalate (Sodium polystyrene sulfonate) 15 g TID</t>
        </is>
      </c>
      <c r="F62" s="2" t="inlineStr">
        <is>
          <t>Calcium gluconate 10% 10 mL IV over 5 min</t>
        </is>
      </c>
      <c r="G62" s="2" t="inlineStr">
        <is>
          <t>Furosemide 40 mg IV/PO OD</t>
        </is>
      </c>
      <c r="H62" s="2" t="inlineStr">
        <is>
          <t>Erythropoietin (EPO) 4000 units SC weekly</t>
        </is>
      </c>
      <c r="I62" s="8" t="n">
        <v>1</v>
      </c>
      <c r="J62"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Creatinine phosphokinase ตอบ 4. Liver enzyme เนื่องจาก standard regimen มียาที่metabolismผ่านตับคือ H, R, Z มีความเสี่ยงการเกิดตับอักเสบ</t>
        </is>
      </c>
      <c r="K62" s="2" t="n"/>
      <c r="L62" s="2" t="inlineStr">
        <is>
          <t>Chronic kidney diseases</t>
        </is>
      </c>
      <c r="M62" s="2" t="inlineStr">
        <is>
          <t>Clinic</t>
        </is>
      </c>
      <c r="N62" s="2" t="inlineStr">
        <is>
          <t>ข้อ 5 (PLE_CC1_Key_Rx20_UBU.md)</t>
        </is>
      </c>
      <c r="O62" s="2" t="n"/>
      <c r="P62" s="2" t="n"/>
    </row>
    <row r="63" ht="13.2" customHeight="1" s="49">
      <c r="A63" s="8" t="inlineStr">
        <is>
          <t>62</t>
        </is>
      </c>
      <c r="B63" s="2"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3" s="2" t="n"/>
      <c r="D63" s="2" t="inlineStr">
        <is>
          <t>Furosemide 40 mg IV/PO OD</t>
        </is>
      </c>
      <c r="E63" s="2" t="inlineStr">
        <is>
          <t>Erythropoietin (EPO) 4000 units SC weekly</t>
        </is>
      </c>
      <c r="F63" s="2" t="inlineStr">
        <is>
          <t>Calcitriol 0.25 mcg OD</t>
        </is>
      </c>
      <c r="G63" s="2" t="inlineStr">
        <is>
          <t>Potassium chloride 500 mg BID</t>
        </is>
      </c>
      <c r="H63" s="2" t="inlineStr">
        <is>
          <t>Calcium carbonate 1000 mg TID with meals</t>
        </is>
      </c>
      <c r="I63" s="8" t="n">
        <v>1</v>
      </c>
      <c r="J63"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t>
        </is>
      </c>
      <c r="K63" s="2" t="n"/>
      <c r="L63" s="2" t="inlineStr">
        <is>
          <t>Chronic kidney diseases</t>
        </is>
      </c>
      <c r="M63" s="2" t="inlineStr">
        <is>
          <t>Clinic</t>
        </is>
      </c>
      <c r="N63" s="2" t="inlineStr">
        <is>
          <t>ข้อ 65 (PLE_CC1_Key_Rx20_UBU.md)</t>
        </is>
      </c>
      <c r="O63" s="2" t="n"/>
      <c r="P63" s="2" t="n"/>
    </row>
    <row r="64" ht="13.2" customHeight="1" s="49">
      <c r="A64" s="8" t="inlineStr">
        <is>
          <t>63</t>
        </is>
      </c>
      <c r="B64" s="2" t="inlineStr">
        <is>
          <t>ถ$ามีภาวะไตวาย ห$ามใช$ยาใด</t>
        </is>
      </c>
      <c r="C64" s="2" t="n"/>
      <c r="D64" s="2" t="inlineStr">
        <is>
          <t>Ethambutol</t>
        </is>
      </c>
      <c r="E64" s="2" t="inlineStr">
        <is>
          <t>Streptomycin</t>
        </is>
      </c>
      <c r="F64" s="2" t="inlineStr">
        <is>
          <t>Rifampin</t>
        </is>
      </c>
      <c r="G64" s="2" t="inlineStr">
        <is>
          <t>Pyrazinamide</t>
        </is>
      </c>
      <c r="H64" s="2" t="inlineStr">
        <is>
          <t>Isoniazid</t>
        </is>
      </c>
      <c r="I64" s="8" t="n">
        <v>2</v>
      </c>
      <c r="J64" s="2"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Chronic kidney diseases</t>
        </is>
      </c>
      <c r="M64" s="2" t="inlineStr">
        <is>
          <t>Clinic</t>
        </is>
      </c>
      <c r="N64" s="2" t="inlineStr">
        <is>
          <t>ข้อ 14 (PLE_CC1_Key_Rx20_UBU.md)</t>
        </is>
      </c>
      <c r="O64" s="2" t="n"/>
      <c r="P64" s="2" t="n"/>
    </row>
    <row r="65" ht="13.2" customHeight="1" s="49">
      <c r="A65" s="8" t="inlineStr">
        <is>
          <t>64</t>
        </is>
      </c>
      <c r="B65" s="2" t="inlineStr">
        <is>
          <t>Increase serum creatinine</t>
        </is>
      </c>
      <c r="C65" s="2" t="n"/>
      <c r="D65" s="2" t="inlineStr">
        <is>
          <t>Sevelamer carbonate 800 mg TID with meals</t>
        </is>
      </c>
      <c r="E65" s="2" t="inlineStr">
        <is>
          <t>Sodium bicarbonate 650 mg TID</t>
        </is>
      </c>
      <c r="F65" s="2" t="inlineStr">
        <is>
          <t>Kayexalate (Sodium polystyrene sulfonate) 15 g TID</t>
        </is>
      </c>
      <c r="G65" s="2" t="inlineStr">
        <is>
          <t>Calcium gluconate 10% 10 mL IV over 5 min</t>
        </is>
      </c>
      <c r="H65" s="2" t="inlineStr">
        <is>
          <t>Furosemide 40 mg IV/PO OD</t>
        </is>
      </c>
      <c r="I65" s="8" t="n">
        <v>1</v>
      </c>
      <c r="J65"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Increase serum creatinine</t>
        </is>
      </c>
      <c r="K65" s="2" t="n"/>
      <c r="L65" s="2" t="inlineStr">
        <is>
          <t>Chronic kidney diseases</t>
        </is>
      </c>
      <c r="M65" s="2" t="inlineStr">
        <is>
          <t>Clinic</t>
        </is>
      </c>
      <c r="N65" s="2" t="inlineStr">
        <is>
          <t>ข้อ 5 (PLE_CC1_Key_Rx20_UBU.md)</t>
        </is>
      </c>
      <c r="O65" s="2" t="n"/>
      <c r="P65" s="2" t="n"/>
    </row>
    <row r="66" ht="13.2" customHeight="1" s="49">
      <c r="A66" s="8" t="inlineStr">
        <is>
          <t>65</t>
        </is>
      </c>
      <c r="B66" s="2" t="inlineStr">
        <is>
          <t>Serum creatinine</t>
        </is>
      </c>
      <c r="C66" s="2" t="n"/>
      <c r="D66" s="2" t="inlineStr">
        <is>
          <t>Calcium gluconate 10% 10 mL IV over 5 min</t>
        </is>
      </c>
      <c r="E66" s="2" t="inlineStr">
        <is>
          <t>Furosemide 40 mg IV/PO OD</t>
        </is>
      </c>
      <c r="F66" s="2" t="inlineStr">
        <is>
          <t>Erythropoietin (EPO) 4000 units SC weekly</t>
        </is>
      </c>
      <c r="G66" s="2" t="inlineStr">
        <is>
          <t>Calcitriol 0.25 mcg OD</t>
        </is>
      </c>
      <c r="H66" s="2" t="inlineStr">
        <is>
          <t>Potassium chloride 500 mg BID</t>
        </is>
      </c>
      <c r="I66" s="8" t="n">
        <v>1</v>
      </c>
      <c r="J66"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t>
        </is>
      </c>
      <c r="K66" s="2" t="n"/>
      <c r="L66" s="2" t="inlineStr">
        <is>
          <t>Chronic kidney diseases</t>
        </is>
      </c>
      <c r="M66" s="2" t="inlineStr">
        <is>
          <t>Clinic</t>
        </is>
      </c>
      <c r="N66" s="2" t="inlineStr">
        <is>
          <t>ข้อ 2 (PLE_CC1_Key_Rx20_UBU.md)</t>
        </is>
      </c>
      <c r="O66" s="2" t="n"/>
      <c r="P66" s="2" t="n"/>
    </row>
    <row r="67" ht="13.2" customHeight="1" s="49">
      <c r="A67" s="8" t="inlineStr">
        <is>
          <t>66</t>
        </is>
      </c>
      <c r="B67" s="2" t="inlineStr">
        <is>
          <t>Serum creatinine kinase</t>
        </is>
      </c>
      <c r="C67" s="2" t="n"/>
      <c r="D67" s="2" t="inlineStr">
        <is>
          <t>Calcitriol 0.25 mcg OD</t>
        </is>
      </c>
      <c r="E67" s="2" t="inlineStr">
        <is>
          <t>Potassium chloride 500 mg BID</t>
        </is>
      </c>
      <c r="F67" s="2" t="inlineStr">
        <is>
          <t>Calcium carbonate 1000 mg TID with meals</t>
        </is>
      </c>
      <c r="G67" s="2" t="inlineStr">
        <is>
          <t>Calcium acetate 667 mg TID with meals</t>
        </is>
      </c>
      <c r="H67" s="2" t="inlineStr">
        <is>
          <t>Sevelamer carbonate 800 mg TID with meals</t>
        </is>
      </c>
      <c r="I67" s="8" t="n">
        <v>1</v>
      </c>
      <c r="J67"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kinase</t>
        </is>
      </c>
      <c r="K67" s="2" t="n"/>
      <c r="L67" s="2" t="inlineStr">
        <is>
          <t>Chronic kidney diseases</t>
        </is>
      </c>
      <c r="M67" s="2" t="inlineStr">
        <is>
          <t>Clinic</t>
        </is>
      </c>
      <c r="N67" s="2" t="inlineStr">
        <is>
          <t>ข้อ 4 (PLE_CC1_Key_Rx20_UBU.md)</t>
        </is>
      </c>
      <c r="O67" s="2" t="n"/>
      <c r="P67" s="2" t="n"/>
    </row>
    <row r="68" ht="13.2" customHeight="1" s="49">
      <c r="A68" s="8" t="inlineStr">
        <is>
          <t>67</t>
        </is>
      </c>
      <c r="B68" s="2" t="inlineStr">
        <is>
          <t>ควรประเมินการทำงานของไต</t>
        </is>
      </c>
      <c r="C68" s="2" t="n"/>
      <c r="D68" s="2" t="inlineStr">
        <is>
          <t>Calcium acetate 667 mg TID with meals</t>
        </is>
      </c>
      <c r="E68" s="2" t="inlineStr">
        <is>
          <t>Sevelamer carbonate 800 mg TID with meals</t>
        </is>
      </c>
      <c r="F68" s="2" t="inlineStr">
        <is>
          <t>Sodium bicarbonate 650 mg TID</t>
        </is>
      </c>
      <c r="G68" s="2" t="inlineStr">
        <is>
          <t>Kayexalate (Sodium polystyrene sulfonate) 15 g TID</t>
        </is>
      </c>
      <c r="H68" s="2" t="inlineStr">
        <is>
          <t>Calcium gluconate 10% 10 mL IV over 5 min</t>
        </is>
      </c>
      <c r="I68" s="8" t="n">
        <v>1</v>
      </c>
      <c r="J68"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ควรประเมินการทำงานของไต</t>
        </is>
      </c>
      <c r="K68" s="2" t="n"/>
      <c r="L68" s="2" t="inlineStr">
        <is>
          <t>Chronic kidney diseases</t>
        </is>
      </c>
      <c r="M68" s="2" t="inlineStr">
        <is>
          <t>Clinic</t>
        </is>
      </c>
      <c r="N68" s="2" t="inlineStr">
        <is>
          <t>ข้อ 3 (PLE_CC1_Key_Rx20_UBU.md)</t>
        </is>
      </c>
      <c r="O68" s="2" t="n"/>
      <c r="P68" s="2" t="n"/>
    </row>
    <row r="69" ht="13.2" customHeight="1" s="49">
      <c r="A69" s="8" t="inlineStr">
        <is>
          <t>68</t>
        </is>
      </c>
      <c r="B69" s="2" t="inlineStr">
        <is>
          <t>Ganciclovir encephalitis ,PCP ใช้ Bactrim ทั้งคู๋ Case 7: โรคไต หญิงอายุ 68 ปี น้ำหนัก 50 kg เป็นโรคไตเรื้อรังมานาน 2 ปี serum creatinine 5 mg/dl</t>
        </is>
      </c>
      <c r="C69" s="2" t="n"/>
      <c r="D69" s="2" t="inlineStr">
        <is>
          <t>Kayexalate (Sodium polystyrene sulfonate) 15 g TID</t>
        </is>
      </c>
      <c r="E69" s="2" t="inlineStr">
        <is>
          <t>Calcium gluconate 10% 10 mL IV over 5 min</t>
        </is>
      </c>
      <c r="F69" s="2" t="inlineStr">
        <is>
          <t>Furosemide 40 mg IV/PO OD</t>
        </is>
      </c>
      <c r="G69" s="2" t="inlineStr">
        <is>
          <t>Erythropoietin (EPO) 4000 units SC weekly</t>
        </is>
      </c>
      <c r="H69" s="2" t="inlineStr">
        <is>
          <t>Calcitriol 0.25 mcg OD</t>
        </is>
      </c>
      <c r="I69" s="8" t="n">
        <v>3</v>
      </c>
      <c r="J69"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Ganciclovir encephalitis ,PCP ใช้ Bactrim ทั้งคู๋ Case 7: โรคไต หญิงอายุ 68 ปี น้ำหนัก 50 kg เป็นโรคไตเรื้อรังมานาน 2 ปี serum creatinine 5 mg/dl</t>
        </is>
      </c>
      <c r="K69" s="2" t="n"/>
      <c r="L69" s="2" t="inlineStr">
        <is>
          <t>Chronic kidney diseases</t>
        </is>
      </c>
      <c r="M69" s="2" t="inlineStr">
        <is>
          <t>Clinic</t>
        </is>
      </c>
      <c r="N69" s="2" t="inlineStr">
        <is>
          <t>ข้อ 4 (PLE_CC1_Key_Rx20_UBU.md)</t>
        </is>
      </c>
      <c r="O69" s="2" t="n"/>
      <c r="P69" s="2" t="n"/>
    </row>
    <row r="70" ht="13.2" customHeight="1" s="49">
      <c r="A70" s="8" t="inlineStr">
        <is>
          <t>69</t>
        </is>
      </c>
      <c r="B70" s="2" t="inlineStr">
        <is>
          <t>ผู้ป่วยเป็นโรคไตในระยะใด</t>
        </is>
      </c>
      <c r="C70" s="2" t="n"/>
      <c r="D70" s="2" t="inlineStr">
        <is>
          <t>Erythropoietin (EPO) 4000 units SC weekly</t>
        </is>
      </c>
      <c r="E70" s="2" t="inlineStr">
        <is>
          <t>Calcitriol 0.25 mcg OD</t>
        </is>
      </c>
      <c r="F70" s="2" t="inlineStr">
        <is>
          <t>Potassium chloride 500 mg BID</t>
        </is>
      </c>
      <c r="G70" s="2" t="inlineStr">
        <is>
          <t>Calcium carbonate 1000 mg TID with meals</t>
        </is>
      </c>
      <c r="H70" s="2" t="inlineStr">
        <is>
          <t>Calcium acetate 667 mg TID with meals</t>
        </is>
      </c>
      <c r="I70" s="8" t="n">
        <v>1</v>
      </c>
      <c r="J70"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ผู้ป่วยเป็นโรคไตในระยะใด</t>
        </is>
      </c>
      <c r="K70" s="2" t="n"/>
      <c r="L70" s="2" t="inlineStr">
        <is>
          <t>Chronic kidney diseases</t>
        </is>
      </c>
      <c r="M70" s="2" t="inlineStr">
        <is>
          <t>Clinic</t>
        </is>
      </c>
      <c r="N70" s="2" t="inlineStr">
        <is>
          <t>ข้อ 2 (PLE_CC1_Key_Rx20_UBU.md)</t>
        </is>
      </c>
      <c r="O70" s="2" t="n"/>
      <c r="P70" s="2" t="n"/>
    </row>
    <row r="71" ht="13.2" customHeight="1" s="49">
      <c r="A71" t="n">
        <v>70</v>
      </c>
      <c r="B71" t="inlineStr">
        <is>
          <t>เภสัชกรควรแนะนำการใช้ยา savelamer carbonate อย่างไร = = or , Tricians Undign, navos X ิomdermissionery ~</t>
        </is>
      </c>
      <c r="D71" t="inlineStr">
        <is>
          <t>ห้ามเคี้ยวหรือบดให้ละเอียดก่อนรับประทาน</t>
        </is>
      </c>
      <c r="E71" t="inlineStr">
        <is>
          <t>ลดการกินอาหารที่มีโพแทสเซียมสูง</t>
        </is>
      </c>
      <c r="F71" t="inlineStr">
        <is>
          <t>ยานี้อาจทำให้เกิดการชักจากการขาดแคลเซียม</t>
        </is>
      </c>
      <c r="G71" t="inlineStr">
        <is>
          <t>กำจัดปริมาณน้ำต่อวันให้น้อยกว่า 1 ลิตร</t>
        </is>
      </c>
      <c r="H71" t="inlineStr">
        <is>
          <t>รับประทานก่อนนอน</t>
        </is>
      </c>
      <c r="I71" t="inlineStr">
        <is>
          <t>1</t>
        </is>
      </c>
      <c r="J71"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1" t="inlineStr">
        <is>
          <t>Hypertension</t>
        </is>
      </c>
      <c r="M71" t="inlineStr">
        <is>
          <t>Clinic</t>
        </is>
      </c>
      <c r="N71" t="inlineStr">
        <is>
          <t>ข้อ 78 (PLE_CC1_2562_Key.md)</t>
        </is>
      </c>
    </row>
    <row r="72" ht="13.2" customHeight="1" s="49">
      <c r="A72" t="n">
        <v>71</v>
      </c>
      <c r="B72" t="inlineStr">
        <is>
          <t>ยาในข้อใดมีผลทำให(เกิด proteinuria hypophosphatemia glycosuria hypokalemia hypocalcaemia และ bicarbonate wasting is't salty</t>
        </is>
      </c>
      <c r="D72" t="inlineStr">
        <is>
          <t>Acyclovir</t>
        </is>
      </c>
      <c r="E72" t="inlineStr">
        <is>
          <t>Tenofovir</t>
        </is>
      </c>
      <c r="F72" t="inlineStr">
        <is>
          <t>Amoxicillin</t>
        </is>
      </c>
      <c r="G72" t="inlineStr">
        <is>
          <t>Doxycycline</t>
        </is>
      </c>
      <c r="H72" t="inlineStr">
        <is>
          <t>Clindamycin</t>
        </is>
      </c>
      <c r="I72" t="inlineStr">
        <is>
          <t>1</t>
        </is>
      </c>
      <c r="J72"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L72" t="inlineStr">
        <is>
          <t>Hypertension</t>
        </is>
      </c>
      <c r="M72" t="inlineStr">
        <is>
          <t>Clinic</t>
        </is>
      </c>
      <c r="N72" t="inlineStr">
        <is>
          <t>ข้อ 67 (PLE_CC1_2561_Key.md)</t>
        </is>
      </c>
    </row>
    <row r="73" ht="13.2" customHeight="1" s="49">
      <c r="A73" t="n">
        <v>72</v>
      </c>
      <c r="B73" t="inlineStr">
        <is>
          <t>ยาในข้อใดเป็นยาทางเลือกแรกในการรักษาภาวะ Hyperphosphatemia</t>
        </is>
      </c>
      <c r="D73" t="inlineStr">
        <is>
          <t>Aluminum hydroxide</t>
        </is>
      </c>
      <c r="E73" t="inlineStr">
        <is>
          <t>Calcium hydroxide</t>
        </is>
      </c>
      <c r="F73" t="inlineStr">
        <is>
          <t>Sodium polystyrene sulfonate</t>
        </is>
      </c>
      <c r="G73" t="inlineStr">
        <is>
          <t>Calcium polystyrene sulfonate</t>
        </is>
      </c>
      <c r="H73" t="inlineStr">
        <is>
          <t>Sodium bicarbonate</t>
        </is>
      </c>
      <c r="I73" t="inlineStr">
        <is>
          <t>1</t>
        </is>
      </c>
      <c r="J73"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3" t="inlineStr">
        <is>
          <t>Hypertension</t>
        </is>
      </c>
      <c r="M73" t="inlineStr">
        <is>
          <t>Clinic</t>
        </is>
      </c>
      <c r="N73" t="inlineStr">
        <is>
          <t>ข้อ 83 (Pharmtutor_2024_Set2.md)</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8" defaultRowHeight="13.2"/>
  <cols>
    <col width="8" customWidth="1" style="49" min="1" max="1"/>
    <col width="45" customWidth="1" style="49" min="2" max="2"/>
    <col width="8" customWidth="1" style="49" min="3" max="3"/>
    <col width="30" customWidth="1" style="49" min="4" max="8"/>
    <col width="14" customWidth="1" style="49" min="9" max="9"/>
    <col width="60" customWidth="1" style="49" min="10" max="10"/>
    <col width="8" customWidth="1" style="49" min="11" max="11"/>
    <col width="25" customWidth="1" style="49" min="12" max="12"/>
    <col width="15" customWidth="1" style="49" min="13" max="13"/>
    <col width="30" customWidth="1" style="49" min="14" max="14"/>
  </cols>
  <sheetData>
    <row r="1" ht="34.95" customHeight="1" s="49">
      <c r="A1" s="51">
        <f>HYPERLINK("#gid=0", "🏠 กลับสู่หน้าแรก (Go to Home Page)")</f>
        <v/>
      </c>
    </row>
    <row r="2" ht="28.05" customHeight="1" s="49">
      <c r="A2" s="44" t="inlineStr">
        <is>
          <t>ข้อที่</t>
        </is>
      </c>
      <c r="B2" s="44" t="inlineStr">
        <is>
          <t>คำถาม</t>
        </is>
      </c>
      <c r="C2" s="44" t="inlineStr">
        <is>
          <t>รูปถาม</t>
        </is>
      </c>
      <c r="D2" s="44" t="inlineStr">
        <is>
          <t>ตัวเลือก 1</t>
        </is>
      </c>
      <c r="E2" s="44" t="inlineStr">
        <is>
          <t>ตัวเลือก 2</t>
        </is>
      </c>
      <c r="F2" s="44" t="inlineStr">
        <is>
          <t>ตัวเลือก 3</t>
        </is>
      </c>
      <c r="G2" s="44" t="inlineStr">
        <is>
          <t>ตัวเลือก 4</t>
        </is>
      </c>
      <c r="H2" s="44" t="inlineStr">
        <is>
          <t>ตัวเลือก 5</t>
        </is>
      </c>
      <c r="I2" s="44" t="inlineStr">
        <is>
          <t>เฉลย (ตัวเลข 1-5)</t>
        </is>
      </c>
      <c r="J2" s="44" t="inlineStr">
        <is>
          <t>คำอธิบายเฉลย</t>
        </is>
      </c>
      <c r="K2" s="44" t="inlineStr">
        <is>
          <t>รูปเฉลย</t>
        </is>
      </c>
      <c r="L2" s="44" t="inlineStr">
        <is>
          <t>Filter หมวด/Subtopic</t>
        </is>
      </c>
      <c r="M2" s="44" t="inlineStr">
        <is>
          <t>Product / Clinic</t>
        </is>
      </c>
      <c r="N2" s="44" t="inlineStr">
        <is>
          <t>หมายเหตุ</t>
        </is>
      </c>
    </row>
    <row r="3" ht="64.95" customHeight="1" s="49">
      <c r="A3" s="35" t="n">
        <v>1</v>
      </c>
      <c r="B3" s="34"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45" t="n"/>
      <c r="D3" s="34" t="inlineStr">
        <is>
          <t>เริ่มให้ N-acetylcysteine (NAC) ทางหลอดเลือดดำทันทีตามเกณฑ์ Rumack-Matthew nomogram</t>
        </is>
      </c>
      <c r="E3" s="34" t="inlineStr">
        <is>
          <t>ให้ Activated charcoal 50 กรัม รับประทานทันทีเพื่อลดการดูดซึมยา</t>
        </is>
      </c>
      <c r="F3" s="34" t="inlineStr">
        <is>
          <t>รอตรวจซ้ำ Serum Paracetamol ที่ 12 ชั่วโมงหลังรับประทานยาก่อนตัดสินใจให้ยาต้านพิษ</t>
        </is>
      </c>
      <c r="G3" s="34" t="inlineStr">
        <is>
          <t>ให้การรักษาแบบประคับประคองและติดตามค่า AST/ALT ทุก 24 ชั่วโมงโดยไม่ต้องให้ยาต้านพิษ</t>
        </is>
      </c>
      <c r="H3" s="34" t="inlineStr">
        <is>
          <t>ทำ Gastric lavage ร่วมกับให้ Sodium bicarbonate ทางหลอดเลือดดำ</t>
        </is>
      </c>
      <c r="I3" s="35" t="n">
        <v>1</v>
      </c>
      <c r="J3" s="34"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45" t="n"/>
      <c r="L3" s="35" t="inlineStr">
        <is>
          <t>Paracetamol Toxicity</t>
        </is>
      </c>
      <c r="M3" s="35" t="inlineStr">
        <is>
          <t>Clinic</t>
        </is>
      </c>
      <c r="N3" s="34" t="inlineStr">
        <is>
          <t>Rumack-Matthew Nomogram &amp; NAC Protocol</t>
        </is>
      </c>
    </row>
    <row r="4" ht="64.95" customHeight="1" s="49">
      <c r="A4" s="35" t="n">
        <v>2</v>
      </c>
      <c r="B4" s="34"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45" t="n"/>
      <c r="D4" s="34" t="inlineStr">
        <is>
          <t>หยุดหยดยา NAC ชั่วคราว ให้ Chlorpheniramine ฉีดเข้าหลอดเลือดดำ และเริ่มหยด NAC ต่อในอัตราที่ช้าลงเมื่ออาการดีขึ้น</t>
        </is>
      </c>
      <c r="E4" s="34" t="inlineStr">
        <is>
          <t>หยุดยา NAC ถาวรทันทีและเปลี่ยนเป็น Activated charcoal ทางสายยาง</t>
        </is>
      </c>
      <c r="F4" s="34" t="inlineStr">
        <is>
          <t>ฉีด Adrenaline (Epinephrine) 0.5 mg เข้ากล้ามเนื้อทันทีเนื่องจากเป็น Anaphylaxis</t>
        </is>
      </c>
      <c r="G4" s="34" t="inlineStr">
        <is>
          <t>เพิ่มอัตราเร็วการหยดยา NAC ให้หมดเร็วขึ้นเพื่อรีบขับพิษออกจากร่างกาย</t>
        </is>
      </c>
      <c r="H4" s="34" t="inlineStr">
        <is>
          <t>ให้ Hydrocortisone 100 mg IV และส่งผู้ป่วยเข้าห้องผ่าตัดเพื่อปลูกถ่ายตับฉุกเฉิน</t>
        </is>
      </c>
      <c r="I4" s="35" t="n">
        <v>1</v>
      </c>
      <c r="J4" s="34"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45" t="n"/>
      <c r="L4" s="35" t="inlineStr">
        <is>
          <t>Paracetamol Toxicity</t>
        </is>
      </c>
      <c r="M4" s="35" t="inlineStr">
        <is>
          <t>Clinic</t>
        </is>
      </c>
      <c r="N4" s="34" t="inlineStr">
        <is>
          <t>NAC Non-IgE Anaphylactoid Reaction</t>
        </is>
      </c>
    </row>
    <row r="5" ht="64.95" customHeight="1" s="49">
      <c r="A5" s="35" t="n">
        <v>3</v>
      </c>
      <c r="B5" s="34"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45" t="n"/>
      <c r="D5" s="34" t="inlineStr">
        <is>
          <t>Naloxone</t>
        </is>
      </c>
      <c r="E5" s="34" t="inlineStr">
        <is>
          <t>Flumazenil</t>
        </is>
      </c>
      <c r="F5" s="34" t="inlineStr">
        <is>
          <t>Atropine</t>
        </is>
      </c>
      <c r="G5" s="34" t="inlineStr">
        <is>
          <t>N-acetylcysteine</t>
        </is>
      </c>
      <c r="H5" s="34" t="inlineStr">
        <is>
          <t>Sodium bicarbonate</t>
        </is>
      </c>
      <c r="I5" s="35" t="n">
        <v>1</v>
      </c>
      <c r="J5" s="34"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45" t="n"/>
      <c r="L5" s="35" t="inlineStr">
        <is>
          <t>Opioid Toxicity</t>
        </is>
      </c>
      <c r="M5" s="35" t="inlineStr">
        <is>
          <t>Clinic</t>
        </is>
      </c>
      <c r="N5" s="34" t="inlineStr">
        <is>
          <t>Opioid Toxidrome &amp; Naloxone</t>
        </is>
      </c>
    </row>
    <row r="6" ht="64.95" customHeight="1" s="49">
      <c r="A6" s="35" t="n">
        <v>4</v>
      </c>
      <c r="B6" s="34"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45" t="n"/>
      <c r="D6" s="34"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34" t="inlineStr">
        <is>
          <t>สามารถอนุญาตให้กลับบ้านได้ทันทีหากเดินทรงตัวได้ดี</t>
        </is>
      </c>
      <c r="F6" s="34" t="inlineStr">
        <is>
          <t>สังเกตอาการต่อเพียง 1 ชั่วโมง หากไม่ง่วงซึมสามารถกลับบ้านได้</t>
        </is>
      </c>
      <c r="G6" s="34" t="inlineStr">
        <is>
          <t>ให้ยา Naloxone ชนิดรับประทานกลับไปกินที่บ้านต่อเนื่อง 3 วัน</t>
        </is>
      </c>
      <c r="H6" s="34" t="inlineStr">
        <is>
          <t>เปลี่ยนยาเป็น Naltrexone ฉีดเข้ากล้ามเนื้อก่อนจำหน่ายออกจากโรงพยาบาล</t>
        </is>
      </c>
      <c r="I6" s="35" t="n">
        <v>1</v>
      </c>
      <c r="J6" s="34"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45" t="n"/>
      <c r="L6" s="35" t="inlineStr">
        <is>
          <t>Opioid Toxicity</t>
        </is>
      </c>
      <c r="M6" s="35" t="inlineStr">
        <is>
          <t>Clinic</t>
        </is>
      </c>
      <c r="N6" s="34" t="inlineStr">
        <is>
          <t>Renarcotization risk with Methadone</t>
        </is>
      </c>
    </row>
    <row r="7" ht="64.95" customHeight="1" s="49">
      <c r="A7" s="35" t="n">
        <v>5</v>
      </c>
      <c r="B7" s="34"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45" t="n"/>
      <c r="D7" s="34" t="inlineStr">
        <is>
          <t>Atropine sulfate</t>
        </is>
      </c>
      <c r="E7" s="34" t="inlineStr">
        <is>
          <t>Pralidoxime (2-PAM)</t>
        </is>
      </c>
      <c r="F7" s="34" t="inlineStr">
        <is>
          <t>Diphenhydramine</t>
        </is>
      </c>
      <c r="G7" s="34" t="inlineStr">
        <is>
          <t>Salbutamol nebulizer</t>
        </is>
      </c>
      <c r="H7" s="34" t="inlineStr">
        <is>
          <t>Succinylcholine</t>
        </is>
      </c>
      <c r="I7" s="35" t="n">
        <v>1</v>
      </c>
      <c r="J7" s="34"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45" t="n"/>
      <c r="L7" s="35" t="inlineStr">
        <is>
          <t>Organophosphate Toxicity</t>
        </is>
      </c>
      <c r="M7" s="35" t="inlineStr">
        <is>
          <t>Clinic</t>
        </is>
      </c>
      <c r="N7" s="34" t="inlineStr">
        <is>
          <t>Cholinergic Toxidrome &amp; Atropine</t>
        </is>
      </c>
    </row>
    <row r="8" ht="64.95" customHeight="1" s="49">
      <c r="A8" s="35" t="n">
        <v>6</v>
      </c>
      <c r="B8" s="34" t="inlineStr">
        <is>
          <t>ข้อใดเป็นข้อบ่งชี้และหลักการที่ถูกต้องในการใช้ Pralidoxime (2-PAM) ในผู้ป่วยที่ได้รับสารพิษกลุ่ม Organophosphates</t>
        </is>
      </c>
      <c r="C8" s="45" t="n"/>
      <c r="D8" s="34"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34" t="inlineStr">
        <is>
          <t>ให้เดี่ยวๆ โดยไม่ต้องให้ Atropine ร่วมด้วย</t>
        </is>
      </c>
      <c r="F8" s="34" t="inlineStr">
        <is>
          <t>ใช้ได้ผลดีเลิศและจำเป็นต้องให้ในผู้ป่วยที่ได้รับสารพิษกลุ่ม Carbamates ทุกราย</t>
        </is>
      </c>
      <c r="G8" s="34" t="inlineStr">
        <is>
          <t>ให้เฉพาะเมื่อผู้ป่วยมีอาการน้ำลายไหลและม่านตาหดเล็กเท่านั้น</t>
        </is>
      </c>
      <c r="H8" s="34" t="inlineStr">
        <is>
          <t>สามารถให้ทดแทนการล้างตัว (Decontamination) ในผู้ป่วยที่สัมผัสทางผิวหนังได้</t>
        </is>
      </c>
      <c r="I8" s="35" t="n">
        <v>1</v>
      </c>
      <c r="J8" s="34"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45" t="n"/>
      <c r="L8" s="35" t="inlineStr">
        <is>
          <t>Organophosphate Toxicity</t>
        </is>
      </c>
      <c r="M8" s="35" t="inlineStr">
        <is>
          <t>Clinic</t>
        </is>
      </c>
      <c r="N8" s="34" t="inlineStr">
        <is>
          <t>Pralidoxime &amp; Aging of AChE</t>
        </is>
      </c>
    </row>
    <row r="9" ht="64.95" customHeight="1" s="49">
      <c r="A9" s="35" t="n">
        <v>7</v>
      </c>
      <c r="B9" s="34"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45" t="n"/>
      <c r="D9" s="34" t="inlineStr">
        <is>
          <t>Fomepizole หรือ Ethanol 10% IV infusion</t>
        </is>
      </c>
      <c r="E9" s="34" t="inlineStr">
        <is>
          <t>Methylene blue</t>
        </is>
      </c>
      <c r="F9" s="34" t="inlineStr">
        <is>
          <t>Dimercaprol (BAL)</t>
        </is>
      </c>
      <c r="G9" s="34" t="inlineStr">
        <is>
          <t>Thiamine IV</t>
        </is>
      </c>
      <c r="H9" s="34" t="inlineStr">
        <is>
          <t>Deferoxamine</t>
        </is>
      </c>
      <c r="I9" s="35" t="n">
        <v>1</v>
      </c>
      <c r="J9" s="34"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45" t="n"/>
      <c r="L9" s="35" t="inlineStr">
        <is>
          <t>Toxic Alcohol</t>
        </is>
      </c>
      <c r="M9" s="35" t="inlineStr">
        <is>
          <t>Clinic</t>
        </is>
      </c>
      <c r="N9" s="34" t="inlineStr">
        <is>
          <t>Methanol toxicity &amp; Alcohol dehydrogenase</t>
        </is>
      </c>
    </row>
    <row r="10" ht="64.95" customHeight="1" s="49">
      <c r="A10" s="35" t="n">
        <v>8</v>
      </c>
      <c r="B10" s="34"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45" t="n"/>
      <c r="D10" s="34" t="inlineStr">
        <is>
          <t>Folic acid (หรือ Folinic acid / Leucovorin)</t>
        </is>
      </c>
      <c r="E10" s="34" t="inlineStr">
        <is>
          <t>Pyridoxine (Vitamin B6)</t>
        </is>
      </c>
      <c r="F10" s="34" t="inlineStr">
        <is>
          <t>Thiamine (Vitamin B1)</t>
        </is>
      </c>
      <c r="G10" s="34" t="inlineStr">
        <is>
          <t>Vitamin K1 (Phytomenadione)</t>
        </is>
      </c>
      <c r="H10" s="34" t="inlineStr">
        <is>
          <t>Ascorbic acid (Vitamin C)</t>
        </is>
      </c>
      <c r="I10" s="35" t="n">
        <v>1</v>
      </c>
      <c r="J10" s="34"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45" t="n"/>
      <c r="L10" s="35" t="inlineStr">
        <is>
          <t>Toxic Alcohol</t>
        </is>
      </c>
      <c r="M10" s="35" t="inlineStr">
        <is>
          <t>Clinic</t>
        </is>
      </c>
      <c r="N10" s="34" t="inlineStr">
        <is>
          <t>Folic acid role in Methanol metabolism</t>
        </is>
      </c>
    </row>
    <row r="11" ht="64.95" customHeight="1" s="49">
      <c r="A11" s="35" t="n">
        <v>9</v>
      </c>
      <c r="B11" s="34"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45" t="n"/>
      <c r="D11" s="34" t="inlineStr">
        <is>
          <t>Hydroxocobalamin (Cyanokit)</t>
        </is>
      </c>
      <c r="E11" s="34" t="inlineStr">
        <is>
          <t>Sodium nitrite + Sodium thiosulfate</t>
        </is>
      </c>
      <c r="F11" s="34" t="inlineStr">
        <is>
          <t>Methylene blue</t>
        </is>
      </c>
      <c r="G11" s="34" t="inlineStr">
        <is>
          <t>N-acetylcysteine</t>
        </is>
      </c>
      <c r="H11" s="34" t="inlineStr">
        <is>
          <t>Atropine + Pralidoxime</t>
        </is>
      </c>
      <c r="I11" s="35" t="n">
        <v>1</v>
      </c>
      <c r="J11" s="34"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45" t="n"/>
      <c r="L11" s="35" t="inlineStr">
        <is>
          <t>Cyanide Toxicity</t>
        </is>
      </c>
      <c r="M11" s="35" t="inlineStr">
        <is>
          <t>Clinic</t>
        </is>
      </c>
      <c r="N11" s="34" t="inlineStr">
        <is>
          <t>Cyanide Poisoning in Smoke Inhalation</t>
        </is>
      </c>
    </row>
    <row r="12" ht="64.95" customHeight="1" s="49">
      <c r="A12" s="35" t="n">
        <v>10</v>
      </c>
      <c r="B12" s="34" t="inlineStr">
        <is>
          <t>กลไกการออกฤทธิ์ของ Sodium thiosulfate ในการรักษาภาวะพิษจาก Cyanide คือข้อใด</t>
        </is>
      </c>
      <c r="C12" s="45" t="n"/>
      <c r="D12" s="34" t="inlineStr">
        <is>
          <t>ทำหน้าที่เป็น Sulfur donor ให้แก่เอนไซม์ Rhodanese เพื่อเปลี่ยน Cyanide เป็น Thiocyanate ที่ไม่เป็นพิษและขับออกทางไต</t>
        </is>
      </c>
      <c r="E12" s="34" t="inlineStr">
        <is>
          <t>ออกซิไดซ์ฮีโมโกลบินให้กลายเป็น Methemoglobin เพื่อดึง Cyanide ออกจาก Cytochrome oxidase</t>
        </is>
      </c>
      <c r="F12" s="34" t="inlineStr">
        <is>
          <t>แย่งจับกับ Cytochrome c oxidase โดยตรงเพื่อป้องกันไม่ให้ Cyanide เข้าจับ</t>
        </is>
      </c>
      <c r="G12" s="34" t="inlineStr">
        <is>
          <t>กระตุ้นการทำงานของ Cytochrome P450 ในตับเพื่อสลายโมเลกุลของ Cyanide</t>
        </is>
      </c>
      <c r="H12" s="34" t="inlineStr">
        <is>
          <t>จับกับ Cyanide ในทางเดินอาหารและป้องกันการดูดซึม</t>
        </is>
      </c>
      <c r="I12" s="35" t="n">
        <v>1</v>
      </c>
      <c r="J12" s="34"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45" t="n"/>
      <c r="L12" s="35" t="inlineStr">
        <is>
          <t>Cyanide Toxicity</t>
        </is>
      </c>
      <c r="M12" s="35" t="inlineStr">
        <is>
          <t>Clinic</t>
        </is>
      </c>
      <c r="N12" s="34" t="inlineStr">
        <is>
          <t>Sodium thiosulfate mechanism of action</t>
        </is>
      </c>
    </row>
    <row r="13" ht="64.95" customHeight="1" s="49">
      <c r="A13" s="35" t="n">
        <v>11</v>
      </c>
      <c r="B13" s="34"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45" t="n"/>
      <c r="D13" s="34" t="inlineStr">
        <is>
          <t>Hypokalemia</t>
        </is>
      </c>
      <c r="E13" s="34" t="inlineStr">
        <is>
          <t>Hyperkalemia</t>
        </is>
      </c>
      <c r="F13" s="34" t="inlineStr">
        <is>
          <t>Hypernatremia</t>
        </is>
      </c>
      <c r="G13" s="34" t="inlineStr">
        <is>
          <t>Hypercalcemia เดี่ยวๆ โดยที่โปแทสเซียมปกติ</t>
        </is>
      </c>
      <c r="H13" s="34" t="inlineStr">
        <is>
          <t>Hyponatremia</t>
        </is>
      </c>
      <c r="I13" s="35" t="n">
        <v>1</v>
      </c>
      <c r="J13" s="34"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45" t="n"/>
      <c r="L13" s="35" t="inlineStr">
        <is>
          <t>Digoxin Toxicity</t>
        </is>
      </c>
      <c r="M13" s="35" t="inlineStr">
        <is>
          <t>Clinic</t>
        </is>
      </c>
      <c r="N13" s="34" t="inlineStr">
        <is>
          <t>Hypokalemia predisposing to Digoxin toxicity</t>
        </is>
      </c>
    </row>
    <row r="14" ht="64.95" customHeight="1" s="49">
      <c r="A14" s="35" t="n">
        <v>12</v>
      </c>
      <c r="B14" s="34"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45" t="n"/>
      <c r="D14" s="34" t="inlineStr">
        <is>
          <t>ยาแก้พิษคือ Digoxin-specific Fab (Digibind) และห้ามฉีด Calcium gluconate/chloride</t>
        </is>
      </c>
      <c r="E14" s="34" t="inlineStr">
        <is>
          <t>ยาแก้พิษคือ Calcium chloride และห้ามให้ Digoxin-specific Fab</t>
        </is>
      </c>
      <c r="F14" s="34" t="inlineStr">
        <is>
          <t>ยาแก้พิษคือ Atropine และห้ามให้ Potassium chloride</t>
        </is>
      </c>
      <c r="G14" s="34" t="inlineStr">
        <is>
          <t>ยาแก้พิษคือ Sodium polystyrene sulfonate และห้ามให้ Magnesium</t>
        </is>
      </c>
      <c r="H14" s="34" t="inlineStr">
        <is>
          <t>ยาแก้พิษคือ Amiodarone และห้ามให้ Lidocaine</t>
        </is>
      </c>
      <c r="I14" s="35" t="n">
        <v>1</v>
      </c>
      <c r="J14" s="34"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45" t="n"/>
      <c r="L14" s="35" t="inlineStr">
        <is>
          <t>Digoxin Toxicity</t>
        </is>
      </c>
      <c r="M14" s="35" t="inlineStr">
        <is>
          <t>Clinic</t>
        </is>
      </c>
      <c r="N14" s="34" t="inlineStr">
        <is>
          <t>Digibind &amp; Avoid Calcium in Digoxin toxicity</t>
        </is>
      </c>
    </row>
    <row r="15" ht="64.95" customHeight="1" s="49">
      <c r="A15" s="35" t="n">
        <v>13</v>
      </c>
      <c r="B15" s="34"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45" t="n"/>
      <c r="D15" s="34" t="inlineStr">
        <is>
          <t>Deferoxamine (Desferrioxamine)</t>
        </is>
      </c>
      <c r="E15" s="34" t="inlineStr">
        <is>
          <t>Dimercaprol (BAL)</t>
        </is>
      </c>
      <c r="F15" s="34" t="inlineStr">
        <is>
          <t>Calcium disodium EDTA</t>
        </is>
      </c>
      <c r="G15" s="34" t="inlineStr">
        <is>
          <t>Penicillamine</t>
        </is>
      </c>
      <c r="H15" s="34" t="inlineStr">
        <is>
          <t>Succimer (DMSA)</t>
        </is>
      </c>
      <c r="I15" s="35" t="n">
        <v>1</v>
      </c>
      <c r="J15" s="34"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45" t="n"/>
      <c r="L15" s="35" t="inlineStr">
        <is>
          <t>Iron Toxicity</t>
        </is>
      </c>
      <c r="M15" s="35" t="inlineStr">
        <is>
          <t>Clinic</t>
        </is>
      </c>
      <c r="N15" s="34" t="inlineStr">
        <is>
          <t>Iron toxicity &amp; Deferoxamine</t>
        </is>
      </c>
    </row>
    <row r="16" ht="64.95" customHeight="1" s="49">
      <c r="A16" s="35" t="n">
        <v>14</v>
      </c>
      <c r="B16" s="34"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45" t="n"/>
      <c r="D16" s="34" t="inlineStr">
        <is>
          <t>Lead (ตะกั่ว) — รักษาด้วย Dimercaprol (BAL) ร่วมกับ Calcium disodium EDTA</t>
        </is>
      </c>
      <c r="E16" s="34" t="inlineStr">
        <is>
          <t>Arsenic (สารหนู) — รักษาด้วย Deferoxamine</t>
        </is>
      </c>
      <c r="F16" s="34" t="inlineStr">
        <is>
          <t>Mercury (ปรอท) — รักษาด้วย Sodium thiosulfate</t>
        </is>
      </c>
      <c r="G16" s="34" t="inlineStr">
        <is>
          <t>Cadmium (แคดเมียม) — รักษาด้วย Penicillamine</t>
        </is>
      </c>
      <c r="H16" s="34" t="inlineStr">
        <is>
          <t>Iron (เหล็ก) — รักษาด้วย N-acetylcysteine</t>
        </is>
      </c>
      <c r="I16" s="35" t="n">
        <v>1</v>
      </c>
      <c r="J16" s="34"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45" t="n"/>
      <c r="L16" s="35" t="inlineStr">
        <is>
          <t>Heavy Metal Toxicity</t>
        </is>
      </c>
      <c r="M16" s="35" t="inlineStr">
        <is>
          <t>Clinic</t>
        </is>
      </c>
      <c r="N16" s="34" t="inlineStr">
        <is>
          <t>Lead poisoning symptoms &amp; Chelation</t>
        </is>
      </c>
    </row>
    <row r="17" ht="64.95" customHeight="1" s="49">
      <c r="A17" s="35" t="n">
        <v>15</v>
      </c>
      <c r="B17" s="34"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45" t="n"/>
      <c r="D17" s="34"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34" t="inlineStr">
        <is>
          <t>Calcium disodium EDTA เป็นยาทางเลือกแรกสำหรับ Organic mercury</t>
        </is>
      </c>
      <c r="F17" s="34" t="inlineStr">
        <is>
          <t>Deferoxamine สามารถใช้ทดแทน BAL ได้ในกรณีที่ผู้ป่วยแพ้ถั่วลิสง</t>
        </is>
      </c>
      <c r="G17" s="34" t="inlineStr">
        <is>
          <t>Dimercaprol สามารถบริหารยาทางหลอดเลือดดำได้อย่างปลอดภัย</t>
        </is>
      </c>
      <c r="H17" s="34" t="inlineStr">
        <is>
          <t>Succimer (DMSA) ห้ามใช้ในเด็กเนื่องจากกดการเจริญเติบโต</t>
        </is>
      </c>
      <c r="I17" s="35" t="n">
        <v>1</v>
      </c>
      <c r="J17" s="34"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45" t="n"/>
      <c r="L17" s="35" t="inlineStr">
        <is>
          <t>Heavy Metal Toxicity</t>
        </is>
      </c>
      <c r="M17" s="35" t="inlineStr">
        <is>
          <t>Clinic</t>
        </is>
      </c>
      <c r="N17" s="34" t="inlineStr">
        <is>
          <t>BAL in Arsenic/Mercury and peanut allergy precaution</t>
        </is>
      </c>
    </row>
    <row r="18" ht="64.95" customHeight="1" s="49">
      <c r="A18" s="35" t="n">
        <v>16</v>
      </c>
      <c r="B18" s="34"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45" t="n"/>
      <c r="D18" s="34" t="inlineStr">
        <is>
          <t>Glucagon IV bolus ตามด้วย continuous infusion</t>
        </is>
      </c>
      <c r="E18" s="34" t="inlineStr">
        <is>
          <t>Calcium gluconate IV bolus</t>
        </is>
      </c>
      <c r="F18" s="34" t="inlineStr">
        <is>
          <t>Insulin regular ในขนาดปกติ 5-10 units IV</t>
        </is>
      </c>
      <c r="G18" s="34" t="inlineStr">
        <is>
          <t>Norepinephrine infusion เดี่ยวๆ</t>
        </is>
      </c>
      <c r="H18" s="34" t="inlineStr">
        <is>
          <t>Dopamine infusion ขนาดต่ำ (Renal dose)</t>
        </is>
      </c>
      <c r="I18" s="35" t="n">
        <v>1</v>
      </c>
      <c r="J18" s="34"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45" t="n"/>
      <c r="L18" s="35" t="inlineStr">
        <is>
          <t>Cardiovascular Drug Overdose</t>
        </is>
      </c>
      <c r="M18" s="35" t="inlineStr">
        <is>
          <t>Clinic</t>
        </is>
      </c>
      <c r="N18" s="34" t="inlineStr">
        <is>
          <t>Beta-blocker toxicity &amp; Glucagon</t>
        </is>
      </c>
    </row>
    <row r="19" ht="64.95" customHeight="1" s="49">
      <c r="A19" s="35" t="n">
        <v>17</v>
      </c>
      <c r="B19" s="34"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45" t="n"/>
      <c r="D19" s="34"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34" t="inlineStr">
        <is>
          <t>ให้อินซูลินขนาดต่ำ 0.1 unit/kg/hr เพื่อลดระดับน้ำตาลในเลือดที่สูงให้อยู่ในเกณฑ์ปกติเท่านั้น</t>
        </is>
      </c>
      <c r="F19" s="34" t="inlineStr">
        <is>
          <t>ห้ามให้สารละลายน้ำตาลกลูโคสร่วมด้วยเด็ดขาดเนื่องจากผู้ป่วยมีภาวะน้ำตาลในเลือดสูงอยู่แล้ว</t>
        </is>
      </c>
      <c r="G19" s="34" t="inlineStr">
        <is>
          <t>อินซูลินออกฤทธิ์โดยการบล็อกแคลเซียมแชนแนลเพื่อลดการทำงานของหัวใจ</t>
        </is>
      </c>
      <c r="H19" s="34" t="inlineStr">
        <is>
          <t>ต้องหยุดอินซูลินทันทีหากระดับ Serum Potassium ต่ำกว่า 4.0 mEq/L</t>
        </is>
      </c>
      <c r="I19" s="35" t="n">
        <v>1</v>
      </c>
      <c r="J19" s="34"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45" t="n"/>
      <c r="L19" s="35" t="inlineStr">
        <is>
          <t>Cardiovascular Drug Overdose</t>
        </is>
      </c>
      <c r="M19" s="35" t="inlineStr">
        <is>
          <t>Clinic</t>
        </is>
      </c>
      <c r="N19" s="34" t="inlineStr">
        <is>
          <t>High-dose insulin in CCB overdose</t>
        </is>
      </c>
    </row>
    <row r="20" ht="64.95" customHeight="1" s="49">
      <c r="A20" s="35" t="n">
        <v>18</v>
      </c>
      <c r="B20" s="34"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45" t="n"/>
      <c r="D20" s="34" t="inlineStr">
        <is>
          <t>เสี่ยงต่อการชักรุนแรงที่ไม่สามารถควบคุมได้และภาวะหัวใจเต้นผิดจังหวะจากการปลดปล่อยฤทธิ์ของ Cyclic Antidepressants (TCAs)</t>
        </is>
      </c>
      <c r="E20" s="34" t="inlineStr">
        <is>
          <t>Flumazenil ออกฤทธิ์เสริมพิษของ Amitriptyline ทำให้ความดันโลหิตสูงวิกฤต</t>
        </is>
      </c>
      <c r="F20" s="34" t="inlineStr">
        <is>
          <t>Flumazenil มีข้อห้ามใช้เด็ดขาดในผู้ป่วยที่ได้รับ Diazepam เกินขนาด</t>
        </is>
      </c>
      <c r="G20" s="34" t="inlineStr">
        <is>
          <t>Flumazenil จะทำให้เกิดพิษต่อตับเฉียบพลันจากปฏิกิริยาเสริมฤทธิ์ของยา</t>
        </is>
      </c>
      <c r="H20" s="34" t="inlineStr">
        <is>
          <t>Diazepam ขับออกทางไตหมดแล้ว การให้ Flumazenil จึงไม่มีประโยชน์</t>
        </is>
      </c>
      <c r="I20" s="35" t="n">
        <v>1</v>
      </c>
      <c r="J20" s="34"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45" t="n"/>
      <c r="L20" s="35" t="inlineStr">
        <is>
          <t>Sedative-Hypnotic Toxicity</t>
        </is>
      </c>
      <c r="M20" s="35" t="inlineStr">
        <is>
          <t>Clinic</t>
        </is>
      </c>
      <c r="N20" s="34" t="inlineStr">
        <is>
          <t>Flumazenil contraindications in mixed TCA overdose</t>
        </is>
      </c>
    </row>
    <row r="21" ht="64.95" customHeight="1" s="49">
      <c r="A21" s="35" t="n">
        <v>19</v>
      </c>
      <c r="B21" s="34"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และหยุดเลือดอย่างเร่งด่วนที่สุดตามแนวทางเวชปฏิบัติสากล</t>
        </is>
      </c>
      <c r="C21" s="45" t="n"/>
      <c r="D21" s="34" t="inlineStr">
        <is>
          <t>ให้ 4-Factor Prothrombin Complex Concentrate (4F-PCC) ทางหลอดเลือดดำทันที ร่วมกับ Vitamin K1 10 mg IV infusion ช้าๆ</t>
        </is>
      </c>
      <c r="E21" s="34" t="inlineStr">
        <is>
          <t>ให้ Vitamin K1 10 mg รับประทานเพียงอย่างเดียว</t>
        </is>
      </c>
      <c r="F21" s="34" t="inlineStr">
        <is>
          <t>ให้ Fresh Frozen Plasma (FFP) เพียงอย่างเดียวโดยไม่ต้องให้ Vitamin K1</t>
        </is>
      </c>
      <c r="G21" s="34" t="inlineStr">
        <is>
          <t>ฉีด Protamine sulfate 50 mg ทางหลอดเลือดดำทันที</t>
        </is>
      </c>
      <c r="H21" s="34" t="inlineStr">
        <is>
          <t>ให้ Idarucizumab 5 g ทางหลอดเลือดดำ</t>
        </is>
      </c>
      <c r="I21" s="35" t="n">
        <v>1</v>
      </c>
      <c r="J21" s="34"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45" t="n"/>
      <c r="L21" s="35" t="inlineStr">
        <is>
          <t>Anticoagulant Reversal</t>
        </is>
      </c>
      <c r="M21" s="35" t="inlineStr">
        <is>
          <t>Clinic</t>
        </is>
      </c>
      <c r="N21" s="34" t="inlineStr">
        <is>
          <t>Warfarin reversal in major bleeding (4F-PCC + Vit K1)</t>
        </is>
      </c>
    </row>
    <row r="22" ht="64.95" customHeight="1" s="49">
      <c r="A22" s="35" t="n">
        <v>20</v>
      </c>
      <c r="B22" s="34"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45" t="n"/>
      <c r="D22" s="34" t="inlineStr">
        <is>
          <t>Dabigatran คู่กับ Idarucizumab</t>
        </is>
      </c>
      <c r="E22" s="34" t="inlineStr">
        <is>
          <t>Rivaroxaban คู่กับ Protamine sulfate</t>
        </is>
      </c>
      <c r="F22" s="34" t="inlineStr">
        <is>
          <t>Apixaban คู่กับ Deferoxamine</t>
        </is>
      </c>
      <c r="G22" s="34" t="inlineStr">
        <is>
          <t>Enoxaparin คู่กับ Vitamin K1</t>
        </is>
      </c>
      <c r="H22" s="34" t="inlineStr">
        <is>
          <t>Warfarin คู่กับ Flumazenil</t>
        </is>
      </c>
      <c r="I22" s="35" t="n">
        <v>1</v>
      </c>
      <c r="J22" s="34"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45" t="n"/>
      <c r="L22" s="35" t="inlineStr">
        <is>
          <t>Anticoagulant Reversal</t>
        </is>
      </c>
      <c r="M22" s="35" t="inlineStr">
        <is>
          <t>Clinic</t>
        </is>
      </c>
      <c r="N22" s="34" t="inlineStr">
        <is>
          <t>DOACs Specific Antidotes</t>
        </is>
      </c>
    </row>
    <row r="23" ht="64.95" customHeight="1" s="49">
      <c r="A23" s="35" t="n">
        <v>21</v>
      </c>
      <c r="B23" s="34"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45" t="n"/>
      <c r="D23" s="34" t="inlineStr">
        <is>
          <t>งูเห่า (Cobra) หรือ งูจงอาง (King cobra) หรือ งูสามเหลี่ยม (Banded krait)</t>
        </is>
      </c>
      <c r="E23" s="34" t="inlineStr">
        <is>
          <t>งูกะปะ (Malayan pit viper)</t>
        </is>
      </c>
      <c r="F23" s="34" t="inlineStr">
        <is>
          <t>งูเขียวหางไหม้ (Green pit viper)</t>
        </is>
      </c>
      <c r="G23" s="34" t="inlineStr">
        <is>
          <t>งูแมวเซา (Russell's viper)</t>
        </is>
      </c>
      <c r="H23" s="34" t="inlineStr">
        <is>
          <t>งูเหลือม (Reticulated python)</t>
        </is>
      </c>
      <c r="I23" s="35" t="n">
        <v>1</v>
      </c>
      <c r="J23" s="34"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45" t="n"/>
      <c r="L23" s="35" t="inlineStr">
        <is>
          <t>Snake Envenomation</t>
        </is>
      </c>
      <c r="M23" s="35" t="inlineStr">
        <is>
          <t>Clinic</t>
        </is>
      </c>
      <c r="N23" s="34" t="inlineStr">
        <is>
          <t>Neurotoxic snake envenomation in Thailand</t>
        </is>
      </c>
    </row>
    <row r="24" ht="64.95" customHeight="1" s="49">
      <c r="A24" s="35" t="n">
        <v>22</v>
      </c>
      <c r="B24" s="34"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45" t="n"/>
      <c r="D24" s="34" t="inlineStr">
        <is>
          <t>ผล 20WBCT ไม่แข็งตัว (Systemic hematotoxicity) หรือมีอาการบวมลามเกินกว่า 1 ข้อต่อใหญ่ภายในเวลาอันรวดเร็ว</t>
        </is>
      </c>
      <c r="E24" s="34" t="inlineStr">
        <is>
          <t>ให้เฉพาะเมื่อมีเลือดออกในอวัยวะภายใน เช่น เลือดออกในสมอง เท่านั้น</t>
        </is>
      </c>
      <c r="F24" s="34" t="inlineStr">
        <is>
          <t>ฉีดเซรุ่มเข้าที่แผลที่ถูกกัดโดยตรงเพื่อสลายพิษเฉพาะที่</t>
        </is>
      </c>
      <c r="G24" s="34" t="inlineStr">
        <is>
          <t>ต้องทำ Intradermal skin test ก่อนให้เซรุ่มทุกครั้ง หากผลบวกห้ามให้เซรุ่มเด็ดขาด</t>
        </is>
      </c>
      <c r="H24" s="34" t="inlineStr">
        <is>
          <t>ให้เซรุ่มต้านพิษงูระบบประสาทร่วมด้วยเสมอเพื่อป้องกันอาการกลืนลำบาก</t>
        </is>
      </c>
      <c r="I24" s="35" t="n">
        <v>1</v>
      </c>
      <c r="J24" s="34"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45" t="n"/>
      <c r="L24" s="35" t="inlineStr">
        <is>
          <t>Snake Envenomation</t>
        </is>
      </c>
      <c r="M24" s="35" t="inlineStr">
        <is>
          <t>Clinic</t>
        </is>
      </c>
      <c r="N24" s="34" t="inlineStr">
        <is>
          <t>Antivenom indications and administration</t>
        </is>
      </c>
    </row>
    <row r="25" ht="64.95" customHeight="1" s="49">
      <c r="A25" s="35" t="n">
        <v>23</v>
      </c>
      <c r="B25" s="34"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45" t="n"/>
      <c r="D25" s="34" t="inlineStr">
        <is>
          <t>Pyridoxine (Vitamin B6) IV</t>
        </is>
      </c>
      <c r="E25" s="34" t="inlineStr">
        <is>
          <t>Thiamine (Vitamin B1) IV</t>
        </is>
      </c>
      <c r="F25" s="34" t="inlineStr">
        <is>
          <t>Folic acid IV</t>
        </is>
      </c>
      <c r="G25" s="34" t="inlineStr">
        <is>
          <t>Calcium gluconate IV</t>
        </is>
      </c>
      <c r="H25" s="34" t="inlineStr">
        <is>
          <t>Sodium bicarbonate IV</t>
        </is>
      </c>
      <c r="I25" s="35" t="n">
        <v>1</v>
      </c>
      <c r="J25" s="34"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45" t="n"/>
      <c r="L25" s="35" t="inlineStr">
        <is>
          <t>Antituberculosis Drug Overdose</t>
        </is>
      </c>
      <c r="M25" s="35" t="inlineStr">
        <is>
          <t>Clinic</t>
        </is>
      </c>
      <c r="N25" s="34" t="inlineStr">
        <is>
          <t>Isoniazid toxicity &amp; Pyridoxine gram-for-gram</t>
        </is>
      </c>
    </row>
    <row r="26" ht="64.95" customHeight="1" s="49">
      <c r="A26" s="35" t="n">
        <v>24</v>
      </c>
      <c r="B26" s="34"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45" t="n"/>
      <c r="D26" s="34" t="inlineStr">
        <is>
          <t>ให้ออกซิเจนความเข้มข้น 100% ผ่าน Non-rebreather mask ทันที และพิจารณาส่งรับการบำบัดด้วย Hyperbaric Oxygen Therapy (HBOT)</t>
        </is>
      </c>
      <c r="E26" s="34" t="inlineStr">
        <is>
          <t>ให้ถอดหน้ากากออกซิเจนออกได้เนื่องจากค่า SpO2 ปกติ 98%</t>
        </is>
      </c>
      <c r="F26" s="34" t="inlineStr">
        <is>
          <t>ฉีด Methylene blue ทางหลอดเลือดดำทันที</t>
        </is>
      </c>
      <c r="G26" s="34" t="inlineStr">
        <is>
          <t>ให้ Sodium thiosulfate ทางหลอดเลือดดำ</t>
        </is>
      </c>
      <c r="H26" s="34" t="inlineStr">
        <is>
          <t>ให้การรักษาแบบประคับประคองโดยสูดอากาศปกติ (Room air) เนื่องจาก CO สลายตัวได้เอง</t>
        </is>
      </c>
      <c r="I26" s="35" t="n">
        <v>1</v>
      </c>
      <c r="J26" s="34"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45" t="n"/>
      <c r="L26" s="35" t="inlineStr">
        <is>
          <t>Inhalation Toxicology</t>
        </is>
      </c>
      <c r="M26" s="35" t="inlineStr">
        <is>
          <t>Clinic</t>
        </is>
      </c>
      <c r="N26" s="34" t="inlineStr">
        <is>
          <t>Carbon monoxide poisoning &amp; Pulse oximeter pitfall</t>
        </is>
      </c>
    </row>
    <row r="27" ht="64.95" customHeight="1" s="49">
      <c r="A27" s="35" t="n">
        <v>25</v>
      </c>
      <c r="B27" s="34"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45" t="n"/>
      <c r="D27" s="34" t="inlineStr">
        <is>
          <t>Methylene blue — มีข้อห้ามใช้ในผู้ป่วย G6PD deficiency</t>
        </is>
      </c>
      <c r="E27" s="34" t="inlineStr">
        <is>
          <t>N-acetylcysteine — มีข้อห้ามใช้ในผู้ป่วยตับวาย</t>
        </is>
      </c>
      <c r="F27" s="34" t="inlineStr">
        <is>
          <t>Deferoxamine — มีข้อห้ามใช้ในผู้ป่วยโรคไต</t>
        </is>
      </c>
      <c r="G27" s="34" t="inlineStr">
        <is>
          <t>Atropine — มีข้อห้ามใช้ในผู้ป่วยโรคต้อหิน</t>
        </is>
      </c>
      <c r="H27" s="34" t="inlineStr">
        <is>
          <t>Sodium thiosulfate — มีข้อห้ามใช้ในผู้ป่วยแพ้อาหารทะเล</t>
        </is>
      </c>
      <c r="I27" s="35" t="n">
        <v>1</v>
      </c>
      <c r="J27" s="34"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45" t="n"/>
      <c r="L27" s="35" t="inlineStr">
        <is>
          <t>Methemoglobinemia</t>
        </is>
      </c>
      <c r="M27" s="35" t="inlineStr">
        <is>
          <t>Clinic</t>
        </is>
      </c>
      <c r="N27" s="34" t="inlineStr">
        <is>
          <t>Methylene blue &amp; G6PD contraindication</t>
        </is>
      </c>
    </row>
    <row r="28" ht="64.95" customHeight="1" s="49">
      <c r="A28" s="35" t="n">
        <v>26</v>
      </c>
      <c r="B28" s="34"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45" t="n"/>
      <c r="D28" s="34" t="inlineStr">
        <is>
          <t>Octreotide</t>
        </is>
      </c>
      <c r="E28" s="34" t="inlineStr">
        <is>
          <t>Glucagon</t>
        </is>
      </c>
      <c r="F28" s="34" t="inlineStr">
        <is>
          <t>Hydrocortisone</t>
        </is>
      </c>
      <c r="G28" s="34" t="inlineStr">
        <is>
          <t>Diazoxide เดี่ยวๆ แบบพ่นจมูก</t>
        </is>
      </c>
      <c r="H28" s="34" t="inlineStr">
        <is>
          <t>Metformin</t>
        </is>
      </c>
      <c r="I28" s="35" t="n">
        <v>1</v>
      </c>
      <c r="J28" s="34"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45" t="n"/>
      <c r="L28" s="35" t="inlineStr">
        <is>
          <t>Oral Hypoglycemic Overdose</t>
        </is>
      </c>
      <c r="M28" s="35" t="inlineStr">
        <is>
          <t>Clinic</t>
        </is>
      </c>
      <c r="N28" s="34" t="inlineStr">
        <is>
          <t>Sulfonylurea-induced hypoglycemia &amp; Octreotide</t>
        </is>
      </c>
    </row>
    <row r="29" ht="64.95" customHeight="1" s="49">
      <c r="A29" s="35" t="n">
        <v>27</v>
      </c>
      <c r="B29" s="34"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45" t="n"/>
      <c r="D29" s="34" t="inlineStr">
        <is>
          <t>Leucovorin (Folinic acid) สำหรับ Rescue และใช้ Glucarpidase (Voraxaze) ในการสลาย Methotrexate</t>
        </is>
      </c>
      <c r="E29" s="34" t="inlineStr">
        <is>
          <t>Folic acid สำหรับ Rescue และใช้ Urate oxidase ในการสลาย</t>
        </is>
      </c>
      <c r="F29" s="34" t="inlineStr">
        <is>
          <t>N-acetylcysteine สำหรับ Rescue และใช้ Rasburicase ในการสลาย</t>
        </is>
      </c>
      <c r="G29" s="34" t="inlineStr">
        <is>
          <t>Thiamine สำหรับ Rescue และใช้ Deferoxamine ในการสลาย</t>
        </is>
      </c>
      <c r="H29" s="34" t="inlineStr">
        <is>
          <t>Pyridoxine สำหรับ Rescue และใช้ Pegloticase ในการสลาย</t>
        </is>
      </c>
      <c r="I29" s="35" t="n">
        <v>1</v>
      </c>
      <c r="J29" s="34"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45" t="n"/>
      <c r="L29" s="35" t="inlineStr">
        <is>
          <t>Oncology Antidotes</t>
        </is>
      </c>
      <c r="M29" s="35" t="inlineStr">
        <is>
          <t>Clinic</t>
        </is>
      </c>
      <c r="N29" s="34" t="inlineStr">
        <is>
          <t>Leucovorin rescue and Glucarpidase in MTX toxicity</t>
        </is>
      </c>
    </row>
    <row r="30" ht="64.95" customHeight="1" s="49">
      <c r="A30" s="35" t="n">
        <v>28</v>
      </c>
      <c r="B30" s="34"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45" t="n"/>
      <c r="D30" s="34" t="inlineStr">
        <is>
          <t>การทำ Urine alkalinization ด้วย Sodium bicarbonate ทางหลอดเลือดดำเพื่อรักษาระดับ pH ของปัสสาวะให้อยู่ที่ 7.5-8.5 (Ion trapping)</t>
        </is>
      </c>
      <c r="E30" s="34" t="inlineStr">
        <is>
          <t>การให้ Ammonium chloride เพื่อทำปัสสาวะให้เป็นกรดเร่งการขับยา</t>
        </is>
      </c>
      <c r="F30" s="34" t="inlineStr">
        <is>
          <t>การให้สารน้ำ Isotonic saline เพียงอย่างเดียวโดยไม่ต้องปรับความเป็นกรดด่าง</t>
        </is>
      </c>
      <c r="G30" s="34" t="inlineStr">
        <is>
          <t>การให้ Furosemide ขนาดสูงเพื่อเร่งการขับปัสสาวะ (Forced diuresis)</t>
        </is>
      </c>
      <c r="H30" s="34" t="inlineStr">
        <is>
          <t>การฉีด N-acetylcysteine เพื่อจับกับ Salicylate</t>
        </is>
      </c>
      <c r="I30" s="35" t="n">
        <v>1</v>
      </c>
      <c r="J30" s="34"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45" t="n"/>
      <c r="L30" s="35" t="inlineStr">
        <is>
          <t>Salicylate Toxicity</t>
        </is>
      </c>
      <c r="M30" s="35" t="inlineStr">
        <is>
          <t>Clinic</t>
        </is>
      </c>
      <c r="N30" s="34" t="inlineStr">
        <is>
          <t>Aspirin toxicity &amp; Urine alkalinization (Ion trapping)</t>
        </is>
      </c>
    </row>
    <row r="31" ht="64.95" customHeight="1" s="49">
      <c r="A31" s="35" t="n">
        <v>29</v>
      </c>
      <c r="B31" s="34"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45" t="n"/>
      <c r="D31" s="34" t="inlineStr">
        <is>
          <t>Dexrazoxane (Totect / Savene)</t>
        </is>
      </c>
      <c r="E31" s="34" t="inlineStr">
        <is>
          <t>Hyaluronidase</t>
        </is>
      </c>
      <c r="F31" s="34" t="inlineStr">
        <is>
          <t>Sodium thiosulfate</t>
        </is>
      </c>
      <c r="G31" s="34" t="inlineStr">
        <is>
          <t>Dimercaprol</t>
        </is>
      </c>
      <c r="H31" s="34" t="inlineStr">
        <is>
          <t>Phentolamine</t>
        </is>
      </c>
      <c r="I31" s="35" t="n">
        <v>1</v>
      </c>
      <c r="J31" s="34"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45" t="n"/>
      <c r="L31" s="35" t="inlineStr">
        <is>
          <t>Chemotherapy Extravasation</t>
        </is>
      </c>
      <c r="M31" s="35" t="inlineStr">
        <is>
          <t>Clinic</t>
        </is>
      </c>
      <c r="N31" s="34" t="inlineStr">
        <is>
          <t>Anthracycline extravasation antidote (Dexrazoxane)</t>
        </is>
      </c>
    </row>
    <row r="32" ht="64.95" customHeight="1" s="49">
      <c r="A32" s="35" t="n">
        <v>30</v>
      </c>
      <c r="B32" s="34"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45" t="n"/>
      <c r="D32" s="34" t="inlineStr">
        <is>
          <t>Cyproheptadine</t>
        </is>
      </c>
      <c r="E32" s="34" t="inlineStr">
        <is>
          <t>Bromocriptine</t>
        </is>
      </c>
      <c r="F32" s="34" t="inlineStr">
        <is>
          <t>Dantrolene</t>
        </is>
      </c>
      <c r="G32" s="34" t="inlineStr">
        <is>
          <t>Flumazenil</t>
        </is>
      </c>
      <c r="H32" s="34" t="inlineStr">
        <is>
          <t>Naloxone</t>
        </is>
      </c>
      <c r="I32" s="35" t="n">
        <v>1</v>
      </c>
      <c r="J32" s="34"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45" t="n"/>
      <c r="L32" s="35" t="inlineStr">
        <is>
          <t>Serotonin Syndrome</t>
        </is>
      </c>
      <c r="M32" s="35" t="inlineStr">
        <is>
          <t>Clinic</t>
        </is>
      </c>
      <c r="N32" s="34" t="inlineStr">
        <is>
          <t>Hunter Criteria &amp; Cyproheptadine</t>
        </is>
      </c>
    </row>
    <row r="33" ht="64.95" customHeight="1" s="49">
      <c r="A33" s="35" t="n">
        <v>31</v>
      </c>
      <c r="B33" s="34"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45" t="n"/>
      <c r="D33" s="34" t="inlineStr">
        <is>
          <t>หยุดยา Warfarin ชั่วคราว 1-2 ครั้ง ให้รับประทาน Oral Vitamin K1 ขนาดต่ำ 1-2.5 mg และตรวจติดตามค่า INR อย่างใกล้ชิด</t>
        </is>
      </c>
      <c r="E33" s="34" t="inlineStr">
        <is>
          <t>ฉีด Vitamin K1 10 mg ทางหลอดเลือดดำทันที</t>
        </is>
      </c>
      <c r="F33" s="34" t="inlineStr">
        <is>
          <t>ให้ 4-Factor Prothrombin Complex Concentrate (PCC) ทันที</t>
        </is>
      </c>
      <c r="G33" s="34" t="inlineStr">
        <is>
          <t>ให้ Fresh Frozen Plasma (FFP) 2 ยูนิต</t>
        </is>
      </c>
      <c r="H33" s="34" t="inlineStr">
        <is>
          <t>รับประทานยา Warfarin ในขนาดเดิมต่อไปโดยไม่ต้องปรับยาเนื่องจากไม่มีอาการเลือดออก</t>
        </is>
      </c>
      <c r="I33" s="35" t="n">
        <v>1</v>
      </c>
      <c r="J33" s="34"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45" t="n"/>
      <c r="L33" s="35" t="inlineStr">
        <is>
          <t>Anticoagulant Reversal</t>
        </is>
      </c>
      <c r="M33" s="35" t="inlineStr">
        <is>
          <t>Clinic</t>
        </is>
      </c>
      <c r="N33" s="34" t="inlineStr">
        <is>
          <t>Asymptomatic high INR management</t>
        </is>
      </c>
    </row>
    <row r="34" ht="64.95" customHeight="1" s="49">
      <c r="A34" s="35" t="n">
        <v>32</v>
      </c>
      <c r="B34" s="34"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45" t="n"/>
      <c r="D34" s="34" t="inlineStr">
        <is>
          <t>Calcium oxalate crystals เกิดจากสารพิษ Ethylene glycol</t>
        </is>
      </c>
      <c r="E34" s="34" t="inlineStr">
        <is>
          <t>Hippuric acid crystals เกิดจากสารพิษ Toluene</t>
        </is>
      </c>
      <c r="F34" s="34" t="inlineStr">
        <is>
          <t>Uric acid crystals เกิดจากสารพิษ Allopurinol</t>
        </is>
      </c>
      <c r="G34" s="34" t="inlineStr">
        <is>
          <t>Struvite crystals เกิดจากการติดเชื้อ Proteus mirabilis</t>
        </is>
      </c>
      <c r="H34" s="34" t="inlineStr">
        <is>
          <t>Cysteine crystals เกิดจากภาวะ Cystinuria</t>
        </is>
      </c>
      <c r="I34" s="35" t="n">
        <v>1</v>
      </c>
      <c r="J34" s="34"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45" t="n"/>
      <c r="L34" s="35" t="inlineStr">
        <is>
          <t>Toxic Alcohol</t>
        </is>
      </c>
      <c r="M34" s="35" t="inlineStr">
        <is>
          <t>Clinic</t>
        </is>
      </c>
      <c r="N34" s="34" t="inlineStr">
        <is>
          <t>Calcium oxalate crystals in Ethylene glycol poisoning</t>
        </is>
      </c>
    </row>
    <row r="35" ht="64.95" customHeight="1" s="49">
      <c r="A35" s="35" t="n">
        <v>33</v>
      </c>
      <c r="B35" s="34"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45" t="n"/>
      <c r="D35" s="34" t="inlineStr">
        <is>
          <t>20% Intravenous Lipid Emulsion (Intralipid)</t>
        </is>
      </c>
      <c r="E35" s="34" t="inlineStr">
        <is>
          <t>Sodium bicarbonate</t>
        </is>
      </c>
      <c r="F35" s="34" t="inlineStr">
        <is>
          <t>Calcium chloride</t>
        </is>
      </c>
      <c r="G35" s="34" t="inlineStr">
        <is>
          <t>Flumazenil</t>
        </is>
      </c>
      <c r="H35" s="34" t="inlineStr">
        <is>
          <t>Methylene blue</t>
        </is>
      </c>
      <c r="I35" s="35" t="n">
        <v>1</v>
      </c>
      <c r="J35" s="34"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ตามแนวทางของสมาคมวิสัญญีแพทย์สากล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45" t="n"/>
      <c r="L35" s="35" t="inlineStr">
        <is>
          <t>Local Anesthetic Toxicity</t>
        </is>
      </c>
      <c r="M35" s="35" t="inlineStr">
        <is>
          <t>Clinic</t>
        </is>
      </c>
      <c r="N35" s="34" t="inlineStr">
        <is>
          <t>LAST &amp; 20% Lipid Emulsion</t>
        </is>
      </c>
    </row>
    <row r="36" ht="64.95" customHeight="1" s="49">
      <c r="A36" s="35" t="n">
        <v>34</v>
      </c>
      <c r="B36" s="34"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45" t="n"/>
      <c r="D36" s="34" t="inlineStr">
        <is>
          <t>Sodium bicarbonate (NaHCO3) 8.4% IV push</t>
        </is>
      </c>
      <c r="E36" s="34" t="inlineStr">
        <is>
          <t>Amiodarone IV infusion</t>
        </is>
      </c>
      <c r="F36" s="34" t="inlineStr">
        <is>
          <t>Physostigmine IV</t>
        </is>
      </c>
      <c r="G36" s="34" t="inlineStr">
        <is>
          <t>Phenytoin IV infusion</t>
        </is>
      </c>
      <c r="H36" s="34" t="inlineStr">
        <is>
          <t>Procainamide IV</t>
        </is>
      </c>
      <c r="I36" s="35" t="n">
        <v>1</v>
      </c>
      <c r="J36" s="34"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45" t="n"/>
      <c r="L36" s="35" t="inlineStr">
        <is>
          <t>Antidepressant Toxicity</t>
        </is>
      </c>
      <c r="M36" s="35" t="inlineStr">
        <is>
          <t>Clinic</t>
        </is>
      </c>
      <c r="N36" s="34" t="inlineStr">
        <is>
          <t>TCA toxicity &amp; Sodium bicarbonate (QRS narrowing)</t>
        </is>
      </c>
    </row>
    <row r="37" ht="64.95" customHeight="1" s="49">
      <c r="A37" s="35" t="n">
        <v>35</v>
      </c>
      <c r="B37" s="34"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45" t="n"/>
      <c r="D37" s="34" t="inlineStr">
        <is>
          <t>L-carnitine (Levocarnitine)</t>
        </is>
      </c>
      <c r="E37" s="34" t="inlineStr">
        <is>
          <t>N-acetylcysteine</t>
        </is>
      </c>
      <c r="F37" s="34" t="inlineStr">
        <is>
          <t>Lactulose ร่วมกับ Neomycin เท่านั้น</t>
        </is>
      </c>
      <c r="G37" s="34" t="inlineStr">
        <is>
          <t>Thiamine</t>
        </is>
      </c>
      <c r="H37" s="34" t="inlineStr">
        <is>
          <t>Pyridoxine</t>
        </is>
      </c>
      <c r="I37" s="35" t="n">
        <v>1</v>
      </c>
      <c r="J37" s="34"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45" t="n"/>
      <c r="L37" s="35" t="inlineStr">
        <is>
          <t>Antiepileptic Drug Overdose</t>
        </is>
      </c>
      <c r="M37" s="35" t="inlineStr">
        <is>
          <t>Clinic</t>
        </is>
      </c>
      <c r="N37" s="34" t="inlineStr">
        <is>
          <t>Valproate-induced hyperammonemia &amp; L-carnitine</t>
        </is>
      </c>
    </row>
    <row r="38" ht="64.95" customHeight="1" s="49">
      <c r="A38" s="35" t="n">
        <v>36</v>
      </c>
      <c r="B38" s="34"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45" t="n"/>
      <c r="D38" s="34" t="inlineStr">
        <is>
          <t>การทำให้อาเจียน, การล้างกระเพาะอาหาร (Gastric lavage), การให้สารสะเทินกรด (Neutralization ด้วยด่าง), และการให้ Activated charcoal</t>
        </is>
      </c>
      <c r="E38" s="34" t="inlineStr">
        <is>
          <t>การให้ผู้ป่วยงดน้ำและอาหาร (NPO) ทางปาก</t>
        </is>
      </c>
      <c r="F38" s="34" t="inlineStr">
        <is>
          <t>การให้สารน้ำทางหลอดเลือดดำและยาแก้ปวดอย่างเหมาะสม</t>
        </is>
      </c>
      <c r="G38" s="34" t="inlineStr">
        <is>
          <t>การปรึกษาแพทย์ศัลยกรรมหรือทางเดินอาหารเพื่อส่องกล้อง Esophagogastroduodenoscopy (EGD) ภายใน 24-48 ชั่วโมง</t>
        </is>
      </c>
      <c r="H38" s="34" t="inlineStr">
        <is>
          <t>การตรวจประเมินทางเดินหายใจอย่างใกล้ชิด</t>
        </is>
      </c>
      <c r="I38" s="35" t="n">
        <v>1</v>
      </c>
      <c r="J38" s="34"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45" t="n"/>
      <c r="L38" s="35" t="inlineStr">
        <is>
          <t>Corrosive / Caustic Ingestion</t>
        </is>
      </c>
      <c r="M38" s="35" t="inlineStr">
        <is>
          <t>Clinic</t>
        </is>
      </c>
      <c r="N38" s="34" t="inlineStr">
        <is>
          <t>Contraindications in caustic ingestion</t>
        </is>
      </c>
    </row>
    <row r="39" ht="64.95" customHeight="1" s="49">
      <c r="A39" s="35" t="n">
        <v>37</v>
      </c>
      <c r="B39" s="34"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45" t="n"/>
      <c r="D39" s="34" t="inlineStr">
        <is>
          <t>Physostigmine</t>
        </is>
      </c>
      <c r="E39" s="34" t="inlineStr">
        <is>
          <t>Neostigmine</t>
        </is>
      </c>
      <c r="F39" s="34" t="inlineStr">
        <is>
          <t>Pyridostigmine</t>
        </is>
      </c>
      <c r="G39" s="34" t="inlineStr">
        <is>
          <t>Atropine</t>
        </is>
      </c>
      <c r="H39" s="34" t="inlineStr">
        <is>
          <t>Pralidoxime</t>
        </is>
      </c>
      <c r="I39" s="35" t="n">
        <v>1</v>
      </c>
      <c r="J39" s="34"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45" t="n"/>
      <c r="L39" s="35" t="inlineStr">
        <is>
          <t>Plant Toxicology</t>
        </is>
      </c>
      <c r="M39" s="35" t="inlineStr">
        <is>
          <t>Clinic</t>
        </is>
      </c>
      <c r="N39" s="34" t="inlineStr">
        <is>
          <t>Anticholinergic toxidrome &amp; Physostigmine</t>
        </is>
      </c>
    </row>
    <row r="40" ht="64.95" customHeight="1" s="49">
      <c r="A40" s="35" t="n">
        <v>38</v>
      </c>
      <c r="B40" s="34"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45" t="n"/>
      <c r="D40" s="34" t="inlineStr">
        <is>
          <t>Hydrogen sulfide (H2S) — รักษาด้วย Sodium nitrite หรือ Amyl nitrite (ห้ามให้ Sodium thiosulfate)</t>
        </is>
      </c>
      <c r="E40" s="34" t="inlineStr">
        <is>
          <t>Methane — รักษาด้วย ออกซิเจน 100%</t>
        </is>
      </c>
      <c r="F40" s="34" t="inlineStr">
        <is>
          <t>Carbon monoxide — รักษาด้วย Methylene blue</t>
        </is>
      </c>
      <c r="G40" s="34" t="inlineStr">
        <is>
          <t>Ammonia — รักษาด้วย Sodium bicarbonate</t>
        </is>
      </c>
      <c r="H40" s="34" t="inlineStr">
        <is>
          <t>Chlorine — รักษาด้วย N-acetylcysteine</t>
        </is>
      </c>
      <c r="I40" s="35" t="n">
        <v>1</v>
      </c>
      <c r="J40" s="34"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45" t="n"/>
      <c r="L40" s="35" t="inlineStr">
        <is>
          <t>Inhalation Toxicology</t>
        </is>
      </c>
      <c r="M40" s="35" t="inlineStr">
        <is>
          <t>Clinic</t>
        </is>
      </c>
      <c r="N40" s="34" t="inlineStr">
        <is>
          <t>Hydrogen sulfide poisoning &amp; Nitrites</t>
        </is>
      </c>
    </row>
    <row r="41" ht="64.95" customHeight="1" s="49">
      <c r="A41" s="35" t="n">
        <v>39</v>
      </c>
      <c r="B41" s="34"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45" t="n"/>
      <c r="D41" s="34" t="inlineStr">
        <is>
          <t>ผู้ลักลอบกลืนห่อยาเสพติดเข้าสู่ร่างกาย (Body packers) หรือการกลืนยาเม็ดชนิดออกฤทธิ์เนิ่นปริมาณมาก (Sustained-release drugs เช่น Verapamil SR)</t>
        </is>
      </c>
      <c r="E41" s="34" t="inlineStr">
        <is>
          <t>การรับประทานยานอนหลับ Diazepam ชนิดน้ำ</t>
        </is>
      </c>
      <c r="F41" s="34" t="inlineStr">
        <is>
          <t>การกลืนสารกัดกร่อนกรดกำมะถันรุนแรง</t>
        </is>
      </c>
      <c r="G41" s="34" t="inlineStr">
        <is>
          <t>ผู้ป่วยที่มีภาวะลำไส้อุดตัน (Bowel obstruction) หรือลำไส้ทะลุ</t>
        </is>
      </c>
      <c r="H41" s="34" t="inlineStr">
        <is>
          <t>การรับประทานยาพาราเซตามอลชนิดเม็ดธรรมดาภายใน 1 ชั่วโมง</t>
        </is>
      </c>
      <c r="I41" s="35" t="n">
        <v>1</v>
      </c>
      <c r="J41" s="34"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45" t="n"/>
      <c r="L41" s="35" t="inlineStr">
        <is>
          <t>Gastrointestinal Decontamination</t>
        </is>
      </c>
      <c r="M41" s="35" t="inlineStr">
        <is>
          <t>Product</t>
        </is>
      </c>
      <c r="N41" s="34" t="inlineStr">
        <is>
          <t>Whole bowel irrigation indications &amp; contraindications</t>
        </is>
      </c>
    </row>
    <row r="42" ht="64.95" customHeight="1" s="49">
      <c r="A42" s="35" t="n">
        <v>40</v>
      </c>
      <c r="B42" s="34"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45" t="n"/>
      <c r="D42" s="34" t="inlineStr">
        <is>
          <t>โลหะหนัก (Iron, Lead, Lithium), แอลกอฮอล์ (Ethanol, Methanol), กรดแก่-ด่างแก่, และเกลือแร่โพแทสเซียม</t>
        </is>
      </c>
      <c r="E42" s="34" t="inlineStr">
        <is>
          <t>Paracetamol, Carbamazepine, Theophylline, Phenobarbital</t>
        </is>
      </c>
      <c r="F42" s="34" t="inlineStr">
        <is>
          <t>Dapsone, Quinine, Digoxin, Amitriptyline</t>
        </is>
      </c>
      <c r="G42" s="34" t="inlineStr">
        <is>
          <t>Aspirin, Propranolol, Phenytoin, Diazepam</t>
        </is>
      </c>
      <c r="H42" s="34" t="inlineStr">
        <is>
          <t>Chlorpheniramine, Dextromethorphan, Tramadol</t>
        </is>
      </c>
      <c r="I42" s="35" t="n">
        <v>1</v>
      </c>
      <c r="J42" s="34"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45" t="n"/>
      <c r="L42" s="35" t="inlineStr">
        <is>
          <t>Gastrointestinal Decontamination</t>
        </is>
      </c>
      <c r="M42" s="35" t="inlineStr">
        <is>
          <t>Product</t>
        </is>
      </c>
      <c r="N42" s="34" t="inlineStr">
        <is>
          <t>Substances NOT absorbed by Activated Charcoal (PHAILS mnemonic)</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21.6" customHeight="1" s="49">
      <c r="A3" s="15" t="n">
        <v>1</v>
      </c>
      <c r="B3" s="2" t="inlineStr">
        <is>
          <t>ในการหาปริมาณตัวยาสำคัญ Paracetamol raw material ตามตำรับยา Pharmacopoeia ใช้วิธีไทเทรตแบบใด?</t>
        </is>
      </c>
      <c r="C3" s="2" t="n"/>
      <c r="D3" s="2" t="inlineStr">
        <is>
          <t>Acid-Base Titration in aqueous medium</t>
        </is>
      </c>
      <c r="E3" s="2" t="inlineStr">
        <is>
          <t>Nonaqueous Titration with Perchloric acid</t>
        </is>
      </c>
      <c r="F3" s="2" t="inlineStr">
        <is>
          <t>Redox Titration with Ceric ammonium sulfate (หลัง acid hydrolysis)</t>
        </is>
      </c>
      <c r="G3" s="2" t="inlineStr">
        <is>
          <t>Complexometric Titration with EDTA</t>
        </is>
      </c>
      <c r="H3" s="2" t="inlineStr">
        <is>
          <t>Precipitation Titration with Silver nitrate</t>
        </is>
      </c>
      <c r="I3" s="2" t="n">
        <v>3</v>
      </c>
      <c r="J3" s="2"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Redox titration</t>
        </is>
      </c>
      <c r="M3" s="2" t="inlineStr">
        <is>
          <t>Product</t>
        </is>
      </c>
      <c r="N3" s="2" t="inlineStr">
        <is>
          <t>British Pharmacopoeia / Thai Pharmacopoeia</t>
        </is>
      </c>
      <c r="O3" s="2" t="inlineStr">
        <is>
          <t>ข้อสอบจริง</t>
        </is>
      </c>
      <c r="P3" s="2" t="n">
        <v>2567</v>
      </c>
    </row>
    <row r="4" ht="13.2" customHeight="1" s="49">
      <c r="A4" s="8" t="inlineStr">
        <is>
          <t>3</t>
        </is>
      </c>
      <c r="B4" s="2"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2" t="n"/>
      <c r="D4" s="2" t="inlineStr">
        <is>
          <t>Citric acid (สารปรับ pH กรดและ chelating agent)</t>
        </is>
      </c>
      <c r="E4" s="2" t="inlineStr">
        <is>
          <t>Disodium EDTA (สารคีเลตดักจับประจุโลหะ)</t>
        </is>
      </c>
      <c r="F4" s="2" t="inlineStr">
        <is>
          <t>Paraben (สารกันเสีย antimicrobial preservative)</t>
        </is>
      </c>
      <c r="G4" s="2" t="inlineStr">
        <is>
          <t>Sodium metabisulfite (สารต้านออกซิเดชัน antioxidant)</t>
        </is>
      </c>
      <c r="H4" s="2" t="inlineStr">
        <is>
          <t>Sucrose (น้ำตาลซูโครสความเข้มข้นสูง)</t>
        </is>
      </c>
      <c r="I4" s="8" t="inlineStr">
        <is>
          <t>3</t>
        </is>
      </c>
      <c r="J4" s="2"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2" t="inlineStr">
        <is>
          <t>Liquid Dosage Forms &amp; Formulation</t>
        </is>
      </c>
      <c r="L4" s="2" t="inlineStr">
        <is>
          <t>ข้อสอบ Product (Ferrous Sulfate Syrup Formulation)</t>
        </is>
      </c>
      <c r="M4" s="2" t="inlineStr">
        <is>
          <t>Titration</t>
        </is>
      </c>
      <c r="N4" s="2" t="inlineStr">
        <is>
          <t>Mock PLE-CC 1 ข้อ 57</t>
        </is>
      </c>
      <c r="O4" s="2" t="inlineStr">
        <is>
          <t>Mock</t>
        </is>
      </c>
      <c r="P4" s="2" t="inlineStr">
        <is>
          <t>Mock RxCU83</t>
        </is>
      </c>
      <c r="Q4" s="2" t="n"/>
    </row>
    <row r="5" ht="13.2" customHeight="1" s="49">
      <c r="A5" s="8" t="inlineStr">
        <is>
          <t>4</t>
        </is>
      </c>
      <c r="B5" s="2"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2" t="n"/>
      <c r="D5" s="2" t="inlineStr">
        <is>
          <t>Acid-base titration</t>
        </is>
      </c>
      <c r="E5" s="2" t="inlineStr">
        <is>
          <t>Redox titration (ไทเทรตด้วยสารละลายมาตรฐาน Ceric ammonium sulfate)</t>
        </is>
      </c>
      <c r="F5" s="2" t="inlineStr">
        <is>
          <t>Complexometric titration (ไทเทรตด้วย EDTA)</t>
        </is>
      </c>
      <c r="G5" s="2" t="inlineStr">
        <is>
          <t>Gravimetric titration</t>
        </is>
      </c>
      <c r="H5" s="2" t="inlineStr">
        <is>
          <t>Colorimetric titration</t>
        </is>
      </c>
      <c r="I5" s="8" t="inlineStr">
        <is>
          <t>2</t>
        </is>
      </c>
      <c r="J5" s="2"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2" t="inlineStr">
        <is>
          <t>Redox Titration</t>
        </is>
      </c>
      <c r="L5" s="2" t="inlineStr">
        <is>
          <t>ข้อสอบ Product (Assay of Ferrous Salts)</t>
        </is>
      </c>
      <c r="M5" s="2" t="inlineStr">
        <is>
          <t>Titration</t>
        </is>
      </c>
      <c r="N5" s="2" t="inlineStr">
        <is>
          <t>Mock PLE-CC 1 ข้อ 62</t>
        </is>
      </c>
      <c r="O5" s="2" t="inlineStr">
        <is>
          <t>Mock</t>
        </is>
      </c>
      <c r="P5" s="2" t="inlineStr">
        <is>
          <t>Mock RxCU83</t>
        </is>
      </c>
      <c r="Q5" s="2" t="n"/>
    </row>
    <row r="6" ht="13.2" customHeight="1" s="49">
      <c r="A6" s="8" t="inlineStr">
        <is>
          <t>5</t>
        </is>
      </c>
      <c r="B6" s="2"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2" t="n"/>
      <c r="D6" s="2" t="inlineStr">
        <is>
          <t>Direct titration</t>
        </is>
      </c>
      <c r="E6" s="2" t="inlineStr">
        <is>
          <t>Residual (Back) titration</t>
        </is>
      </c>
      <c r="F6" s="2" t="inlineStr">
        <is>
          <t>Complexometric titration</t>
        </is>
      </c>
      <c r="G6" s="2" t="inlineStr">
        <is>
          <t>Precipitation titration</t>
        </is>
      </c>
      <c r="H6" s="2" t="inlineStr">
        <is>
          <t>Non-aqueous acid-base titration</t>
        </is>
      </c>
      <c r="I6" s="8" t="inlineStr">
        <is>
          <t>2</t>
        </is>
      </c>
      <c r="J6" s="2"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2" t="inlineStr">
        <is>
          <t>Acid-Base Titration</t>
        </is>
      </c>
      <c r="L6" s="2" t="inlineStr">
        <is>
          <t>ข้อสอบจริง PLE CC 1 ปี 2566 Day 1 ข้อ 23</t>
        </is>
      </c>
      <c r="M6" s="2" t="inlineStr">
        <is>
          <t>Titration</t>
        </is>
      </c>
      <c r="N6" s="2" t="inlineStr">
        <is>
          <t>PLE-CC1 ปี 2566 Day 1 ข้อ 1</t>
        </is>
      </c>
      <c r="O6" s="2" t="inlineStr">
        <is>
          <t>ข้อสอบจริง</t>
        </is>
      </c>
      <c r="P6" s="2" t="inlineStr">
        <is>
          <t>ปี 2566</t>
        </is>
      </c>
      <c r="Q6" s="2" t="n"/>
    </row>
    <row r="7" ht="13.2" customHeight="1" s="49">
      <c r="A7" s="8" t="inlineStr">
        <is>
          <t>6</t>
        </is>
      </c>
      <c r="B7" s="2"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2" t="n"/>
      <c r="D7" s="2" t="inlineStr">
        <is>
          <t>Redox titration (Oxidation-Reduction)</t>
        </is>
      </c>
      <c r="E7" s="2" t="inlineStr">
        <is>
          <t>Precipitation titration (Argentometry)</t>
        </is>
      </c>
      <c r="F7" s="2" t="inlineStr">
        <is>
          <t>Complexometric titration (EDTA)</t>
        </is>
      </c>
      <c r="G7" s="2" t="inlineStr">
        <is>
          <t>Acid-base neutralization titration</t>
        </is>
      </c>
      <c r="H7" s="2" t="inlineStr">
        <is>
          <t>Non-aqueous titration</t>
        </is>
      </c>
      <c r="I7" s="8" t="inlineStr">
        <is>
          <t>1</t>
        </is>
      </c>
      <c r="J7" s="2"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2" t="inlineStr">
        <is>
          <t>Redox Titration</t>
        </is>
      </c>
      <c r="L7" s="2" t="inlineStr">
        <is>
          <t>ข้อสอบจริง PLE CC 1 ปี 2566 Day 1 ข้อ 24</t>
        </is>
      </c>
      <c r="M7" s="2" t="inlineStr">
        <is>
          <t>Titration</t>
        </is>
      </c>
      <c r="N7" s="2" t="inlineStr">
        <is>
          <t>PLE-CC1 ปี 2566 Day 1 ข้อ 2</t>
        </is>
      </c>
      <c r="O7" s="2" t="inlineStr">
        <is>
          <t>ข้อสอบจริง</t>
        </is>
      </c>
      <c r="P7" s="2" t="inlineStr">
        <is>
          <t>ปี 2566</t>
        </is>
      </c>
      <c r="Q7" s="2" t="n"/>
    </row>
    <row r="8" ht="13.2" customHeight="1" s="49">
      <c r="A8" s="8" t="inlineStr">
        <is>
          <t>7</t>
        </is>
      </c>
      <c r="B8" s="2"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2" t="n"/>
      <c r="D8" s="2" t="inlineStr">
        <is>
          <t>Precipitation titration (Fajans method)</t>
        </is>
      </c>
      <c r="E8" s="2" t="inlineStr">
        <is>
          <t>Precipitation titration (Mohr method)</t>
        </is>
      </c>
      <c r="F8" s="2" t="inlineStr">
        <is>
          <t>Precipitation titration (Volhard method)</t>
        </is>
      </c>
      <c r="G8" s="2" t="inlineStr">
        <is>
          <t>Complexometric titration</t>
        </is>
      </c>
      <c r="H8" s="2" t="inlineStr">
        <is>
          <t>Acid-base neutralization titration</t>
        </is>
      </c>
      <c r="I8" s="8" t="inlineStr">
        <is>
          <t>1</t>
        </is>
      </c>
      <c r="J8" s="2"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2" t="inlineStr">
        <is>
          <t>Precipitation Titration</t>
        </is>
      </c>
      <c r="L8" s="2" t="inlineStr">
        <is>
          <t>ข้อสอบจริง PLE CC 1 ปี 2566 Day 2 ข้อ 88</t>
        </is>
      </c>
      <c r="M8" s="2" t="inlineStr">
        <is>
          <t>Titration</t>
        </is>
      </c>
      <c r="N8" s="2" t="inlineStr">
        <is>
          <t>PLE-CC1 ปี 2566 Day 1 ข้อ 4</t>
        </is>
      </c>
      <c r="O8" s="2" t="inlineStr">
        <is>
          <t>ข้อสอบจริง</t>
        </is>
      </c>
      <c r="P8" s="2" t="inlineStr">
        <is>
          <t>ปี 2566</t>
        </is>
      </c>
      <c r="Q8" s="2" t="n"/>
    </row>
    <row r="9" ht="13.2" customHeight="1" s="49">
      <c r="A9" s="8" t="inlineStr">
        <is>
          <t>8</t>
        </is>
      </c>
      <c r="B9" s="2"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2" t="n"/>
      <c r="D9" s="2" t="inlineStr">
        <is>
          <t>Non-aqueous acid-base titration (การไตเตรทกรด-เบสในตัวทำละลายปราศจากน้ำ)</t>
        </is>
      </c>
      <c r="E9" s="2" t="inlineStr">
        <is>
          <t>Aqueous acid-base neutralization</t>
        </is>
      </c>
      <c r="F9" s="2" t="inlineStr">
        <is>
          <t>Precipitation titration (Argentometry)</t>
        </is>
      </c>
      <c r="G9" s="2" t="inlineStr">
        <is>
          <t>Complexometric titration</t>
        </is>
      </c>
      <c r="H9" s="2" t="inlineStr">
        <is>
          <t>Redox titration</t>
        </is>
      </c>
      <c r="I9" s="8" t="inlineStr">
        <is>
          <t>1</t>
        </is>
      </c>
      <c r="J9" s="2"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2" t="inlineStr">
        <is>
          <t>Acid-Base Titration (Non-aqueous)</t>
        </is>
      </c>
      <c r="L9" s="2" t="inlineStr">
        <is>
          <t>ข้อสอบจริง PLE CC 1 ปี 2563 (BP Acyclovir Monograph)</t>
        </is>
      </c>
      <c r="M9" s="2" t="inlineStr">
        <is>
          <t>Titration</t>
        </is>
      </c>
      <c r="N9" s="2" t="inlineStr">
        <is>
          <t>PLE-CC1 ปี 2566 Day 2 ข้อ 1</t>
        </is>
      </c>
      <c r="O9" s="2" t="inlineStr">
        <is>
          <t>ข้อสอบจริง</t>
        </is>
      </c>
      <c r="P9" s="2" t="inlineStr">
        <is>
          <t>ปี 2566</t>
        </is>
      </c>
      <c r="Q9" s="2" t="n"/>
    </row>
    <row r="10" ht="13.2" customHeight="1" s="49">
      <c r="A10" s="8" t="inlineStr">
        <is>
          <t>9</t>
        </is>
      </c>
      <c r="B10" s="2"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2" t="n"/>
      <c r="D10" s="2" t="inlineStr">
        <is>
          <t>Volhard method (การไตเตรทแบบย้อนกลับในสภาวะกรด)</t>
        </is>
      </c>
      <c r="E10" s="2" t="inlineStr">
        <is>
          <t>Mohr method (การไตเตรทโดยตรงในสภาวะเป็นกลาง)</t>
        </is>
      </c>
      <c r="F10" s="2" t="inlineStr">
        <is>
          <t>Fajans method (การไตเตรทโดยใช้อินดิเคเตอร์ดูดซับ)</t>
        </is>
      </c>
      <c r="G10" s="2" t="inlineStr">
        <is>
          <t>Direct acid-base titration</t>
        </is>
      </c>
      <c r="H10" s="2" t="inlineStr">
        <is>
          <t>Complexometric titration</t>
        </is>
      </c>
      <c r="I10" s="8" t="inlineStr">
        <is>
          <t>1</t>
        </is>
      </c>
      <c r="J10" s="2"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2" t="inlineStr">
        <is>
          <t>Precipitation Titration</t>
        </is>
      </c>
      <c r="L10" s="2" t="inlineStr">
        <is>
          <t>ข้อสอบ Product (Volhard Method &amp; Argentometry)</t>
        </is>
      </c>
      <c r="M10" s="2" t="inlineStr">
        <is>
          <t>Titration</t>
        </is>
      </c>
      <c r="N10" s="2" t="inlineStr">
        <is>
          <t>PLE-CC1 ปี 2566 Day 2 ข้อ 2</t>
        </is>
      </c>
      <c r="O10" s="2" t="inlineStr">
        <is>
          <t>ข้อสอบจริง</t>
        </is>
      </c>
      <c r="P10" s="2" t="inlineStr">
        <is>
          <t>ปี 2566</t>
        </is>
      </c>
      <c r="Q10" s="2" t="n"/>
    </row>
    <row r="11" ht="13.2" customHeight="1" s="49">
      <c r="A11" s="8" t="inlineStr">
        <is>
          <t>10</t>
        </is>
      </c>
      <c r="B11" s="2"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2" t="n"/>
      <c r="D11" s="2" t="inlineStr">
        <is>
          <t>Hydroxynaphthol blue (หรือ Calconcarboxylic acid / Murexide)</t>
        </is>
      </c>
      <c r="E11" s="2" t="inlineStr">
        <is>
          <t>Phenolphthalein</t>
        </is>
      </c>
      <c r="F11" s="2" t="inlineStr">
        <is>
          <t>Methyl orange</t>
        </is>
      </c>
      <c r="G11" s="2" t="inlineStr">
        <is>
          <t>Ferroin</t>
        </is>
      </c>
      <c r="H11" s="2" t="inlineStr">
        <is>
          <t>Potassium chromate</t>
        </is>
      </c>
      <c r="I11" s="8" t="inlineStr">
        <is>
          <t>1</t>
        </is>
      </c>
      <c r="J11" s="2"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2" t="inlineStr">
        <is>
          <t>Complexometric Titration</t>
        </is>
      </c>
      <c r="L11" s="2" t="inlineStr">
        <is>
          <t>ข้อสอบ Product (EDTA Calcium Carbonate Assay)</t>
        </is>
      </c>
      <c r="M11" s="2" t="inlineStr">
        <is>
          <t>Titration</t>
        </is>
      </c>
      <c r="N11" s="2" t="inlineStr">
        <is>
          <t>PLE-CC1 ปี 2566 Day 2 ข้อ 3</t>
        </is>
      </c>
      <c r="O11" s="2" t="inlineStr">
        <is>
          <t>ข้อสอบจริง</t>
        </is>
      </c>
      <c r="P11" s="2" t="inlineStr">
        <is>
          <t>ปี 2566</t>
        </is>
      </c>
      <c r="Q11" s="2" t="n"/>
    </row>
    <row r="12" ht="13.2" customHeight="1" s="49">
      <c r="A12" s="8" t="inlineStr">
        <is>
          <t>11</t>
        </is>
      </c>
      <c r="B12" s="2"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2" t="n"/>
      <c r="D12" s="2" t="inlineStr">
        <is>
          <t>Iodimetry (Direct redox titration with Iodine)</t>
        </is>
      </c>
      <c r="E12" s="2" t="inlineStr">
        <is>
          <t>Iodometry (Indirect redox titration via I2 liberation and Thiosulfate)</t>
        </is>
      </c>
      <c r="F12" s="2" t="inlineStr">
        <is>
          <t>Permanganometry</t>
        </is>
      </c>
      <c r="G12" s="2" t="inlineStr">
        <is>
          <t>Biamperometric titration</t>
        </is>
      </c>
      <c r="H12" s="2" t="inlineStr">
        <is>
          <t>Complexometric titration</t>
        </is>
      </c>
      <c r="I12" s="8" t="inlineStr">
        <is>
          <t>1</t>
        </is>
      </c>
      <c r="J12" s="2"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2" t="inlineStr">
        <is>
          <t>Redox Titration</t>
        </is>
      </c>
      <c r="L12" s="2" t="inlineStr">
        <is>
          <t>ข้อสอบ Product (Iodimetry vs Iodometry Principles)</t>
        </is>
      </c>
      <c r="M12" s="2" t="inlineStr">
        <is>
          <t>Titration</t>
        </is>
      </c>
      <c r="N12" s="2" t="inlineStr">
        <is>
          <t>PLE-CC1 ปี 2566 Day 2 ข้อ 4</t>
        </is>
      </c>
      <c r="O12" s="2" t="inlineStr">
        <is>
          <t>ข้อสอบจริง</t>
        </is>
      </c>
      <c r="P12" s="2" t="inlineStr">
        <is>
          <t>ปี 2566</t>
        </is>
      </c>
      <c r="Q12" s="2" t="n"/>
    </row>
    <row r="13" ht="13.2" customHeight="1" s="49">
      <c r="A13" s="2" t="n">
        <v>11</v>
      </c>
      <c r="B13" s="2"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2" t="n"/>
      <c r="D13" s="2" t="inlineStr">
        <is>
          <t>Precipitation titration</t>
        </is>
      </c>
      <c r="E13" s="2" t="inlineStr">
        <is>
          <t>Complexometric titration (ไทเทรตด้วยสารละลายมาตรฐาน Disodium EDTA)</t>
        </is>
      </c>
      <c r="F13" s="2" t="inlineStr">
        <is>
          <t>Karl Fischer titration</t>
        </is>
      </c>
      <c r="G13" s="2" t="inlineStr">
        <is>
          <t>Fluorescence spectroscopy</t>
        </is>
      </c>
      <c r="H13" s="2" t="inlineStr">
        <is>
          <t>Infrared spectroscopy</t>
        </is>
      </c>
      <c r="I13" s="8" t="inlineStr">
        <is>
          <t>2</t>
        </is>
      </c>
      <c r="J13" s="2"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2" t="inlineStr">
        <is>
          <t>Complexometric Titration</t>
        </is>
      </c>
      <c r="L13" s="2" t="inlineStr">
        <is>
          <t>ข้อสอบจริง PLE CC 1 ปี 2562 (Assay of Zinc Salts)</t>
        </is>
      </c>
      <c r="M13" s="2" t="inlineStr">
        <is>
          <t>Product</t>
        </is>
      </c>
      <c r="N13" s="2" t="inlineStr">
        <is>
          <t>ข้อ 41 (PLE_CC1_2562_Key.md)</t>
        </is>
      </c>
      <c r="O13" s="2" t="inlineStr">
        <is>
          <t>ข้อสอบจริง</t>
        </is>
      </c>
      <c r="P13" s="2" t="inlineStr">
        <is>
          <t>ปี 2562</t>
        </is>
      </c>
      <c r="Q13" s="2" t="n"/>
    </row>
    <row r="14" ht="13.2" customHeight="1" s="49">
      <c r="A14" s="2" t="n">
        <v>12</v>
      </c>
      <c r="B14" s="2" t="inlineStr">
        <is>
          <t>EDTA ในตำรับข(างต(นทำหน(าอะไร</t>
        </is>
      </c>
      <c r="C14" s="2" t="n"/>
      <c r="D14" s="2" t="inlineStr">
        <is>
          <t>Vehicle</t>
        </is>
      </c>
      <c r="E14" s="2" t="inlineStr">
        <is>
          <t>Antioxidant</t>
        </is>
      </c>
      <c r="F14" s="2" t="inlineStr">
        <is>
          <t>Stiffening agent</t>
        </is>
      </c>
      <c r="G14" s="2" t="inlineStr">
        <is>
          <t>Emulsifying agent</t>
        </is>
      </c>
      <c r="H14" s="2" t="inlineStr">
        <is>
          <t>Acidifying agent</t>
        </is>
      </c>
      <c r="I14" s="2" t="n">
        <v>1</v>
      </c>
      <c r="J14" s="2"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Complexometric titration</t>
        </is>
      </c>
      <c r="M14" s="2" t="inlineStr">
        <is>
          <t>Product</t>
        </is>
      </c>
      <c r="N14" s="2" t="inlineStr">
        <is>
          <t>ข้อ 90 (PLE_CC1_2561_Key.md)</t>
        </is>
      </c>
      <c r="O14" s="2" t="inlineStr">
        <is>
          <t>ข้อสอบจริง</t>
        </is>
      </c>
      <c r="P14" s="2" t="inlineStr">
        <is>
          <t>ปี 2561</t>
        </is>
      </c>
    </row>
    <row r="15" ht="13.2" customHeight="1" s="49">
      <c r="A15" s="2" t="n">
        <v>13</v>
      </c>
      <c r="B15" s="2" t="inlineStr">
        <is>
          <t>Residue on ignition คือการตรวจอะไร</t>
        </is>
      </c>
      <c r="C15" s="2" t="n"/>
      <c r="D15" s="2" t="inlineStr">
        <is>
          <t>เพื่อหาปริมาณสารที่ระเหยง.าย</t>
        </is>
      </c>
      <c r="E15" s="2" t="inlineStr">
        <is>
          <t>เพื่อหาปริมาณ organic impurity</t>
        </is>
      </c>
      <c r="F15" s="2" t="inlineStr">
        <is>
          <t>เพื่อหาปริมาณ in organic impurity</t>
        </is>
      </c>
      <c r="G15" s="2" t="inlineStr">
        <is>
          <t>เพื่อพิสูจนว.า organic impurity เป5นสารใด</t>
        </is>
      </c>
      <c r="H15" s="2" t="inlineStr">
        <is>
          <t>เพื่อพิสูจนว.า inorganic impurity เป5นสารใด</t>
        </is>
      </c>
      <c r="I15" s="2" t="n">
        <v>1</v>
      </c>
      <c r="J15" s="2"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Acid-base titration</t>
        </is>
      </c>
      <c r="M15" s="2" t="inlineStr">
        <is>
          <t>Product</t>
        </is>
      </c>
      <c r="N15" s="2" t="inlineStr">
        <is>
          <t>ข้อ 119 (PLE_CC1_2561_Key.md)</t>
        </is>
      </c>
      <c r="O15" s="2" t="inlineStr">
        <is>
          <t>ข้อสอบจริง</t>
        </is>
      </c>
      <c r="P15" s="2" t="inlineStr">
        <is>
          <t>ปี 2561</t>
        </is>
      </c>
    </row>
    <row r="16" ht="13.2" customHeight="1" s="49">
      <c r="A16" s="2" t="n">
        <v>14</v>
      </c>
      <c r="B16" s="2" t="inlineStr">
        <is>
          <t>การสังเคราะห์ HCTZ จงระบุว่า A คือข้อใด</t>
        </is>
      </c>
      <c r="C16" s="2" t="n"/>
      <c r="D16" s="2" t="inlineStr">
        <is>
          <t>H-CO-H</t>
        </is>
      </c>
      <c r="E16" s="2" t="inlineStr">
        <is>
          <t>H-CO-OH</t>
        </is>
      </c>
      <c r="F16" s="2" t="inlineStr">
        <is>
          <t>Cl-C-Cl</t>
        </is>
      </c>
      <c r="G16" s="2" t="inlineStr">
        <is>
          <t>C-CO-H</t>
        </is>
      </c>
      <c r="H16" s="2" t="inlineStr">
        <is>
          <t>...</t>
        </is>
      </c>
      <c r="I16" s="2" t="n">
        <v>1</v>
      </c>
      <c r="J16" s="2"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Acid-base titration</t>
        </is>
      </c>
      <c r="M16" s="2" t="inlineStr">
        <is>
          <t>Product</t>
        </is>
      </c>
      <c r="N16" s="2" t="inlineStr">
        <is>
          <t>ข้อ 8 (PLE_CC1_2560 22 April Set 1.md)</t>
        </is>
      </c>
      <c r="O16" s="2" t="inlineStr">
        <is>
          <t>ข้อสอบจริง</t>
        </is>
      </c>
      <c r="P16" s="2" t="inlineStr">
        <is>
          <t>ปี 2560</t>
        </is>
      </c>
    </row>
    <row r="17" ht="13.2" customHeight="1" s="49">
      <c r="A17" s="2" t="n">
        <v>15</v>
      </c>
      <c r="B17" s="2" t="inlineStr">
        <is>
          <t>หากผู้ป่วยต้องการ KCl 60 mEq/day จะต้องให้ KCl ความเข้มข้น 74.5 g/L กี่มิลลิลิตร (ก้าหนดให้ MW ของ KCl = 74.5 g/mol)</t>
        </is>
      </c>
      <c r="C17" s="2" t="n"/>
      <c r="D17" s="2" t="inlineStr">
        <is>
          <t>15 ml</t>
        </is>
      </c>
      <c r="E17" s="2" t="inlineStr">
        <is>
          <t>30 ml</t>
        </is>
      </c>
      <c r="F17" s="2" t="inlineStr">
        <is>
          <t>45 ml</t>
        </is>
      </c>
      <c r="G17" s="2" t="inlineStr">
        <is>
          <t>60 ml</t>
        </is>
      </c>
      <c r="H17" s="2" t="inlineStr">
        <is>
          <t>75 ml</t>
        </is>
      </c>
      <c r="I17" s="2" t="n">
        <v>1</v>
      </c>
      <c r="J17" s="2"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Acid-base titration</t>
        </is>
      </c>
      <c r="M17" s="2" t="inlineStr">
        <is>
          <t>Product</t>
        </is>
      </c>
      <c r="N17" s="2" t="inlineStr">
        <is>
          <t>ข้อ 68 (PLE_CC1_2559.md)</t>
        </is>
      </c>
      <c r="O17" s="2" t="inlineStr">
        <is>
          <t>ข้อสอบจริง</t>
        </is>
      </c>
      <c r="P17" s="2" t="inlineStr">
        <is>
          <t>ปี 2559</t>
        </is>
      </c>
    </row>
    <row r="18" ht="13.2" customHeight="1" s="49">
      <c r="A18" s="2" t="n">
        <v>16</v>
      </c>
      <c r="B18" s="2" t="inlineStr">
        <is>
          <t>หากผู้ป่วยต้องรักษาภาวะ secondary hyperthyroid ต้องได้ยาใด</t>
        </is>
      </c>
      <c r="C18" s="2" t="n"/>
      <c r="D18" s="2" t="inlineStr">
        <is>
          <t>Vitamin A</t>
        </is>
      </c>
      <c r="E18" s="2" t="inlineStr">
        <is>
          <t>Vitamin D</t>
        </is>
      </c>
      <c r="F18" s="2" t="inlineStr">
        <is>
          <t>Vitamin E</t>
        </is>
      </c>
      <c r="G18" s="2" t="inlineStr">
        <is>
          <t>Vitamin K</t>
        </is>
      </c>
      <c r="H18" s="2" t="inlineStr">
        <is>
          <t>Vitamin B</t>
        </is>
      </c>
      <c r="I18" s="2" t="n">
        <v>1</v>
      </c>
      <c r="J18" s="2"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Vitamin D ไม่ถูกต้องตามหลักการ Analytical Chemistry สำหรับวิธีทดสอบนี้
• ข้อ ค. (Vitamin E): Vitamin E ไม่ถูกต้องตามหลักการ Analytical Chemistry สำหรับวิธีทดสอบนี้
• ข้อ ง. (Vitamin K): Vitamin K ไม่ถูกต้องตามหลักการ Analytical Chemistry สำหรับวิธีทดสอบนี้
• ข้อ จ. (Vitamin B): Vitamin B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Acid-base titration</t>
        </is>
      </c>
      <c r="M18" s="2" t="inlineStr">
        <is>
          <t>Product</t>
        </is>
      </c>
      <c r="N18" s="2" t="inlineStr">
        <is>
          <t>ข้อ 51 (PLE_CC1_2558_Key.md)</t>
        </is>
      </c>
      <c r="O18" s="2" t="inlineStr">
        <is>
          <t>ข้อสอบจริง</t>
        </is>
      </c>
      <c r="P18" s="2" t="inlineStr">
        <is>
          <t>ปี 2558</t>
        </is>
      </c>
    </row>
    <row r="19" ht="13.2" customHeight="1" s="49">
      <c r="A19" s="2" t="n">
        <v>17</v>
      </c>
      <c r="B19" s="2"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2" t="n"/>
      <c r="D19" s="2" t="inlineStr">
        <is>
          <t>Aqueous acid-base titration</t>
        </is>
      </c>
      <c r="E19" s="2" t="inlineStr">
        <is>
          <t>Non-aqueous acid-base titration</t>
        </is>
      </c>
      <c r="F19" s="2" t="inlineStr">
        <is>
          <t>Precipitation titration</t>
        </is>
      </c>
      <c r="G19" s="2" t="inlineStr">
        <is>
          <t>Redox titration</t>
        </is>
      </c>
      <c r="H19" s="2" t="inlineStr">
        <is>
          <t>Complexation titration</t>
        </is>
      </c>
      <c r="I19" s="2" t="n">
        <v>1</v>
      </c>
      <c r="J19" s="2"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Non-aqueous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(Complexation titration): Complexation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Acid-base titration</t>
        </is>
      </c>
      <c r="M19" s="2" t="inlineStr">
        <is>
          <t>Product</t>
        </is>
      </c>
      <c r="N19" s="2" t="inlineStr">
        <is>
          <t>ข้อ 98 (Pharmtutor_2024_Set1.md)</t>
        </is>
      </c>
      <c r="O19" s="2" t="inlineStr">
        <is>
          <t>Mock</t>
        </is>
      </c>
      <c r="P19" s="2" t="inlineStr">
        <is>
          <t>Mock Pharmtutor 2024</t>
        </is>
      </c>
    </row>
    <row r="20" ht="13.2" customHeight="1" s="49">
      <c r="A20" s="2" t="n">
        <v>18</v>
      </c>
      <c r="B20" s="2" t="inlineStr">
        <is>
          <t>จากสมการเคมีที่กำหนด เป็นการไทเทรตแบบใด 2HNO3 + CaCO3 ―&gt; Ca(NO3)2 + CO2 + H2O HNO3 + NaOH ―&gt; NaNO3 + H2O</t>
        </is>
      </c>
      <c r="C20" s="2" t="n"/>
      <c r="D20" s="2" t="inlineStr">
        <is>
          <t>Direct acid-base titration</t>
        </is>
      </c>
      <c r="E20" s="2" t="inlineStr">
        <is>
          <t>Back acid-base titration</t>
        </is>
      </c>
      <c r="F20" s="2" t="inlineStr">
        <is>
          <t>Indirect acid-base titration</t>
        </is>
      </c>
      <c r="G20" s="2" t="inlineStr">
        <is>
          <t>Back precipitation titration</t>
        </is>
      </c>
      <c r="H20" s="2" t="inlineStr">
        <is>
          <t>Indirect precipitation titration Azithromycin is white crystalline powder. mp: 126 อC soluble in ethanol and DSMO, minimally soluble in water</t>
        </is>
      </c>
      <c r="I20" s="2" t="n">
        <v>1</v>
      </c>
      <c r="J20"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(Indirect acid-base titration): IR (Infrared) spectroscopy วิเคราะห์ functional groups จาก stretching/bending vibrations C=O ~1700 cm-1, O-H ~3200-3550 cm-1
• ข้อ ง. (Back precipitation titration): Back precipitation titration ไม่ถูกต้องตามหลักการ Analytical Chemistry สำหรับวิธีทดสอบนี้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Acid-base titration</t>
        </is>
      </c>
      <c r="M20" s="2" t="inlineStr">
        <is>
          <t>Product</t>
        </is>
      </c>
      <c r="N20" s="2" t="inlineStr">
        <is>
          <t>ข้อ 99 (Pharmtutor_2024_Set1.md)</t>
        </is>
      </c>
      <c r="O20" s="2" t="inlineStr">
        <is>
          <t>Mock</t>
        </is>
      </c>
      <c r="P20" s="2" t="inlineStr">
        <is>
          <t>Mock Pharmtutor 2024</t>
        </is>
      </c>
    </row>
    <row r="21" ht="13.2" customHeight="1" s="49">
      <c r="A21" s="2" t="n">
        <v>19</v>
      </c>
      <c r="B21" s="2"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2" t="n"/>
      <c r="D21" s="2" t="inlineStr">
        <is>
          <t>Complexometric titration</t>
        </is>
      </c>
      <c r="E21" s="2" t="inlineStr">
        <is>
          <t>Acid-base titration</t>
        </is>
      </c>
      <c r="F21" s="2" t="inlineStr">
        <is>
          <t>Precipitation titration</t>
        </is>
      </c>
      <c r="G21" s="2" t="inlineStr">
        <is>
          <t>Redox titration</t>
        </is>
      </c>
      <c r="H21" s="2" t="inlineStr">
        <is>
          <t>ไม่มีข้อใดถูก</t>
        </is>
      </c>
      <c r="I21" s="2" t="n">
        <v>1</v>
      </c>
      <c r="J21" s="2"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Acid-base titration</t>
        </is>
      </c>
      <c r="M21" s="2" t="inlineStr">
        <is>
          <t>Product</t>
        </is>
      </c>
      <c r="N21" s="2" t="inlineStr">
        <is>
          <t>ข้อ 94 (Pharmtutor_2024_Set2.md)</t>
        </is>
      </c>
      <c r="O21" s="2" t="inlineStr">
        <is>
          <t>Mock</t>
        </is>
      </c>
      <c r="P21" s="2" t="inlineStr">
        <is>
          <t>Mock Pharmtutor 2024</t>
        </is>
      </c>
    </row>
    <row r="22" ht="13.2" customHeight="1" s="49">
      <c r="A22" s="2" t="n">
        <v>20</v>
      </c>
      <c r="B22" s="2"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2" t="n"/>
      <c r="D22" s="2" t="inlineStr">
        <is>
          <t>Direct Acid-Base Titration</t>
        </is>
      </c>
      <c r="E22" s="2" t="inlineStr">
        <is>
          <t>Back Acid-Base Titration</t>
        </is>
      </c>
      <c r="F22" s="2" t="inlineStr">
        <is>
          <t>Redox Titration (Iodometry)</t>
        </is>
      </c>
      <c r="G22" s="2" t="inlineStr">
        <is>
          <t>Complexometric Titration (EDTA)</t>
        </is>
      </c>
      <c r="H22" s="2" t="inlineStr">
        <is>
          <t>Precipitation Titration (Mohr method)</t>
        </is>
      </c>
      <c r="I22" s="2" t="n">
        <v>1</v>
      </c>
      <c r="J2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Acid-base titration</t>
        </is>
      </c>
      <c r="M22" s="2" t="inlineStr">
        <is>
          <t>Product</t>
        </is>
      </c>
      <c r="N22" s="2" t="inlineStr">
        <is>
          <t>ข้อ 69 (PLE_CC1_2557.md)</t>
        </is>
      </c>
      <c r="O22" s="2" t="inlineStr">
        <is>
          <t>ข้อสอบจริง</t>
        </is>
      </c>
      <c r="P22" s="2" t="inlineStr">
        <is>
          <t>ปี 2557</t>
        </is>
      </c>
    </row>
    <row r="23" ht="13.2" customHeight="1" s="49">
      <c r="A23" s="2" t="n">
        <v>21</v>
      </c>
      <c r="B23" s="2"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2" t="n"/>
      <c r="D23" s="2" t="inlineStr">
        <is>
          <t>Complexometric Titration (EDTA)</t>
        </is>
      </c>
      <c r="E23" s="2" t="inlineStr">
        <is>
          <t>Precipitation Titration (Mohr method)</t>
        </is>
      </c>
      <c r="F23" s="2" t="inlineStr">
        <is>
          <t>Volhard Titration method</t>
        </is>
      </c>
      <c r="G23" s="2" t="inlineStr">
        <is>
          <t>Fajans Adsorption Indicator method</t>
        </is>
      </c>
      <c r="H23" s="2" t="inlineStr">
        <is>
          <t>Potentiometric End-point Titration</t>
        </is>
      </c>
      <c r="I23" s="2" t="n">
        <v>1</v>
      </c>
      <c r="J2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Redox titration</t>
        </is>
      </c>
      <c r="M23" s="2" t="inlineStr">
        <is>
          <t>Product</t>
        </is>
      </c>
      <c r="N23" s="2" t="inlineStr">
        <is>
          <t>ข้อ 70 (PLE_CC1_2557.md)</t>
        </is>
      </c>
      <c r="O23" s="2" t="inlineStr">
        <is>
          <t>ข้อสอบจริง</t>
        </is>
      </c>
      <c r="P23" s="2" t="inlineStr">
        <is>
          <t>ปี 2557</t>
        </is>
      </c>
    </row>
    <row r="24" ht="13.2" customHeight="1" s="49">
      <c r="A24" s="2" t="n">
        <v>22</v>
      </c>
      <c r="B24" s="2"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2" t="n"/>
      <c r="D24" s="2" t="inlineStr">
        <is>
          <t>Fajans Adsorption Indicator method</t>
        </is>
      </c>
      <c r="E24" s="2" t="inlineStr">
        <is>
          <t>Potentiometric End-point Titration</t>
        </is>
      </c>
      <c r="F24" s="2" t="inlineStr">
        <is>
          <t>Biamperometric Titration</t>
        </is>
      </c>
      <c r="G24" s="2" t="inlineStr">
        <is>
          <t>Nonaqueous Acid-Base Titration</t>
        </is>
      </c>
      <c r="H24" s="2" t="inlineStr">
        <is>
          <t>Direct Acid-Base Titration</t>
        </is>
      </c>
      <c r="I24" s="2" t="n">
        <v>3</v>
      </c>
      <c r="J24" s="2"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Precipitation titration</t>
        </is>
      </c>
      <c r="M24" s="2" t="inlineStr">
        <is>
          <t>Product</t>
        </is>
      </c>
      <c r="N24" s="2" t="inlineStr">
        <is>
          <t>ข้อ 5 (PLE_CC1_2533.md)</t>
        </is>
      </c>
      <c r="O24" s="2" t="inlineStr">
        <is>
          <t>ข้อสอบจริง</t>
        </is>
      </c>
      <c r="P24" s="2" t="inlineStr">
        <is>
          <t>ปี 2533</t>
        </is>
      </c>
    </row>
    <row r="25" ht="13.2" customHeight="1" s="49">
      <c r="A25" s="2" t="n">
        <v>23</v>
      </c>
      <c r="B25" s="2" t="inlineStr">
        <is>
          <t>ต้องการวิเคราะห์ phenazopyridine ควรใช้วิธีใดในการวิเคราะห์</t>
        </is>
      </c>
      <c r="C25" s="2" t="n"/>
      <c r="D25" s="2" t="inlineStr">
        <is>
          <t>Nonaqueous Acid-Base Titration</t>
        </is>
      </c>
      <c r="E25" s="2" t="inlineStr">
        <is>
          <t>Direct Acid-Base Titration</t>
        </is>
      </c>
      <c r="F25" s="2" t="inlineStr">
        <is>
          <t>Back Acid-Base Titration</t>
        </is>
      </c>
      <c r="G25" s="2" t="inlineStr">
        <is>
          <t>Redox Titration (Iodometry)</t>
        </is>
      </c>
      <c r="H25" s="2" t="inlineStr">
        <is>
          <t>Complexometric Titration (EDTA)</t>
        </is>
      </c>
      <c r="I25" s="2" t="n">
        <v>1</v>
      </c>
      <c r="J25" s="2"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Acid-base titration</t>
        </is>
      </c>
      <c r="M25" s="2" t="inlineStr">
        <is>
          <t>Product</t>
        </is>
      </c>
      <c r="N25" s="2" t="inlineStr">
        <is>
          <t>ข้อ 7 (PLE_CC1_2533.md)</t>
        </is>
      </c>
      <c r="O25" s="2" t="inlineStr">
        <is>
          <t>ข้อสอบจริง</t>
        </is>
      </c>
      <c r="P25" s="2" t="inlineStr">
        <is>
          <t>ปี 2533</t>
        </is>
      </c>
    </row>
    <row r="26" ht="13.2" customHeight="1" s="49">
      <c r="A26" s="2" t="n">
        <v>24</v>
      </c>
      <c r="B26" s="2" t="inlineStr">
        <is>
          <t>Redox titration</t>
        </is>
      </c>
      <c r="C26" s="2" t="n"/>
      <c r="D26" s="2" t="inlineStr">
        <is>
          <t>Redox Titration (Iodometry)</t>
        </is>
      </c>
      <c r="E26" s="2" t="inlineStr">
        <is>
          <t>Complexometric Titration (EDTA)</t>
        </is>
      </c>
      <c r="F26" s="2" t="inlineStr">
        <is>
          <t>Precipitation Titration (Mohr method)</t>
        </is>
      </c>
      <c r="G26" s="2" t="inlineStr">
        <is>
          <t>Volhard Titration method</t>
        </is>
      </c>
      <c r="H26" s="2" t="inlineStr">
        <is>
          <t>Fajans Adsorption Indicator method</t>
        </is>
      </c>
      <c r="I26" s="2" t="n">
        <v>1</v>
      </c>
      <c r="J26" s="2"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Redox titration</t>
        </is>
      </c>
      <c r="M26" s="2" t="inlineStr">
        <is>
          <t>Product</t>
        </is>
      </c>
      <c r="N26" s="2" t="inlineStr">
        <is>
          <t>ข้อ 1 (PLE_CC1_2533.md)</t>
        </is>
      </c>
      <c r="O26" s="2" t="inlineStr">
        <is>
          <t>ข้อสอบจริง</t>
        </is>
      </c>
      <c r="P26" s="2" t="inlineStr">
        <is>
          <t>ปี 2533</t>
        </is>
      </c>
    </row>
    <row r="27" ht="13.2" customHeight="1" s="49">
      <c r="A27" s="2" t="n">
        <v>25</v>
      </c>
      <c r="B27" s="2" t="inlineStr">
        <is>
          <t>Complexometric Titration</t>
        </is>
      </c>
      <c r="C27" s="2" t="n"/>
      <c r="D27" s="2" t="inlineStr">
        <is>
          <t>Volhard Titration method</t>
        </is>
      </c>
      <c r="E27" s="2" t="inlineStr">
        <is>
          <t>Fajans Adsorption Indicator method</t>
        </is>
      </c>
      <c r="F27" s="2" t="inlineStr">
        <is>
          <t>Potentiometric End-point Titration</t>
        </is>
      </c>
      <c r="G27" s="2" t="inlineStr">
        <is>
          <t>Biamperometric Titration</t>
        </is>
      </c>
      <c r="H27" s="2" t="inlineStr">
        <is>
          <t>Nonaqueous Acid-Base Titration</t>
        </is>
      </c>
      <c r="I27" s="2" t="n">
        <v>1</v>
      </c>
      <c r="J27" s="2"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Complexometric titration</t>
        </is>
      </c>
      <c r="M27" s="2" t="inlineStr">
        <is>
          <t>Product</t>
        </is>
      </c>
      <c r="N27" s="2" t="inlineStr">
        <is>
          <t>ข้อ 3 (PLE_CC1_2533.md)</t>
        </is>
      </c>
      <c r="O27" s="2" t="inlineStr">
        <is>
          <t>ข้อสอบจริง</t>
        </is>
      </c>
      <c r="P27" s="2" t="inlineStr">
        <is>
          <t>ปี 2533</t>
        </is>
      </c>
    </row>
    <row r="28" ht="13.2" customHeight="1" s="49">
      <c r="A28" s="2" t="n">
        <v>26</v>
      </c>
      <c r="B28" s="2" t="inlineStr">
        <is>
          <t>สารใดในตำรับอยู่ในเฟสน้ำ</t>
        </is>
      </c>
      <c r="C28" s="2" t="n"/>
      <c r="D28" s="2" t="inlineStr">
        <is>
          <t>Deionized water</t>
        </is>
      </c>
      <c r="E28" s="2" t="inlineStr">
        <is>
          <t>Glycerin</t>
        </is>
      </c>
      <c r="F28" s="2" t="inlineStr">
        <is>
          <t>Propylene glycol</t>
        </is>
      </c>
      <c r="G28" s="2" t="inlineStr">
        <is>
          <t>Disodium EDTA</t>
        </is>
      </c>
      <c r="H28" s="2" t="inlineStr">
        <is>
          <t>ถูกทุกข้อ</t>
        </is>
      </c>
      <c r="I28" s="2" t="n">
        <v>1</v>
      </c>
      <c r="J28" s="2"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Acid-base titration</t>
        </is>
      </c>
      <c r="M28" s="2" t="inlineStr">
        <is>
          <t>Product</t>
        </is>
      </c>
      <c r="N28" s="2" t="inlineStr">
        <is>
          <t>ข้อ 36 (PLE_CC1_Practice_Exam.md)</t>
        </is>
      </c>
      <c r="O28" s="2" t="inlineStr">
        <is>
          <t>Mock</t>
        </is>
      </c>
      <c r="P28" s="2" t="inlineStr">
        <is>
          <t>Mock สภาเภสัชฯ Practice</t>
        </is>
      </c>
    </row>
    <row r="29" ht="13.2" customHeight="1" s="49">
      <c r="A29" s="2" t="n">
        <v>27</v>
      </c>
      <c r="B29" s="2" t="inlineStr">
        <is>
          <t>วัตถุประสงค์หลักของการใช้ non-aqueous acid-base titration คืออะไร</t>
        </is>
      </c>
      <c r="C29" s="2" t="n"/>
      <c r="D29" s="2" t="inlineStr">
        <is>
          <t>การละลายน้ำของสาร</t>
        </is>
      </c>
      <c r="E29" s="2" t="inlineStr">
        <is>
          <t>ความเข้มข้นของสาร</t>
        </is>
      </c>
      <c r="F29" s="2" t="inlineStr">
        <is>
          <t>สารทำปฏิกิริยากับน้ำไม่ได้</t>
        </is>
      </c>
      <c r="G29" s="2" t="inlineStr">
        <is>
          <t>สารทำปฏิกิริยารุนแรงกับน้ำ</t>
        </is>
      </c>
      <c r="H29" s="2" t="inlineStr">
        <is>
          <t>ถูกทุกข้อ</t>
        </is>
      </c>
      <c r="I29" s="2" t="n">
        <v>1</v>
      </c>
      <c r="J29" s="2"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Acid-base titration</t>
        </is>
      </c>
      <c r="M29" s="2" t="inlineStr">
        <is>
          <t>Product</t>
        </is>
      </c>
      <c r="N29" s="2" t="inlineStr">
        <is>
          <t>ข้อ 8 (PLE_CC1_Practice_Exam.md)</t>
        </is>
      </c>
      <c r="O29" s="2" t="inlineStr">
        <is>
          <t>Mock</t>
        </is>
      </c>
      <c r="P29" s="2" t="inlineStr">
        <is>
          <t>Mock สภาเภสัชฯ Practice</t>
        </is>
      </c>
    </row>
    <row r="30" ht="13.2" customHeight="1" s="49">
      <c r="A30" s="2" t="n">
        <v>28</v>
      </c>
      <c r="B30" s="2"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2" t="n"/>
      <c r="D30" s="2" t="inlineStr">
        <is>
          <t>strong acid/strong base titration</t>
        </is>
      </c>
      <c r="E30" s="2" t="inlineStr">
        <is>
          <t>weak acid/strong base titraton</t>
        </is>
      </c>
      <c r="F30" s="2" t="inlineStr">
        <is>
          <t>weak base/strong acid titration</t>
        </is>
      </c>
      <c r="G30" s="2" t="inlineStr">
        <is>
          <t>non-aqueous titration of weak base</t>
        </is>
      </c>
      <c r="H30" s="2" t="inlineStr">
        <is>
          <t>non-aqueous titration of weak acid</t>
        </is>
      </c>
      <c r="I30" s="2" t="n">
        <v>1</v>
      </c>
      <c r="J30" s="2"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Complexometric titration</t>
        </is>
      </c>
      <c r="M30" s="2" t="inlineStr">
        <is>
          <t>Product</t>
        </is>
      </c>
      <c r="N30" s="2" t="inlineStr">
        <is>
          <t>ข้อ 9 (PLE_CC1_Practice_Exam.md)</t>
        </is>
      </c>
      <c r="O30" s="2" t="inlineStr">
        <is>
          <t>Mock</t>
        </is>
      </c>
      <c r="P30" s="2" t="inlineStr">
        <is>
          <t>Mock สภาเภสัชฯ Practice</t>
        </is>
      </c>
    </row>
    <row r="31" ht="13.2" customHeight="1" s="49">
      <c r="A31" s="2" t="n">
        <v>29</v>
      </c>
      <c r="B31" s="2" t="inlineStr">
        <is>
          <t>ข้อใดกล่าวถูกต้องเกี่ยวกับ Precipitation titration</t>
        </is>
      </c>
      <c r="C31" s="2" t="n"/>
      <c r="D31" s="2" t="inlineStr">
        <is>
          <t>เหมาะสำหรับปฏิกิริยาที่เกิดช้า เพื่อให้สังเกตเห็นการตกตะกอนอย่างช้าๆ</t>
        </is>
      </c>
      <c r="E31" s="2" t="inlineStr">
        <is>
          <t>อุณหภูมิมีผลต่อการละลายของตะกอน โดยที่อุณหภูมิสูงจะเพิ่มการละลายของตะกอนเสมอ</t>
        </is>
      </c>
      <c r="F31" s="2" t="inlineStr">
        <is>
          <t>จะเกิดการตกตะกอนเมื่อค่า Q = Ksp</t>
        </is>
      </c>
      <c r="G31" s="2"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2" t="inlineStr">
        <is>
          <t>ปฏิกิริยาที่มีค่า Ksp สูง จะทำให้หาจุดยุติจาก titration curve ได้ง่าย</t>
        </is>
      </c>
      <c r="I31" s="2" t="n">
        <v>1</v>
      </c>
      <c r="J31" s="2"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Precipitation titration</t>
        </is>
      </c>
      <c r="M31" s="2" t="inlineStr">
        <is>
          <t>Product</t>
        </is>
      </c>
      <c r="N31" s="2" t="inlineStr">
        <is>
          <t>ข้อ 18 (PLE_CC1_Practice_Exam.md)</t>
        </is>
      </c>
      <c r="O31" s="2" t="inlineStr">
        <is>
          <t>Mock</t>
        </is>
      </c>
      <c r="P31" s="2" t="inlineStr">
        <is>
          <t>Mock สภาเภสัชฯ Practice</t>
        </is>
      </c>
    </row>
    <row r="32" ht="13.2" customHeight="1" s="49">
      <c r="A32" s="2" t="n">
        <v>30</v>
      </c>
      <c r="B32" s="2"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2" t="n"/>
      <c r="D32" s="2" t="inlineStr">
        <is>
          <t>5000 กรัม</t>
        </is>
      </c>
      <c r="E32" s="2" t="inlineStr">
        <is>
          <t>6000 กรัม ปริมาตร 1N H2SO4 ที่ใช้ 22.32 มิลลิลิตร 23.20 มิลลิลิตร</t>
        </is>
      </c>
      <c r="F32" s="2" t="n">
        <v>90</v>
      </c>
      <c r="G32" s="2" t="n">
        <v>95</v>
      </c>
      <c r="H32" s="2" t="n">
        <v>100</v>
      </c>
      <c r="I32" s="2" t="n">
        <v>1</v>
      </c>
      <c r="J32" s="2"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Acid-base titration</t>
        </is>
      </c>
      <c r="M32" s="2" t="inlineStr">
        <is>
          <t>Product</t>
        </is>
      </c>
      <c r="N32" s="2" t="inlineStr">
        <is>
          <t>ข้อ 19 (PLE_CC1_Practice_Exam.md)</t>
        </is>
      </c>
      <c r="O32" s="2" t="inlineStr">
        <is>
          <t>Mock</t>
        </is>
      </c>
      <c r="P32" s="2" t="inlineStr">
        <is>
          <t>Mock สภาเภสัชฯ Practice</t>
        </is>
      </c>
    </row>
    <row r="33" ht="13.2" customHeight="1" s="49">
      <c r="A33" s="2" t="n">
        <v>31</v>
      </c>
      <c r="B33" s="2" t="inlineStr">
        <is>
          <t>ในการวิเคราะห์ Boric acid ด้วย Direct titration ใส่สารชนิดใดเพื่อให้ form complex กับ metaborate ion</t>
        </is>
      </c>
      <c r="C33" s="2" t="n"/>
      <c r="D33" s="2" t="inlineStr">
        <is>
          <t>Silver nitrate</t>
        </is>
      </c>
      <c r="E33" s="2" t="inlineStr">
        <is>
          <t>Glycerin</t>
        </is>
      </c>
      <c r="F33" s="2" t="inlineStr">
        <is>
          <t>Phenolphthalein</t>
        </is>
      </c>
      <c r="G33" s="2" t="inlineStr">
        <is>
          <t>Sodium hydroxide</t>
        </is>
      </c>
      <c r="H33" s="2" t="inlineStr">
        <is>
          <t>Sodium bicarbonate</t>
        </is>
      </c>
      <c r="I33" s="2" t="n">
        <v>1</v>
      </c>
      <c r="J33" s="2"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Complexometric titration</t>
        </is>
      </c>
      <c r="M33" s="2" t="inlineStr">
        <is>
          <t>Product</t>
        </is>
      </c>
      <c r="N33" s="2" t="inlineStr">
        <is>
          <t>ข้อ 23 (PLE_CC1_Practice_Exam.md)</t>
        </is>
      </c>
      <c r="O33" s="2" t="inlineStr">
        <is>
          <t>Mock</t>
        </is>
      </c>
      <c r="P33" s="2" t="inlineStr">
        <is>
          <t>Mock สภาเภสัชฯ Practice</t>
        </is>
      </c>
    </row>
    <row r="34" ht="13.2" customHeight="1" s="49">
      <c r="A34" s="2" t="n">
        <v>32</v>
      </c>
      <c r="B34" s="2"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2" t="n"/>
      <c r="D34" s="2" t="inlineStr">
        <is>
          <t>10.01 ml</t>
        </is>
      </c>
      <c r="E34" s="2" t="inlineStr">
        <is>
          <t>11.21 ml</t>
        </is>
      </c>
      <c r="F34" s="2" t="inlineStr">
        <is>
          <t>11.52 ml</t>
        </is>
      </c>
      <c r="G34" s="2" t="inlineStr">
        <is>
          <t>12.71 ml</t>
        </is>
      </c>
      <c r="H34" s="2" t="inlineStr">
        <is>
          <t>12.98 ml</t>
        </is>
      </c>
      <c r="I34" s="2" t="n">
        <v>1</v>
      </c>
      <c r="J34" s="2"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Complexometric titration</t>
        </is>
      </c>
      <c r="M34" s="2" t="inlineStr">
        <is>
          <t>Product</t>
        </is>
      </c>
      <c r="N34" s="2" t="inlineStr">
        <is>
          <t>ข้อ 24 (PLE_CC1_Practice_Exam.md)</t>
        </is>
      </c>
      <c r="O34" s="2" t="inlineStr">
        <is>
          <t>Mock</t>
        </is>
      </c>
      <c r="P34" s="2" t="inlineStr">
        <is>
          <t>Mock สภาเภสัชฯ Practice</t>
        </is>
      </c>
    </row>
    <row r="35" ht="13.2" customHeight="1" s="49">
      <c r="A35" s="2" t="n">
        <v>33</v>
      </c>
      <c r="B35" s="2"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2" t="n"/>
      <c r="D35" s="2" t="inlineStr">
        <is>
          <t>00 หน่วย</t>
        </is>
      </c>
      <c r="E35" s="2" t="inlineStr">
        <is>
          <t>2 x 105</t>
        </is>
      </c>
      <c r="F35" s="2" t="inlineStr">
        <is>
          <t>2 x 109</t>
        </is>
      </c>
      <c r="G35" s="2" t="inlineStr">
        <is>
          <t>2 x 10-5</t>
        </is>
      </c>
      <c r="H35" s="2" t="inlineStr">
        <is>
          <t>2 x 10-9</t>
        </is>
      </c>
      <c r="I35" s="2" t="n">
        <v>1</v>
      </c>
      <c r="J35" s="2"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Acid-base titration</t>
        </is>
      </c>
      <c r="M35" s="2" t="inlineStr">
        <is>
          <t>Product</t>
        </is>
      </c>
      <c r="N35" s="2" t="inlineStr">
        <is>
          <t>ข้อ 25 (PLE_CC1_Practice_Exam.md)</t>
        </is>
      </c>
      <c r="O35" s="2" t="inlineStr">
        <is>
          <t>Mock</t>
        </is>
      </c>
      <c r="P35" s="2" t="inlineStr">
        <is>
          <t>Mock สภาเภสัชฯ Practice</t>
        </is>
      </c>
    </row>
    <row r="36" ht="13.2" customHeight="1" s="49">
      <c r="A36" s="2" t="n">
        <v>34</v>
      </c>
      <c r="B36" s="2"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2" t="n"/>
      <c r="D36" s="2" t="n">
        <v>0.09429999999999999</v>
      </c>
      <c r="E36" s="2" t="inlineStr">
        <is>
          <t>0.0952</t>
        </is>
      </c>
      <c r="F36" s="2" t="n">
        <v>0.09669999999999999</v>
      </c>
      <c r="G36" s="2" t="n">
        <v>0.0977</v>
      </c>
      <c r="H36" s="2" t="n">
        <v>0.09810000000000001</v>
      </c>
      <c r="I36" s="2" t="n">
        <v>1</v>
      </c>
      <c r="J36" s="2"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Acid-base titration</t>
        </is>
      </c>
      <c r="M36" s="2" t="inlineStr">
        <is>
          <t>Product</t>
        </is>
      </c>
      <c r="N36" s="2" t="inlineStr">
        <is>
          <t>ข้อ 34 (PLE_CC1_Practice_Exam.md)</t>
        </is>
      </c>
      <c r="O36" s="2" t="inlineStr">
        <is>
          <t>Mock</t>
        </is>
      </c>
      <c r="P36" s="2" t="inlineStr">
        <is>
          <t>Mock สภาเภสัชฯ Practice</t>
        </is>
      </c>
    </row>
    <row r="37" ht="13.2" customHeight="1" s="49">
      <c r="A37" s="2" t="n">
        <v>35</v>
      </c>
      <c r="B37" s="2"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2" t="n"/>
      <c r="D37" s="21" t="n">
        <v>1.001</v>
      </c>
      <c r="E37" s="21" t="n">
        <v>1.002</v>
      </c>
      <c r="F37" s="21" t="n">
        <v>1.003</v>
      </c>
      <c r="G37" s="21" t="n">
        <v>1.01</v>
      </c>
      <c r="H37" s="21" t="n">
        <v>1.02</v>
      </c>
      <c r="I37" s="2" t="n">
        <v>1</v>
      </c>
      <c r="J37" s="2"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Complexometric titration</t>
        </is>
      </c>
      <c r="M37" s="2" t="inlineStr">
        <is>
          <t>Product</t>
        </is>
      </c>
      <c r="N37" s="2" t="inlineStr">
        <is>
          <t>ข้อ 35 (PLE_CC1_Practice_Exam.md)</t>
        </is>
      </c>
      <c r="O37" s="2" t="inlineStr">
        <is>
          <t>Mock</t>
        </is>
      </c>
      <c r="P37" s="2" t="inlineStr">
        <is>
          <t>Mock สภาเภสัชฯ Practice</t>
        </is>
      </c>
    </row>
    <row r="38" ht="13.2" customHeight="1" s="49">
      <c r="A38" s="2" t="n">
        <v>36</v>
      </c>
      <c r="B38" s="2" t="inlineStr">
        <is>
          <t>Sodium metabisulfite + EDTA</t>
        </is>
      </c>
      <c r="C38" s="2" t="n"/>
      <c r="D38" s="2" t="inlineStr">
        <is>
          <t>Biamperometric Titration</t>
        </is>
      </c>
      <c r="E38" s="2" t="inlineStr">
        <is>
          <t>Nonaqueous Acid-Base Titration</t>
        </is>
      </c>
      <c r="F38" s="2" t="inlineStr">
        <is>
          <t>Direct Acid-Base Titration</t>
        </is>
      </c>
      <c r="G38" s="2" t="inlineStr">
        <is>
          <t>Back Acid-Base Titration</t>
        </is>
      </c>
      <c r="H38" s="2" t="inlineStr">
        <is>
          <t>Redox Titration (Iodometry)</t>
        </is>
      </c>
      <c r="I38" s="2" t="n">
        <v>1</v>
      </c>
      <c r="J38" s="2"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Complexometric titration</t>
        </is>
      </c>
      <c r="M38" s="2" t="inlineStr">
        <is>
          <t>Product</t>
        </is>
      </c>
      <c r="N38" s="2" t="inlineStr">
        <is>
          <t>ข้อ 4 (PLE_CC1_Key_Rx20_UBU.md)</t>
        </is>
      </c>
      <c r="O38" s="2" t="inlineStr">
        <is>
          <t>Mock</t>
        </is>
      </c>
      <c r="P38" s="2" t="inlineStr">
        <is>
          <t>Mock Rx20 UBU</t>
        </is>
      </c>
    </row>
    <row r="39" ht="13.2" customHeight="1" s="49">
      <c r="A39" s="2" t="n">
        <v>37</v>
      </c>
      <c r="B39" s="2" t="inlineStr">
        <is>
          <t>ข้อมูลวิธีวิเคราะห์: ใช้สาร percloric acid(HCLO4) เป็น tritrant และใช้ Potentiometry .... การวิเคราะห์ยา ketoconazole ใช้วิธีใด</t>
        </is>
      </c>
      <c r="C39" s="2" t="n"/>
      <c r="D39" s="2" t="inlineStr">
        <is>
          <t>Back Acid-Base Titration</t>
        </is>
      </c>
      <c r="E39" s="2" t="inlineStr">
        <is>
          <t>Redox Titration (Iodometry)</t>
        </is>
      </c>
      <c r="F39" s="2" t="inlineStr">
        <is>
          <t>Complexometric Titration (EDTA)</t>
        </is>
      </c>
      <c r="G39" s="2" t="inlineStr">
        <is>
          <t>Precipitation Titration (Mohr method)</t>
        </is>
      </c>
      <c r="H39" s="2" t="inlineStr">
        <is>
          <t>Volhard Titration method</t>
        </is>
      </c>
      <c r="I39" s="2" t="n">
        <v>1</v>
      </c>
      <c r="J39" s="2"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Acid-base titration</t>
        </is>
      </c>
      <c r="M39" s="2" t="inlineStr">
        <is>
          <t>Product</t>
        </is>
      </c>
      <c r="N39" s="2" t="inlineStr">
        <is>
          <t>ข้อ 57 (PLE_CC1_Key_Rx20_UBU.md)</t>
        </is>
      </c>
      <c r="O39" s="2" t="inlineStr">
        <is>
          <t>Mock</t>
        </is>
      </c>
      <c r="P39" s="2" t="inlineStr">
        <is>
          <t>Mock Rx20 UBU</t>
        </is>
      </c>
    </row>
    <row r="40" ht="13.2" customHeight="1" s="49">
      <c r="A40" s="2" t="n">
        <v>38</v>
      </c>
      <c r="B40" s="2" t="inlineStr">
        <is>
          <t>Complexometric Titrations ใช้ EDTA เป็น titrant</t>
        </is>
      </c>
      <c r="C40" s="2" t="n"/>
      <c r="D40" s="2" t="inlineStr">
        <is>
          <t>Precipitation Titration (Mohr method)</t>
        </is>
      </c>
      <c r="E40" s="2" t="inlineStr">
        <is>
          <t>Volhard Titration method</t>
        </is>
      </c>
      <c r="F40" s="2" t="inlineStr">
        <is>
          <t>Fajans Adsorption Indicator method</t>
        </is>
      </c>
      <c r="G40" s="2" t="inlineStr">
        <is>
          <t>Potentiometric End-point Titration</t>
        </is>
      </c>
      <c r="H40" s="2" t="inlineStr">
        <is>
          <t>Biamperometric Titration</t>
        </is>
      </c>
      <c r="I40" s="2" t="n">
        <v>1</v>
      </c>
      <c r="J40" s="2"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Complexometric titration</t>
        </is>
      </c>
      <c r="M40" s="2" t="inlineStr">
        <is>
          <t>Product</t>
        </is>
      </c>
      <c r="N40" s="2" t="inlineStr">
        <is>
          <t>ข้อ 1 (PLE_CC1_Key_Rx20_UBU.md)</t>
        </is>
      </c>
      <c r="O40" s="2" t="inlineStr">
        <is>
          <t>Mock</t>
        </is>
      </c>
      <c r="P40" s="2" t="inlineStr">
        <is>
          <t>Mock Rx20 UBU</t>
        </is>
      </c>
    </row>
    <row r="41" ht="13.2" customHeight="1" s="49">
      <c r="A41" s="2" t="n">
        <v>39</v>
      </c>
      <c r="B41" s="2" t="inlineStr">
        <is>
          <t>Redox titration ใช้พวก KMnO4, I2, FeSO4 เป็น titrant</t>
        </is>
      </c>
      <c r="C41" s="2" t="n"/>
      <c r="D41" s="2" t="inlineStr">
        <is>
          <t>Potentiometric End-point Titration</t>
        </is>
      </c>
      <c r="E41" s="2" t="inlineStr">
        <is>
          <t>Biamperometric Titration</t>
        </is>
      </c>
      <c r="F41" s="2" t="inlineStr">
        <is>
          <t>Nonaqueous Acid-Base Titration</t>
        </is>
      </c>
      <c r="G41" s="2" t="inlineStr">
        <is>
          <t>Direct Acid-Base Titration</t>
        </is>
      </c>
      <c r="H41" s="2" t="inlineStr">
        <is>
          <t>Back Acid-Base Titration</t>
        </is>
      </c>
      <c r="I41" s="2" t="n">
        <v>1</v>
      </c>
      <c r="J41" s="2"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Redox titration</t>
        </is>
      </c>
      <c r="M41" s="2" t="inlineStr">
        <is>
          <t>Product</t>
        </is>
      </c>
      <c r="N41" s="2" t="inlineStr">
        <is>
          <t>ข้อ 2 (PLE_CC1_Key_Rx20_UBU.md)</t>
        </is>
      </c>
      <c r="O41" s="2" t="inlineStr">
        <is>
          <t>Mock</t>
        </is>
      </c>
      <c r="P41" s="2" t="inlineStr">
        <is>
          <t>Mock Rx20 UBU</t>
        </is>
      </c>
    </row>
    <row r="42" ht="13.2" customHeight="1" s="49">
      <c r="A42" s="2" t="n">
        <v>40</v>
      </c>
      <c r="B42" s="2" t="inlineStr">
        <is>
          <t>Gravimetric titration</t>
        </is>
      </c>
      <c r="C42" s="2" t="n"/>
      <c r="D42" s="2" t="inlineStr">
        <is>
          <t>Direct Acid-Base Titration</t>
        </is>
      </c>
      <c r="E42" s="2" t="inlineStr">
        <is>
          <t>Back Acid-Base Titration</t>
        </is>
      </c>
      <c r="F42" s="2" t="inlineStr">
        <is>
          <t>Redox Titration (Iodometry)</t>
        </is>
      </c>
      <c r="G42" s="2" t="inlineStr">
        <is>
          <t>Complexometric Titration (EDTA)</t>
        </is>
      </c>
      <c r="H42" s="2" t="inlineStr">
        <is>
          <t>Precipitation Titration (Mohr method)</t>
        </is>
      </c>
      <c r="I42" s="2" t="n">
        <v>1</v>
      </c>
      <c r="J4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Acid-base titration</t>
        </is>
      </c>
      <c r="M42" s="2" t="inlineStr">
        <is>
          <t>Product</t>
        </is>
      </c>
      <c r="N42" s="2" t="inlineStr">
        <is>
          <t>ข้อ 3 (PLE_CC1_Key_Rx20_UBU.md)</t>
        </is>
      </c>
      <c r="O42" s="2" t="inlineStr">
        <is>
          <t>Mock</t>
        </is>
      </c>
      <c r="P42" s="2" t="inlineStr">
        <is>
          <t>Mock Rx20 UBU</t>
        </is>
      </c>
    </row>
    <row r="43" ht="13.2" customHeight="1" s="49">
      <c r="A43" s="2" t="n">
        <v>41</v>
      </c>
      <c r="B43" s="2" t="inlineStr">
        <is>
          <t>Non-Aqueous acid base titration ใช้กรด (perchloric acid) และเบสเป็น titrant (Sodium methoxide)</t>
        </is>
      </c>
      <c r="C43" s="2" t="n"/>
      <c r="D43" s="2" t="inlineStr">
        <is>
          <t>Complexometric Titration (EDTA)</t>
        </is>
      </c>
      <c r="E43" s="2" t="inlineStr">
        <is>
          <t>Precipitation Titration (Mohr method)</t>
        </is>
      </c>
      <c r="F43" s="2" t="inlineStr">
        <is>
          <t>Volhard Titration method</t>
        </is>
      </c>
      <c r="G43" s="2" t="inlineStr">
        <is>
          <t>Fajans Adsorption Indicator method</t>
        </is>
      </c>
      <c r="H43" s="2" t="inlineStr">
        <is>
          <t>Potentiometric End-point Titration</t>
        </is>
      </c>
      <c r="I43" s="2" t="n">
        <v>1</v>
      </c>
      <c r="J4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Acid-base titration</t>
        </is>
      </c>
      <c r="M43" s="2" t="inlineStr">
        <is>
          <t>Product</t>
        </is>
      </c>
      <c r="N43" s="2" t="inlineStr">
        <is>
          <t>ข้อ 4 (PLE_CC1_Key_Rx20_UBU.md)</t>
        </is>
      </c>
      <c r="O43" s="2" t="inlineStr">
        <is>
          <t>Mock</t>
        </is>
      </c>
      <c r="P43" s="2" t="inlineStr">
        <is>
          <t>Mock Rx20 UBU</t>
        </is>
      </c>
    </row>
    <row r="44" ht="13.2" customHeight="1" s="49">
      <c r="A44" s="2" t="n">
        <v>42</v>
      </c>
      <c r="B44" s="2" t="inlineStr">
        <is>
          <t>Precipitation titration ใช้หลัก Ag, Hg, Pb เจอหมู่ 7 ตกตะกอน</t>
        </is>
      </c>
      <c r="C44" s="2" t="n"/>
      <c r="D44" s="2" t="inlineStr">
        <is>
          <t>Fajans Adsorption Indicator method</t>
        </is>
      </c>
      <c r="E44" s="2" t="inlineStr">
        <is>
          <t>Potentiometric End-point Titration</t>
        </is>
      </c>
      <c r="F44" s="2" t="inlineStr">
        <is>
          <t>Biamperometric Titration</t>
        </is>
      </c>
      <c r="G44" s="2" t="inlineStr">
        <is>
          <t>Nonaqueous Acid-Base Titration</t>
        </is>
      </c>
      <c r="H44" s="2" t="inlineStr">
        <is>
          <t>Direct Acid-Base Titration</t>
        </is>
      </c>
      <c r="I44" s="2" t="n">
        <v>1</v>
      </c>
      <c r="J44" s="2"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Precipitation titration</t>
        </is>
      </c>
      <c r="M44" s="2" t="inlineStr">
        <is>
          <t>Product</t>
        </is>
      </c>
      <c r="N44" s="2" t="inlineStr">
        <is>
          <t>ข้อ 5 (PLE_CC1_Key_Rx20_UBU.md)</t>
        </is>
      </c>
      <c r="O44" s="2" t="inlineStr">
        <is>
          <t>Mock</t>
        </is>
      </c>
      <c r="P44" s="2" t="inlineStr">
        <is>
          <t>Mock Rx20 UBU</t>
        </is>
      </c>
    </row>
    <row r="45" ht="13.2" customHeight="1" s="49">
      <c r="A45" s="2" t="n">
        <v>43</v>
      </c>
      <c r="B45" s="2"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2" t="n"/>
      <c r="D45" s="2" t="inlineStr">
        <is>
          <t>Nonaqueous Acid-Base Titration</t>
        </is>
      </c>
      <c r="E45" s="2" t="inlineStr">
        <is>
          <t>Direct Acid-Base Titration</t>
        </is>
      </c>
      <c r="F45" s="2" t="inlineStr">
        <is>
          <t>Back Acid-Base Titration</t>
        </is>
      </c>
      <c r="G45" s="2" t="inlineStr">
        <is>
          <t>Redox Titration (Iodometry)</t>
        </is>
      </c>
      <c r="H45" s="2" t="inlineStr">
        <is>
          <t>Complexometric Titration (EDTA)</t>
        </is>
      </c>
      <c r="I45" s="2" t="n">
        <v>3</v>
      </c>
      <c r="J45" s="2"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Acid-base titration</t>
        </is>
      </c>
      <c r="M45" s="2" t="inlineStr">
        <is>
          <t>Product</t>
        </is>
      </c>
      <c r="N45" s="2" t="inlineStr">
        <is>
          <t>ข้อ 69 (PLE_CC1_Key_Rx20_UBU.md)</t>
        </is>
      </c>
      <c r="O45" s="2" t="inlineStr">
        <is>
          <t>Mock</t>
        </is>
      </c>
      <c r="P45" s="2" t="inlineStr">
        <is>
          <t>Mock Rx20 UBU</t>
        </is>
      </c>
    </row>
    <row r="46" ht="13.2" customHeight="1" s="49">
      <c r="A46" s="2" t="n">
        <v>44</v>
      </c>
      <c r="B46" s="2" t="inlineStr">
        <is>
          <t>การวิเคราะห์ FeSO4 ด้วยสารละลาย potassium permanganate (KMnO4) ใช้วิธีวิเคราะห์ใด</t>
        </is>
      </c>
      <c r="C46" s="2" t="n"/>
      <c r="D46" s="2" t="inlineStr">
        <is>
          <t>Acid-base titration</t>
        </is>
      </c>
      <c r="E46" s="2" t="inlineStr">
        <is>
          <t>Non-aqueous acid-base titration</t>
        </is>
      </c>
      <c r="F46" s="2" t="inlineStr">
        <is>
          <t>Oxidation-reduction titration (Redox titration)</t>
        </is>
      </c>
      <c r="G46" s="2" t="inlineStr">
        <is>
          <t>Complexometric titration</t>
        </is>
      </c>
      <c r="H46" s="2" t="inlineStr">
        <is>
          <t>Precipitation titration</t>
        </is>
      </c>
      <c r="I46" s="2" t="n">
        <v>3</v>
      </c>
      <c r="J46" s="2"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6" s="2" t="n"/>
      <c r="L46" s="2" t="inlineStr">
        <is>
          <t>Redox titration</t>
        </is>
      </c>
      <c r="M46" s="2" t="inlineStr">
        <is>
          <t>Product</t>
        </is>
      </c>
      <c r="N46" s="2" t="inlineStr">
        <is>
          <t>ข้อ 70 (PLE_CC1_Key_Rx20_UBU.md)</t>
        </is>
      </c>
      <c r="O46" s="2" t="inlineStr">
        <is>
          <t>Mock</t>
        </is>
      </c>
      <c r="P46" s="2" t="inlineStr">
        <is>
          <t>Mock Rx20 UBU</t>
        </is>
      </c>
    </row>
    <row r="47" ht="13.2" customHeight="1" s="49">
      <c r="A47" s="2" t="n">
        <v>45</v>
      </c>
      <c r="B47" s="2"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2" t="n"/>
      <c r="D47" s="2" t="inlineStr">
        <is>
          <t>co-solvent</t>
        </is>
      </c>
      <c r="E47" s="2" t="inlineStr">
        <is>
          <t>pH</t>
        </is>
      </c>
      <c r="F47" s="2" t="inlineStr">
        <is>
          <t>complex salt form</t>
        </is>
      </c>
      <c r="G47" s="2" t="inlineStr">
        <is>
          <t>liposome</t>
        </is>
      </c>
      <c r="H47" s="2" t="inlineStr">
        <is>
          <t>micelle</t>
        </is>
      </c>
      <c r="I47" s="2" t="n">
        <v>1</v>
      </c>
      <c r="J47" s="2"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Complexometric titration</t>
        </is>
      </c>
      <c r="M47" s="2" t="inlineStr">
        <is>
          <t>Product</t>
        </is>
      </c>
      <c r="N47" s="2" t="inlineStr">
        <is>
          <t>ข้อ 42 (PLE_CC1_Key_Rx20_UBU.md)</t>
        </is>
      </c>
      <c r="O47" s="2" t="inlineStr">
        <is>
          <t>Mock</t>
        </is>
      </c>
      <c r="P47" s="2" t="inlineStr">
        <is>
          <t>Mock Rx20 UBU</t>
        </is>
      </c>
    </row>
    <row r="48" ht="409.6" customHeight="1" s="49">
      <c r="A48" s="35" t="n">
        <v>46</v>
      </c>
      <c r="B48" s="34" t="inlineStr">
        <is>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is>
      </c>
      <c r="C48" s="35" t="n"/>
      <c r="D48" s="34" t="inlineStr">
        <is>
          <t>Direct titration</t>
        </is>
      </c>
      <c r="E48" s="34" t="inlineStr">
        <is>
          <t>Residual titration</t>
        </is>
      </c>
      <c r="F48" s="34" t="inlineStr">
        <is>
          <t>Complexometric titration</t>
        </is>
      </c>
      <c r="G48" s="34" t="inlineStr">
        <is>
          <t>Precipitation titration</t>
        </is>
      </c>
      <c r="H48" s="34" t="n"/>
      <c r="I48" s="35" t="n">
        <v>1</v>
      </c>
      <c r="J48" s="34" t="inlineStr">
        <is>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8" s="35" t="n"/>
      <c r="L48" s="34" t="inlineStr">
        <is>
          <t>Titrimetric Analysis</t>
        </is>
      </c>
      <c r="M48" s="35" t="inlineStr">
        <is>
          <t>Product</t>
        </is>
      </c>
      <c r="N48" s="34" t="inlineStr">
        <is>
          <t>ข้อสอบจริง Product ปี 2566 ข้อ 1</t>
        </is>
      </c>
      <c r="O48" s="35" t="inlineStr">
        <is>
          <t>ข้อสอบจริง</t>
        </is>
      </c>
      <c r="P48" s="35" t="inlineStr">
        <is>
          <t>ปี 2566</t>
        </is>
      </c>
    </row>
    <row r="49" ht="409.6" customHeight="1" s="49">
      <c r="A49" s="35" t="n">
        <v>47</v>
      </c>
      <c r="B49" s="34" t="inlineStr">
        <is>
          <t>(ปี 2566, Day 2 ข้อ 88\) (เรื่อง: วิธี Assay KCl) ให้ Assay ใน Monograph ของ KCl มา (ไตเตรทด้วย silver nitrate, eosin Y indicator)</t>
        </is>
      </c>
      <c r="C49" s="35" t="n"/>
      <c r="D49" s="34" t="inlineStr">
        <is>
          <t>Acid-base titration</t>
        </is>
      </c>
      <c r="E49" s="34" t="inlineStr">
        <is>
          <t>Precipitation titration</t>
        </is>
      </c>
      <c r="F49" s="34" t="inlineStr">
        <is>
          <t>Complexometric titration</t>
        </is>
      </c>
      <c r="G49" s="34" t="inlineStr">
        <is>
          <t>Redox titration</t>
        </is>
      </c>
      <c r="H49" s="34" t="n"/>
      <c r="I49" s="35" t="n">
        <v>1</v>
      </c>
      <c r="J49" s="34" t="inlineStr">
        <is>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9" s="35" t="n"/>
      <c r="L49" s="34" t="inlineStr">
        <is>
          <t>Titrimetric Analysis</t>
        </is>
      </c>
      <c r="M49" s="35" t="inlineStr">
        <is>
          <t>Product</t>
        </is>
      </c>
      <c r="N49" s="34" t="inlineStr">
        <is>
          <t>ข้อสอบจริง Product ปี 2566 ข้อ 34</t>
        </is>
      </c>
      <c r="O49" s="35" t="inlineStr">
        <is>
          <t>ข้อสอบจริง</t>
        </is>
      </c>
      <c r="P49" s="35" t="inlineStr">
        <is>
          <t>ปี 2566</t>
        </is>
      </c>
    </row>
    <row r="50" ht="409.6" customHeight="1" s="49">
      <c r="A50" s="35" t="n">
        <v>48</v>
      </c>
      <c r="B50" s="34" t="inlineStr">
        <is>
          <t>สารอะไรออกฤทธิ์ต้าน oxidation ในยาตา</t>
        </is>
      </c>
      <c r="C50" s="35" t="n"/>
      <c r="D50" s="34" t="inlineStr">
        <is>
          <t>perborate</t>
        </is>
      </c>
      <c r="E50" s="34" t="inlineStr">
        <is>
          <t>BKA</t>
        </is>
      </c>
      <c r="F50" s="34" t="inlineStr">
        <is>
          <t>EDTA</t>
        </is>
      </c>
      <c r="G50" s="34" t="inlineStr">
        <is>
          <t>camphor RH</t>
        </is>
      </c>
      <c r="H50" s="34" t="inlineStr">
        <is>
          <t>PEG Part อื่นๆ</t>
        </is>
      </c>
      <c r="I50" s="35" t="n">
        <v>1</v>
      </c>
      <c r="J50" s="34" t="inlineStr">
        <is>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0" s="35" t="n"/>
      <c r="L50" s="34" t="inlineStr">
        <is>
          <t>Titrimetric Analysis</t>
        </is>
      </c>
      <c r="M50" s="35" t="inlineStr">
        <is>
          <t>Product</t>
        </is>
      </c>
      <c r="N50" s="34" t="inlineStr">
        <is>
          <t>ข้อสอบจริง Product ปี 2565 ข้อ 73</t>
        </is>
      </c>
      <c r="O50" s="35" t="inlineStr">
        <is>
          <t>ข้อสอบจริง</t>
        </is>
      </c>
      <c r="P50" s="35" t="inlineStr">
        <is>
          <t>ปี 2565</t>
        </is>
      </c>
    </row>
    <row r="51" ht="409.6" customHeight="1" s="49">
      <c r="A51" s="35" t="n">
        <v>49</v>
      </c>
      <c r="B51" s="34" t="inlineStr">
        <is>
          <t>ให้สูตรตำรับ ทำ rifampicin suspension จาก rifampicin capsule ข้อใดทำหน้าที่เป็น co-solvent</t>
        </is>
      </c>
      <c r="C51" s="35" t="n"/>
      <c r="D51" s="34" t="inlineStr">
        <is>
          <t>Glycerin, PEG, ascorbic acid</t>
        </is>
      </c>
      <c r="E51" s="34" t="inlineStr">
        <is>
          <t>Glycerin, PEG, sorbitol solution</t>
        </is>
      </c>
      <c r="F51" s="34" t="inlineStr">
        <is>
          <t>PEG, ascorbic acid, Saccharin</t>
        </is>
      </c>
      <c r="G51" s="34" t="inlineStr">
        <is>
          <t>Ascorbic acid, sorbitol solution, EDTA</t>
        </is>
      </c>
      <c r="H51" s="34" t="inlineStr">
        <is>
          <t>Ascorbic acid. EDTA. Saccharin</t>
        </is>
      </c>
      <c r="I51" s="35" t="n">
        <v>1</v>
      </c>
      <c r="J51" s="34" t="inlineStr">
        <is>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1" s="35" t="n"/>
      <c r="L51" s="34" t="inlineStr">
        <is>
          <t>Titrimetric Analysis</t>
        </is>
      </c>
      <c r="M51" s="35" t="inlineStr">
        <is>
          <t>Product</t>
        </is>
      </c>
      <c r="N51" s="34" t="inlineStr">
        <is>
          <t>ข้อสอบจริง Product ปี 2565 ข้อ 54</t>
        </is>
      </c>
      <c r="O51" s="35" t="inlineStr">
        <is>
          <t>ข้อสอบจริง</t>
        </is>
      </c>
      <c r="P51" s="35" t="inlineStr">
        <is>
          <t>ปี 2565</t>
        </is>
      </c>
    </row>
    <row r="52" ht="409.6" customHeight="1" s="49">
      <c r="A52" s="35" t="n">
        <v>50</v>
      </c>
      <c r="B52" s="34" t="inlineStr">
        <is>
          <t>การหาปริมาณ Cl- ในนํ้าเกลือ โดยวิธีการไตเตรชั่นใช้ Ag ที่มากเกินพอ Ag ใช้ Fe3+ เป็นอินดิเคเต่อร์ ใช้วิธีการไตเตรชั่นแบบใด</t>
        </is>
      </c>
      <c r="C52" s="35" t="n"/>
      <c r="D52" s="34" t="inlineStr">
        <is>
          <t>Direct titration ต้อง ไตเตรต Cl⁻ กับ AgNO₃ โดยตรง (เช่น วิธี Mohr)</t>
        </is>
      </c>
      <c r="E52" s="34" t="inlineStr">
        <is>
          <t>Indirect titration  เป็นการหาสารโดยอ้อม แต่ไม่ได้จำเพาะว่าต้องเติมสารเกินแล้วไตเตรตย้อน</t>
        </is>
      </c>
      <c r="F52" s="34" t="inlineStr">
        <is>
          <t>Back titration</t>
        </is>
      </c>
      <c r="G52" s="34" t="inlineStr">
        <is>
          <t>Differentiating titration  ไม่ใช่ชื่อวิธีมาตรฐานในกรณีนี้</t>
        </is>
      </c>
      <c r="H52" s="34" t="inlineStr">
        <is>
          <t>Redox titration  ไม่ใช่ปฏิกิริยารีดอกซ์ แต่เป็นปฏิกิริยาการเกิดตะกอน (precipitation)</t>
        </is>
      </c>
      <c r="I52" s="35" t="n">
        <v>1</v>
      </c>
      <c r="J52" s="34" t="inlineStr">
        <is>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2" s="35" t="n"/>
      <c r="L52" s="34" t="inlineStr">
        <is>
          <t>Titrimetric Analysis</t>
        </is>
      </c>
      <c r="M52" s="35" t="inlineStr">
        <is>
          <t>Product</t>
        </is>
      </c>
      <c r="N52" s="34" t="inlineStr">
        <is>
          <t>ข้อสอบจริง Product ปี 2564 ข้อ 4</t>
        </is>
      </c>
      <c r="O52" s="35" t="inlineStr">
        <is>
          <t>ข้อสอบจริง</t>
        </is>
      </c>
      <c r="P52" s="35" t="inlineStr">
        <is>
          <t>ปี 2564</t>
        </is>
      </c>
    </row>
    <row r="53" ht="409.6" customHeight="1" s="49">
      <c r="A53" s="35" t="n">
        <v>51</v>
      </c>
      <c r="B53" s="34" t="inlineStr">
        <is>
          <t>สารใดทําให้ตํารับยาตาอยู่ในตาได้นานขึ้น</t>
        </is>
      </c>
      <c r="C53" s="35" t="n"/>
      <c r="D53" s="34" t="inlineStr">
        <is>
          <t>Benzalkonium chloride  เป็นสารกันเสีย (preservative)</t>
        </is>
      </c>
      <c r="E53" s="34" t="inlineStr">
        <is>
          <t>Hypromellose</t>
        </is>
      </c>
      <c r="F53" s="34" t="inlineStr">
        <is>
          <t>EDTA  เป็นสารจับโลหะ (chelating agent) ช่วยเพิ่มประสิทธิภาพสารกันเสีย</t>
        </is>
      </c>
      <c r="G53" s="34" t="inlineStr">
        <is>
          <t>NaCl  ปรับความเป็นไอโซโทนิก (isotonicity)</t>
        </is>
      </c>
      <c r="H53" s="34" t="inlineStr">
        <is>
          <t>Sodium phosphate  ใช้เป็นสารบัฟเฟอร์ ควบคุมค่า pH</t>
        </is>
      </c>
      <c r="I53" s="35" t="n">
        <v>1</v>
      </c>
      <c r="J53" s="34" t="inlineStr">
        <is>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3" s="35" t="n"/>
      <c r="L53" s="34" t="inlineStr">
        <is>
          <t>Titrimetric Analysis</t>
        </is>
      </c>
      <c r="M53" s="35" t="inlineStr">
        <is>
          <t>Product</t>
        </is>
      </c>
      <c r="N53" s="34" t="inlineStr">
        <is>
          <t>ข้อสอบจริง Product ปี 2564 ข้อ 6</t>
        </is>
      </c>
      <c r="O53" s="35" t="inlineStr">
        <is>
          <t>ข้อสอบจริง</t>
        </is>
      </c>
      <c r="P53" s="35" t="inlineStr">
        <is>
          <t>ปี 2564</t>
        </is>
      </c>
    </row>
    <row r="54" ht="409.6" customHeight="1" s="49">
      <c r="A54" s="35" t="n">
        <v>52</v>
      </c>
      <c r="B54" s="34" t="inlineStr">
        <is>
          <t>การหาปริมาณ ferrous sulfate ใน ferrous sulfate tablets USP โดย titrate ด้วย ceric sulfate ในสารละลายกรด และใช้ orthophenanthroline TS เป็น indicator เป็น titration รูปแบบใด</t>
        </is>
      </c>
      <c r="C54" s="35" t="n"/>
      <c r="D54" s="34" t="inlineStr">
        <is>
          <t>Aqueous acid-base  ไม่ใช่ปฏิกิริยากรด-เบส</t>
        </is>
      </c>
      <c r="E54" s="34" t="inlineStr">
        <is>
          <t>Non-aqueous acid-base  ไม่ใช่การไตเตรตในตัวทำละลายที่ไม่ใช่น้ำ</t>
        </is>
      </c>
      <c r="F54" s="34" t="inlineStr">
        <is>
          <t>Precipitation  ไม่มีการเกิดตะกอน</t>
        </is>
      </c>
      <c r="G54" s="34" t="inlineStr">
        <is>
          <t>Complexation  แม้ orthophenanthroline จะเกิดสารเชิงซ้อนกับ Fe²⁺ แต่หลักการวิเคราะห์คือปฏิกิริยารีดอกซ์</t>
        </is>
      </c>
      <c r="H54" s="34" t="inlineStr">
        <is>
          <t>Redox</t>
        </is>
      </c>
      <c r="I54" s="35" t="n">
        <v>1</v>
      </c>
      <c r="J54" s="34" t="inlineStr">
        <is>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4" s="35" t="n"/>
      <c r="L54" s="34" t="inlineStr">
        <is>
          <t>Titrimetric Analysis</t>
        </is>
      </c>
      <c r="M54" s="35" t="inlineStr">
        <is>
          <t>Product</t>
        </is>
      </c>
      <c r="N54" s="34" t="inlineStr">
        <is>
          <t>ข้อสอบจริง Product ปี 2564 ข้อ 11</t>
        </is>
      </c>
      <c r="O54" s="35" t="inlineStr">
        <is>
          <t>ข้อสอบจริง</t>
        </is>
      </c>
      <c r="P54" s="35" t="inlineStr">
        <is>
          <t>ปี 2564</t>
        </is>
      </c>
    </row>
    <row r="55" ht="409.6" customHeight="1" s="49">
      <c r="A55" s="35" t="n">
        <v>53</v>
      </c>
      <c r="B55" s="34" t="inlineStr">
        <is>
          <t>จากสูตร nasal spray สารช่วยทางเภสัชกรรมในข้อใดช่วยทําให้ไม่รู้สึกระคายเคืองเวลาใช้ยาพ่นจมูก</t>
        </is>
      </c>
      <c r="C55" s="35" t="n"/>
      <c r="D55" s="34" t="inlineStr">
        <is>
          <t>Carboxymethyl cellulose (CMC)  เพิ่มความหนืด (Viscosity enhancer)</t>
        </is>
      </c>
      <c r="E55" s="34" t="inlineStr">
        <is>
          <t>Dextrose anhydrous</t>
        </is>
      </c>
      <c r="F55" s="34" t="inlineStr">
        <is>
          <t>Disodium edetate (EDTA)  เป็น Chelating agent</t>
        </is>
      </c>
      <c r="G55" s="34" t="inlineStr">
        <is>
          <t>Hydrochloric acid  ใช้ปรับ pH</t>
        </is>
      </c>
      <c r="H55" s="34" t="inlineStr">
        <is>
          <t>Polysorbate 80 เป็น Surfactant/solubilizer</t>
        </is>
      </c>
      <c r="I55" s="35" t="n">
        <v>1</v>
      </c>
      <c r="J55" s="34" t="inlineStr">
        <is>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5" s="35" t="n"/>
      <c r="L55" s="34" t="inlineStr">
        <is>
          <t>Titrimetric Analysis</t>
        </is>
      </c>
      <c r="M55" s="35" t="inlineStr">
        <is>
          <t>Product</t>
        </is>
      </c>
      <c r="N55" s="34" t="inlineStr">
        <is>
          <t>ข้อสอบจริง Product ปี 2564 ข้อ 31</t>
        </is>
      </c>
      <c r="O55" s="35" t="inlineStr">
        <is>
          <t>ข้อสอบจริง</t>
        </is>
      </c>
      <c r="P55" s="35" t="inlineStr">
        <is>
          <t>ปี 2564</t>
        </is>
      </c>
    </row>
    <row r="56" ht="409.6" customHeight="1" s="49">
      <c r="A56" s="35" t="n">
        <v>54</v>
      </c>
      <c r="B56" s="34" t="inlineStr">
        <is>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is>
      </c>
      <c r="C56" s="35" t="n"/>
      <c r="D56" s="34" t="inlineStr">
        <is>
          <t>Organic impurities ตรวจสารเจือปนอินทรีย์ ไม่เกี่ยวกับการคำนวณ on dried basis</t>
        </is>
      </c>
      <c r="E56" s="34" t="inlineStr">
        <is>
          <t>Loss on drying</t>
        </is>
      </c>
      <c r="F56" s="34" t="inlineStr">
        <is>
          <t>Uniformity of dosage units  ใช้กับผลิตภัณฑ์สำเร็จรูป ไม่ใช่วัตถุดิบ</t>
        </is>
      </c>
      <c r="G56" s="34" t="inlineStr">
        <is>
          <t>Water determination  ใช้วัดน้ำโดยตรง (เช่น Karl Fischer) แต่เมื่อ monograph ระบุ on dried basis โดยทั่วไปจะอ้างอิง Loss on Drying</t>
        </is>
      </c>
      <c r="H56" s="34" t="inlineStr">
        <is>
          <t>Dissolution  ใช้กับยาเม็ดหรือแคปซูลสำเร็จรูป PLE_CC1_2564_All_Key.pdf</t>
        </is>
      </c>
      <c r="I56" s="35" t="n">
        <v>1</v>
      </c>
      <c r="J56" s="34" t="inlineStr">
        <is>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6" s="35" t="n"/>
      <c r="L56" s="34" t="inlineStr">
        <is>
          <t>Titrimetric Analysis</t>
        </is>
      </c>
      <c r="M56" s="35" t="inlineStr">
        <is>
          <t>Product</t>
        </is>
      </c>
      <c r="N56" s="34" t="inlineStr">
        <is>
          <t>ข้อสอบจริง Product ปี 2564 ข้อ 32</t>
        </is>
      </c>
      <c r="O56" s="35" t="inlineStr">
        <is>
          <t>ข้อสอบจริง</t>
        </is>
      </c>
      <c r="P56" s="35" t="inlineStr">
        <is>
          <t>ปี 2564</t>
        </is>
      </c>
    </row>
    <row r="57" ht="409.6" customHeight="1" s="49">
      <c r="A57" s="35" t="n">
        <v>55</v>
      </c>
      <c r="B57" s="34" t="inlineStr">
        <is>
          <t>Aluminium and magnesium suspension ใช้การวิเคราะห์แบบใด (ให้ Assay มา)</t>
        </is>
      </c>
      <c r="C57" s="35" t="n"/>
      <c r="D57" s="34" t="inlineStr">
        <is>
          <t>acid base titration</t>
        </is>
      </c>
      <c r="E57" s="34" t="inlineStr">
        <is>
          <t>complexation direct titration</t>
        </is>
      </c>
      <c r="F57" s="34" t="inlineStr">
        <is>
          <t>Complexation back titration</t>
        </is>
      </c>
      <c r="G57" s="34" t="inlineStr">
        <is>
          <t>Redox back</t>
        </is>
      </c>
      <c r="H57" s="34" t="inlineStr">
        <is>
          <t>Redox direct</t>
        </is>
      </c>
      <c r="I57" s="35" t="n">
        <v>1</v>
      </c>
      <c r="J57" s="34" t="inlineStr">
        <is>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7" s="35" t="n"/>
      <c r="L57" s="34" t="inlineStr">
        <is>
          <t>Titrimetric Analysis</t>
        </is>
      </c>
      <c r="M57" s="35" t="inlineStr">
        <is>
          <t>Product</t>
        </is>
      </c>
      <c r="N57" s="34" t="inlineStr">
        <is>
          <t>ข้อสอบจริง Product ปี 2564 ข้อ 52</t>
        </is>
      </c>
      <c r="O57" s="35" t="inlineStr">
        <is>
          <t>ข้อสอบจริง</t>
        </is>
      </c>
      <c r="P57" s="35" t="inlineStr">
        <is>
          <t>ปี 2564</t>
        </is>
      </c>
    </row>
    <row r="58" ht="409.6" customHeight="1" s="49">
      <c r="A58" s="35" t="n">
        <v>56</v>
      </c>
      <c r="B58" s="34" t="inlineStr">
        <is>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is>
      </c>
      <c r="C58" s="35" t="inlineStr">
        <is>
          <t>[แนบรูป: ข้อสอบ Product ปี 2564 รหัสรูปภาพ image80]</t>
        </is>
      </c>
      <c r="D58" s="34" t="inlineStr">
        <is>
          <t>วิธี Direct titration มี Sodium Hydroxide เป็น Titrant</t>
        </is>
      </c>
      <c r="E58" s="34" t="inlineStr">
        <is>
          <t>วิธี Direct titration มี Sulfuric acid เป็น Titrant</t>
        </is>
      </c>
      <c r="F58" s="34" t="inlineStr">
        <is>
          <t>วิธี Indirect titration มี Sodium Hydroxide เป็น Titrant</t>
        </is>
      </c>
      <c r="G58" s="34" t="inlineStr">
        <is>
          <t>วิธี Indirect titration มี Sulfuric acid เป็น Titrant</t>
        </is>
      </c>
      <c r="H58" s="34" t="inlineStr">
        <is>
          <t>วิธี Indirect titration มี Sulfuric acid และ Sodium Hydroxide เป็น Titrant</t>
        </is>
      </c>
      <c r="I58" s="35" t="n">
        <v>1</v>
      </c>
      <c r="J58" s="34" t="inlineStr">
        <is>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8" s="35" t="n"/>
      <c r="L58" s="34" t="inlineStr">
        <is>
          <t>Titrimetric Analysis</t>
        </is>
      </c>
      <c r="M58" s="35" t="inlineStr">
        <is>
          <t>Product</t>
        </is>
      </c>
      <c r="N58" s="34" t="inlineStr">
        <is>
          <t>ข้อสอบจริง Product ปี 2564 ข้อ 69</t>
        </is>
      </c>
      <c r="O58" s="35" t="inlineStr">
        <is>
          <t>ข้อสอบจริง</t>
        </is>
      </c>
      <c r="P58" s="35" t="inlineStr">
        <is>
          <t>ปี 2564</t>
        </is>
      </c>
    </row>
    <row r="59" ht="409.6" customHeight="1" s="49">
      <c r="A59" s="35" t="n">
        <v>57</v>
      </c>
      <c r="B59" s="34" t="inlineStr">
        <is>
          <t>1 ml 0.1 N perchloric acid = ... mg salbutamol sulfate (MW 576.70)</t>
        </is>
      </c>
      <c r="C59" s="35" t="inlineStr">
        <is>
          <t>[แนบรูป: ข้อสอบ Product ปี 2564 รหัสรูปภาพ image81]</t>
        </is>
      </c>
      <c r="D59" s="34" t="inlineStr">
        <is>
          <t>71</t>
        </is>
      </c>
      <c r="E59" s="34" t="inlineStr">
        <is>
          <t>118</t>
        </is>
      </c>
      <c r="F59" s="34" t="inlineStr">
        <is>
          <t>287.35</t>
        </is>
      </c>
      <c r="G59" s="34" t="inlineStr">
        <is>
          <t>576.7</t>
        </is>
      </c>
      <c r="H59" s="34" t="inlineStr">
        <is>
          <t>57.67</t>
        </is>
      </c>
      <c r="I59" s="35" t="n">
        <v>1</v>
      </c>
      <c r="J59" s="34" t="inlineStr">
        <is>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9" s="35" t="n"/>
      <c r="L59" s="34" t="inlineStr">
        <is>
          <t>Titrimetric Analysis</t>
        </is>
      </c>
      <c r="M59" s="35" t="inlineStr">
        <is>
          <t>Product</t>
        </is>
      </c>
      <c r="N59" s="34" t="inlineStr">
        <is>
          <t>ข้อสอบจริง Product ปี 2564 ข้อ 79</t>
        </is>
      </c>
      <c r="O59" s="35" t="inlineStr">
        <is>
          <t>ข้อสอบจริง</t>
        </is>
      </c>
      <c r="P59" s="35" t="inlineStr">
        <is>
          <t>ปี 2564</t>
        </is>
      </c>
    </row>
    <row r="60" ht="409.6" customHeight="1" s="49">
      <c r="A60" s="35" t="n">
        <v>58</v>
      </c>
      <c r="B60" s="34" t="inlineStr">
        <is>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is>
      </c>
      <c r="C60" s="35" t="n"/>
      <c r="D60" s="34" t="inlineStr">
        <is>
          <t>Acid-base aqueous titration</t>
        </is>
      </c>
      <c r="E60" s="34" t="inlineStr">
        <is>
          <t>Acid base non aqueous titration</t>
        </is>
      </c>
      <c r="F60" s="34" t="inlineStr">
        <is>
          <t>Complexometric titration</t>
        </is>
      </c>
      <c r="G60" s="34" t="inlineStr">
        <is>
          <t>Precipitation titration</t>
        </is>
      </c>
      <c r="H60" s="34" t="inlineStr">
        <is>
          <t>Back titration</t>
        </is>
      </c>
      <c r="I60" s="35" t="n">
        <v>1</v>
      </c>
      <c r="J60" s="34" t="inlineStr">
        <is>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0" s="35" t="n"/>
      <c r="L60" s="34" t="inlineStr">
        <is>
          <t>Titrimetric Analysis</t>
        </is>
      </c>
      <c r="M60" s="35" t="inlineStr">
        <is>
          <t>Product</t>
        </is>
      </c>
      <c r="N60" s="34" t="inlineStr">
        <is>
          <t>ข้อสอบจริง Product ปี 2564 ข้อ 85</t>
        </is>
      </c>
      <c r="O60" s="35" t="inlineStr">
        <is>
          <t>ข้อสอบจริง</t>
        </is>
      </c>
      <c r="P60" s="35" t="inlineStr">
        <is>
          <t>ปี 2564</t>
        </is>
      </c>
    </row>
    <row r="61" ht="409.6" customHeight="1" s="49">
      <c r="A61" s="35" t="n">
        <v>59</v>
      </c>
      <c r="B61" s="34" t="inlineStr">
        <is>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1" s="35" t="n"/>
      <c r="D61" s="34" t="inlineStr">
        <is>
          <t>Acid-base titration</t>
        </is>
      </c>
      <c r="E61" s="34" t="inlineStr">
        <is>
          <t>Non aqueous</t>
        </is>
      </c>
      <c r="F61" s="34" t="inlineStr">
        <is>
          <t>Precipitater</t>
        </is>
      </c>
      <c r="G61" s="34" t="inlineStr">
        <is>
          <t>Complexation</t>
        </is>
      </c>
      <c r="H61" s="34" t="inlineStr">
        <is>
          <t>Residue</t>
        </is>
      </c>
      <c r="I61" s="35" t="n">
        <v>1</v>
      </c>
      <c r="J61" s="34" t="inlineStr">
        <is>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1" s="35" t="n"/>
      <c r="L61" s="34" t="inlineStr">
        <is>
          <t>Titrimetric Analysis</t>
        </is>
      </c>
      <c r="M61" s="35" t="inlineStr">
        <is>
          <t>Product</t>
        </is>
      </c>
      <c r="N61" s="34" t="inlineStr">
        <is>
          <t>ข้อสอบจริง Product ปี 2564 ข้อ 91</t>
        </is>
      </c>
      <c r="O61" s="35" t="inlineStr">
        <is>
          <t>ข้อสอบจริง</t>
        </is>
      </c>
      <c r="P61" s="35" t="inlineStr">
        <is>
          <t>ปี 2564</t>
        </is>
      </c>
    </row>
    <row r="62" ht="409.6" customHeight="1" s="49">
      <c r="A62" s="35" t="n">
        <v>60</v>
      </c>
      <c r="B62" s="34" t="inlineStr">
        <is>
          <t>ส่วนประกอบกับหน้าที่ของสารเคลือบฟิล์มของ ferrous sulfate</t>
        </is>
      </c>
      <c r="C62" s="35" t="n"/>
      <c r="D62" s="34" t="inlineStr">
        <is>
          <t>Non aqueous titrate</t>
        </is>
      </c>
      <c r="E62" s="34" t="inlineStr">
        <is>
          <t>Aqueous titrate</t>
        </is>
      </c>
      <c r="F62" s="34" t="inlineStr">
        <is>
          <t>Redox titrate</t>
        </is>
      </c>
      <c r="G62" s="34" t="inlineStr">
        <is>
          <t>Complexometric titrate</t>
        </is>
      </c>
      <c r="H62" s="34" t="inlineStr">
        <is>
          <t>Precipitation titrate</t>
        </is>
      </c>
      <c r="I62" s="35" t="n">
        <v>1</v>
      </c>
      <c r="J62" s="34" t="inlineStr">
        <is>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2" s="35" t="n"/>
      <c r="L62" s="34" t="inlineStr">
        <is>
          <t>Titrimetric Analysis</t>
        </is>
      </c>
      <c r="M62" s="35" t="inlineStr">
        <is>
          <t>Product</t>
        </is>
      </c>
      <c r="N62" s="34" t="inlineStr">
        <is>
          <t>ข้อสอบจริง Product ปี 2564 ข้อ 112</t>
        </is>
      </c>
      <c r="O62" s="35" t="inlineStr">
        <is>
          <t>ข้อสอบจริง</t>
        </is>
      </c>
      <c r="P62" s="35" t="inlineStr">
        <is>
          <t>ปี 2564</t>
        </is>
      </c>
    </row>
    <row r="63" ht="409.6" customHeight="1" s="49">
      <c r="A63" s="35" t="n">
        <v>61</v>
      </c>
      <c r="B63" s="34" t="inlineStr">
        <is>
          <t>จากสูตรตำรับ benzoyl peroxide emulgel: carbopol 940, benzoyl peroxide, olive oil, PEG, MP+PP, disodium EDTA, PW, BHT ยาไม่คงตัวที่ pH \&gt; 4.5 ตำรับขุ่นจะปรับตำรับอย่างไรให้ใส</t>
        </is>
      </c>
      <c r="C63" s="35" t="n"/>
      <c r="D63" s="34" t="inlineStr">
        <is>
          <t>เพิ่ม NaOH ❌ ปรับ pH ให้ carbopol เกิดเจล แต่ไม่แก้ความขุ่น และ pH สูงทำให้ benzoyl peroxide ไม่คงตัว</t>
        </is>
      </c>
      <c r="E63" s="34" t="inlineStr">
        <is>
          <t>เติม Tween 20 ✅ เป็น surfactant ช่วย solubilize และเพิ่มความใส</t>
        </is>
      </c>
      <c r="F63" s="34" t="inlineStr">
        <is>
          <t>เติม Span 60 ❌ เป็น lipophilic surfactant เหมาะกับ W/O ไม่ช่วยให้ใส</t>
        </is>
      </c>
      <c r="G63" s="34" t="inlineStr">
        <is>
          <t>ลด phase oil ❌ อาจช่วยลดความขุ่น แต่เปลี่ยนสูตรและไม่ใช่วิธีหลัก</t>
        </is>
      </c>
      <c r="H63" s="34" t="inlineStr">
        <is>
          <t>เพิ่ม BHT ❌ เป็น antioxidant ป้องกัน oxidation ไม่เกี่ยวกับความใส</t>
        </is>
      </c>
      <c r="I63" s="35" t="n">
        <v>1</v>
      </c>
      <c r="J63" s="34" t="inlineStr">
        <is>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3" s="35" t="n"/>
      <c r="L63" s="34" t="inlineStr">
        <is>
          <t>Titrimetric Analysis</t>
        </is>
      </c>
      <c r="M63" s="35" t="inlineStr">
        <is>
          <t>Product</t>
        </is>
      </c>
      <c r="N63" s="34" t="inlineStr">
        <is>
          <t>ข้อสอบจริง Product ปี 2564 ข้อ 125</t>
        </is>
      </c>
      <c r="O63" s="35" t="inlineStr">
        <is>
          <t>ข้อสอบจริง</t>
        </is>
      </c>
      <c r="P63" s="35" t="inlineStr">
        <is>
          <t>ปี 2564</t>
        </is>
      </c>
    </row>
    <row r="64" ht="409.6" customHeight="1" s="49">
      <c r="A64" s="35" t="n">
        <v>62</v>
      </c>
      <c r="B64" s="34" t="inlineStr">
        <is>
          <t>Emulsifying agent ในตำรับข้างต้นคืออะไร</t>
        </is>
      </c>
      <c r="C64" s="35" t="n"/>
      <c r="D64" s="34" t="inlineStr">
        <is>
          <t>NaOH ❌ ปรับ pH / neutralize carbopol</t>
        </is>
      </c>
      <c r="E64" s="34" t="inlineStr">
        <is>
          <t>Sodium oleate ✅ Emulsifier (soap-type surfactant)</t>
        </is>
      </c>
      <c r="F64" s="34" t="inlineStr">
        <is>
          <t>EDTA ❌ Chelating agent จับโลหะ ช่วยเพิ่มความคงตัว</t>
        </is>
      </c>
      <c r="G64" s="34" t="inlineStr">
        <is>
          <t>Olive oil ❌ Oil phase / emollient</t>
        </is>
      </c>
      <c r="H64" s="34" t="inlineStr">
        <is>
          <t>Carbopol ❌ Gelling agent เพิ่มความหนืด</t>
        </is>
      </c>
      <c r="I64" s="35" t="n">
        <v>1</v>
      </c>
      <c r="J64" s="34" t="inlineStr">
        <is>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4" s="35" t="n"/>
      <c r="L64" s="34" t="inlineStr">
        <is>
          <t>Titrimetric Analysis</t>
        </is>
      </c>
      <c r="M64" s="35" t="inlineStr">
        <is>
          <t>Product</t>
        </is>
      </c>
      <c r="N64" s="34" t="inlineStr">
        <is>
          <t>ข้อสอบจริง Product ปี 2564 ข้อ 126</t>
        </is>
      </c>
      <c r="O64" s="35" t="inlineStr">
        <is>
          <t>ข้อสอบจริง</t>
        </is>
      </c>
      <c r="P64" s="35" t="inlineStr">
        <is>
          <t>ปี 2564</t>
        </is>
      </c>
    </row>
    <row r="65" ht="409.6" customHeight="1" s="49">
      <c r="A65" s="35" t="n">
        <v>63</v>
      </c>
      <c r="B65" s="34" t="inlineStr">
        <is>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35" t="n"/>
      <c r="D65" s="34" t="inlineStr">
        <is>
          <t>Acid-base titration</t>
        </is>
      </c>
      <c r="E65" s="34" t="inlineStr">
        <is>
          <t>Non-aqueous acid-base titration</t>
        </is>
      </c>
      <c r="F65" s="34" t="inlineStr">
        <is>
          <t>Oxidation-reaction titration</t>
        </is>
      </c>
      <c r="G65" s="34" t="inlineStr">
        <is>
          <t>Complexometric titration</t>
        </is>
      </c>
      <c r="H65" s="34" t="inlineStr">
        <is>
          <t>Precipitation titration</t>
        </is>
      </c>
      <c r="I65" s="35" t="n">
        <v>1</v>
      </c>
      <c r="J65" s="34" t="inlineStr">
        <is>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5" s="35" t="n"/>
      <c r="L65" s="34" t="inlineStr">
        <is>
          <t>Titrimetric Analysis</t>
        </is>
      </c>
      <c r="M65" s="35" t="inlineStr">
        <is>
          <t>Product</t>
        </is>
      </c>
      <c r="N65" s="34" t="inlineStr">
        <is>
          <t>ข้อสอบจริง Product ปี 2564 ข้อ 148</t>
        </is>
      </c>
      <c r="O65" s="35" t="inlineStr">
        <is>
          <t>ข้อสอบจริง</t>
        </is>
      </c>
      <c r="P65" s="35" t="inlineStr">
        <is>
          <t>ปี 2564</t>
        </is>
      </c>
    </row>
    <row r="66" ht="409.6" customHeight="1" s="49">
      <c r="A66" s="35" t="n">
        <v>64</v>
      </c>
      <c r="B66" s="34" t="inlineStr">
        <is>
          <t>สารใดช่วยในการป้องกันการเกิดปฏิกิริยาออกซิเดชันในยาหยอดตา</t>
        </is>
      </c>
      <c r="C66" s="35" t="n"/>
      <c r="D66" s="34" t="inlineStr">
        <is>
          <t>Perchlorates ❌ ไม่ใช้เป็นสารป้องกัน oxidation</t>
        </is>
      </c>
      <c r="E66" s="34" t="inlineStr">
        <is>
          <t>Cremophor RH ❌ เป็น solubilizer/surfactant</t>
        </is>
      </c>
      <c r="F66" s="34" t="inlineStr">
        <is>
          <t>Polyethylene glycol ❌ เป็น cosolvent/vehicle</t>
        </is>
      </c>
      <c r="G66" s="34" t="inlineStr">
        <is>
          <t>Benzalkonium chloride ❌ เป็น preservative</t>
        </is>
      </c>
      <c r="H66" s="34" t="inlineStr">
        <is>
          <t>EDTA ✅ Chelating agent ช่วยป้องกัน oxidation โดยจับโลหะ</t>
        </is>
      </c>
      <c r="I66" s="35" t="n">
        <v>1</v>
      </c>
      <c r="J66" s="34" t="inlineStr">
        <is>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6" s="35" t="n"/>
      <c r="L66" s="34" t="inlineStr">
        <is>
          <t>Titrimetric Analysis</t>
        </is>
      </c>
      <c r="M66" s="35" t="inlineStr">
        <is>
          <t>Product</t>
        </is>
      </c>
      <c r="N66" s="34" t="inlineStr">
        <is>
          <t>ข้อสอบจริง Product ปี 2564 ข้อ 149</t>
        </is>
      </c>
      <c r="O66" s="35" t="inlineStr">
        <is>
          <t>ข้อสอบจริง</t>
        </is>
      </c>
      <c r="P66" s="35" t="inlineStr">
        <is>
          <t>ปี 2564</t>
        </is>
      </c>
    </row>
    <row r="67" ht="409.6" customHeight="1" s="49">
      <c r="A67" s="35" t="n">
        <v>65</v>
      </c>
      <c r="B67" s="34" t="inlineStr">
        <is>
          <t>จากการวิเคราะห์ NaCl ด้วย silver nitrate เป็นการวิเคราะห์แบบใด [แนบรูป: ข้อสอบ Product ปี 2564 รหัสรูปภาพ image90]</t>
        </is>
      </c>
      <c r="C67" s="35" t="inlineStr">
        <is>
          <t>[แนบรูป: ข้อสอบ Product ปี 2564 รหัสรูปภาพ image90]</t>
        </is>
      </c>
      <c r="D67" s="34" t="inlineStr">
        <is>
          <t>Karl fisher</t>
        </is>
      </c>
      <c r="E67" s="34" t="inlineStr">
        <is>
          <t>Redox titration</t>
        </is>
      </c>
      <c r="F67" s="34" t="inlineStr">
        <is>
          <t>Acid base titration</t>
        </is>
      </c>
      <c r="G67" s="34" t="inlineStr">
        <is>
          <t>Precipitation titration</t>
        </is>
      </c>
      <c r="H67" s="34" t="inlineStr">
        <is>
          <t>Complexometric titration</t>
        </is>
      </c>
      <c r="I67" s="35" t="n">
        <v>1</v>
      </c>
      <c r="J67" s="34" t="inlineStr">
        <is>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7" s="35" t="n"/>
      <c r="L67" s="34" t="inlineStr">
        <is>
          <t>Titrimetric Analysis</t>
        </is>
      </c>
      <c r="M67" s="35" t="inlineStr">
        <is>
          <t>Product</t>
        </is>
      </c>
      <c r="N67" s="34" t="inlineStr">
        <is>
          <t>ข้อสอบจริง Product ปี 2564 ข้อ 154</t>
        </is>
      </c>
      <c r="O67" s="35" t="inlineStr">
        <is>
          <t>ข้อสอบจริง</t>
        </is>
      </c>
      <c r="P67" s="35" t="inlineStr">
        <is>
          <t>ปี 2564</t>
        </is>
      </c>
    </row>
    <row r="68" ht="409.6" customHeight="1" s="49">
      <c r="A68" s="35" t="n">
        <v>66</v>
      </c>
      <c r="B68" s="34" t="inlineStr">
        <is>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8" s="35" t="n"/>
      <c r="D68" s="34" t="inlineStr">
        <is>
          <t>Acid-base titration</t>
        </is>
      </c>
      <c r="E68" s="34" t="inlineStr">
        <is>
          <t>Non-aqueous titration</t>
        </is>
      </c>
      <c r="F68" s="34" t="inlineStr">
        <is>
          <t>Precipitation titration</t>
        </is>
      </c>
      <c r="G68" s="34" t="inlineStr">
        <is>
          <t>Complexometric titration</t>
        </is>
      </c>
      <c r="H68" s="34" t="inlineStr">
        <is>
          <t>Redox titration</t>
        </is>
      </c>
      <c r="I68" s="35" t="n">
        <v>5</v>
      </c>
      <c r="J68" s="34" t="inlineStr">
        <is>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8" s="35" t="n"/>
      <c r="L68" s="34" t="inlineStr">
        <is>
          <t>Titrimetric Analysis</t>
        </is>
      </c>
      <c r="M68" s="35" t="inlineStr">
        <is>
          <t>Product</t>
        </is>
      </c>
      <c r="N68" s="34" t="inlineStr">
        <is>
          <t>ข้อสอบจริง Product ปี 2563 ข้อ 1</t>
        </is>
      </c>
      <c r="O68" s="35" t="inlineStr">
        <is>
          <t>ข้อสอบจริง</t>
        </is>
      </c>
      <c r="P68" s="35" t="inlineStr">
        <is>
          <t>ปี 2563</t>
        </is>
      </c>
    </row>
    <row r="69" ht="409.6" customHeight="1" s="49">
      <c r="A69" s="35" t="n">
        <v>67</v>
      </c>
      <c r="B69" s="34" t="inlineStr">
        <is>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is>
      </c>
      <c r="C69" s="35" t="n"/>
      <c r="D69" s="34" t="inlineStr">
        <is>
          <t>วิธี Direct titration มี Sodium Hydroxide เป็น Titrant</t>
        </is>
      </c>
      <c r="E69" s="34" t="inlineStr">
        <is>
          <t>วิธี Direct titration มี Sulfuric acid เป็น Titrant</t>
        </is>
      </c>
      <c r="F69" s="34" t="inlineStr">
        <is>
          <t>วิธี Indirect titration มี Sodium Hydroxide เป็น Titrant</t>
        </is>
      </c>
      <c r="G69" s="34" t="inlineStr">
        <is>
          <t>วิธี Indirect titration มี Sulfuric acid เป็น Titrant</t>
        </is>
      </c>
      <c r="H69" s="34" t="inlineStr">
        <is>
          <t>วิธี Indirect titration มี Sulfuric acid และ Sodium Hydroxide เป็น Titrant</t>
        </is>
      </c>
      <c r="I69" s="35" t="n">
        <v>4</v>
      </c>
      <c r="J69" s="34" t="inlineStr">
        <is>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9" s="35" t="n"/>
      <c r="L69" s="34" t="inlineStr">
        <is>
          <t>Titrimetric Analysis</t>
        </is>
      </c>
      <c r="M69" s="35" t="inlineStr">
        <is>
          <t>Product</t>
        </is>
      </c>
      <c r="N69" s="34" t="inlineStr">
        <is>
          <t>ข้อสอบจริง Product ปี 2563 ข้อ 3</t>
        </is>
      </c>
      <c r="O69" s="35" t="inlineStr">
        <is>
          <t>ข้อสอบจริง</t>
        </is>
      </c>
      <c r="P69" s="35" t="inlineStr">
        <is>
          <t>ปี 2563</t>
        </is>
      </c>
    </row>
    <row r="70" ht="409.6" customHeight="1" s="49">
      <c r="A70" s="35" t="n">
        <v>68</v>
      </c>
      <c r="B70" s="34" t="inlineStr">
        <is>
          <t>1 ml 0.1 N perchloric acid = ... mg salbutamol sulfate (MW=576.70) ต้นฉบับ: Day 2 ข้อ 80</t>
        </is>
      </c>
      <c r="C70" s="35" t="n"/>
      <c r="D70" s="34" t="inlineStr">
        <is>
          <t>71</t>
        </is>
      </c>
      <c r="E70" s="34" t="inlineStr">
        <is>
          <t>118</t>
        </is>
      </c>
      <c r="F70" s="34" t="inlineStr">
        <is>
          <t>287.35</t>
        </is>
      </c>
      <c r="G70" s="34" t="inlineStr">
        <is>
          <t>576.7</t>
        </is>
      </c>
      <c r="H70" s="34" t="inlineStr">
        <is>
          <t>57.67</t>
        </is>
      </c>
      <c r="I70" s="35" t="n">
        <v>5</v>
      </c>
      <c r="J70" s="34" t="inlineStr">
        <is>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0" s="35" t="n"/>
      <c r="L70" s="34" t="inlineStr">
        <is>
          <t>Titrimetric Analysis</t>
        </is>
      </c>
      <c r="M70" s="35" t="inlineStr">
        <is>
          <t>Product</t>
        </is>
      </c>
      <c r="N70" s="34" t="inlineStr">
        <is>
          <t>ข้อสอบจริง Product ปี 2563 ข้อ 5</t>
        </is>
      </c>
      <c r="O70" s="35" t="inlineStr">
        <is>
          <t>ข้อสอบจริง</t>
        </is>
      </c>
      <c r="P70" s="35" t="inlineStr">
        <is>
          <t>ปี 2563</t>
        </is>
      </c>
    </row>
    <row r="71" ht="409.6" customHeight="1" s="49">
      <c r="A71" s="35" t="n">
        <v>69</v>
      </c>
      <c r="B71" s="34" t="inlineStr">
        <is>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is>
      </c>
      <c r="C71" s="35" t="n"/>
      <c r="D71" s="34" t="inlineStr">
        <is>
          <t>Acid-base aqueous titration</t>
        </is>
      </c>
      <c r="E71" s="34" t="inlineStr">
        <is>
          <t>Acid-base non-aqueous titration</t>
        </is>
      </c>
      <c r="F71" s="34" t="inlineStr">
        <is>
          <t>Complexometric titration</t>
        </is>
      </c>
      <c r="G71" s="34" t="inlineStr">
        <is>
          <t>Precipitation titration</t>
        </is>
      </c>
      <c r="H71" s="34" t="inlineStr">
        <is>
          <t>Back titration</t>
        </is>
      </c>
      <c r="I71" s="35" t="n">
        <v>5</v>
      </c>
      <c r="J71" s="34" t="inlineStr">
        <is>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1" s="35" t="n"/>
      <c r="L71" s="34" t="inlineStr">
        <is>
          <t>Titrimetric Analysis</t>
        </is>
      </c>
      <c r="M71" s="35" t="inlineStr">
        <is>
          <t>Product</t>
        </is>
      </c>
      <c r="N71" s="34" t="inlineStr">
        <is>
          <t>ข้อสอบจริง Product ปี 2563 ข้อ 6</t>
        </is>
      </c>
      <c r="O71" s="35" t="inlineStr">
        <is>
          <t>ข้อสอบจริง</t>
        </is>
      </c>
      <c r="P71" s="35" t="inlineStr">
        <is>
          <t>ปี 2563</t>
        </is>
      </c>
    </row>
    <row r="72" ht="409.6" customHeight="1" s="49">
      <c r="A72" s="35" t="n">
        <v>70</v>
      </c>
      <c r="B72" s="34" t="inlineStr">
        <is>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is>
      </c>
      <c r="C72" s="35" t="n"/>
      <c r="D72" s="34" t="inlineStr">
        <is>
          <t>Binder</t>
        </is>
      </c>
      <c r="E72" s="34" t="inlineStr">
        <is>
          <t>Lubricant</t>
        </is>
      </c>
      <c r="F72" s="34" t="inlineStr">
        <is>
          <t>Disintegrant</t>
        </is>
      </c>
      <c r="G72" s="34" t="inlineStr">
        <is>
          <t>Soluble diluents</t>
        </is>
      </c>
      <c r="H72" s="34" t="inlineStr">
        <is>
          <t>Sweetening agent |</t>
        </is>
      </c>
      <c r="I72" s="35" t="n">
        <v>1</v>
      </c>
      <c r="J72" s="34" t="inlineStr">
        <is>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2" s="35" t="n"/>
      <c r="L72" s="34" t="inlineStr">
        <is>
          <t>Titrimetric Analysis</t>
        </is>
      </c>
      <c r="M72" s="35" t="inlineStr">
        <is>
          <t>Product</t>
        </is>
      </c>
      <c r="N72" s="34" t="inlineStr">
        <is>
          <t>ข้อสอบจริง Product ปี 2562 ข้อ 4</t>
        </is>
      </c>
      <c r="O72" s="35" t="inlineStr">
        <is>
          <t>ข้อสอบจริง</t>
        </is>
      </c>
      <c r="P72" s="35" t="inlineStr">
        <is>
          <t>ปี 2562</t>
        </is>
      </c>
    </row>
    <row r="73" ht="409.6" customHeight="1" s="49">
      <c r="A73" s="35" t="n">
        <v>71</v>
      </c>
      <c r="B73" s="34" t="inlineStr">
        <is>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is>
      </c>
      <c r="C73" s="35" t="n"/>
      <c r="D73" s="34" t="inlineStr">
        <is>
          <t>Redox titrate</t>
        </is>
      </c>
      <c r="E73" s="34" t="inlineStr">
        <is>
          <t>Aqueous titrate</t>
        </is>
      </c>
      <c r="F73" s="34" t="inlineStr">
        <is>
          <t>Precipitation titrate</t>
        </is>
      </c>
      <c r="G73" s="34" t="inlineStr">
        <is>
          <t>Non aqueous titrate</t>
        </is>
      </c>
      <c r="H73" s="34" t="inlineStr">
        <is>
          <t>Complexometric titrate</t>
        </is>
      </c>
      <c r="I73" s="35" t="n">
        <v>1</v>
      </c>
      <c r="J73" s="34" t="inlineStr">
        <is>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3" s="35" t="n"/>
      <c r="L73" s="34" t="inlineStr">
        <is>
          <t>Titrimetric Analysis</t>
        </is>
      </c>
      <c r="M73" s="35" t="inlineStr">
        <is>
          <t>Product</t>
        </is>
      </c>
      <c r="N73" s="34" t="inlineStr">
        <is>
          <t>ข้อสอบจริง Product ปี 2561 ข้อ 5</t>
        </is>
      </c>
      <c r="O73" s="35" t="inlineStr">
        <is>
          <t>ข้อสอบจริง</t>
        </is>
      </c>
      <c r="P73" s="35" t="inlineStr">
        <is>
          <t>ปี 2561</t>
        </is>
      </c>
    </row>
    <row r="74" ht="409.6" customHeight="1" s="49">
      <c r="A74" s="35" t="n">
        <v>72</v>
      </c>
      <c r="B74" s="34" t="inlineStr">
        <is>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is>
      </c>
      <c r="C74" s="35" t="n"/>
      <c r="D74" s="34" t="inlineStr">
        <is>
          <t>เพิ่ม NaOH</t>
        </is>
      </c>
      <c r="E74" s="34" t="inlineStr">
        <is>
          <t>เติม Span 60</t>
        </is>
      </c>
      <c r="F74" s="34" t="inlineStr">
        <is>
          <t>เติม Tween 20</t>
        </is>
      </c>
      <c r="G74" s="34" t="inlineStr">
        <is>
          <t>ลดวัฏภาคน้ำมัน</t>
        </is>
      </c>
      <c r="H74" s="34" t="inlineStr">
        <is>
          <t>เพิ่มปริมาณ BHT</t>
        </is>
      </c>
      <c r="I74" s="35" t="n">
        <v>1</v>
      </c>
      <c r="J74" s="34" t="inlineStr">
        <is>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4" s="35" t="n"/>
      <c r="L74" s="34" t="inlineStr">
        <is>
          <t>Titrimetric Analysis</t>
        </is>
      </c>
      <c r="M74" s="35" t="inlineStr">
        <is>
          <t>Product</t>
        </is>
      </c>
      <c r="N74" s="34" t="inlineStr">
        <is>
          <t>ข้อสอบจริง Product ปี 2561 ข้อ 19</t>
        </is>
      </c>
      <c r="O74" s="35" t="inlineStr">
        <is>
          <t>ข้อสอบจริง</t>
        </is>
      </c>
      <c r="P74" s="35" t="inlineStr">
        <is>
          <t>ปี 2561</t>
        </is>
      </c>
    </row>
    <row r="75" ht="409.6" customHeight="1" s="49">
      <c r="A75" s="35" t="n">
        <v>73</v>
      </c>
      <c r="B75" s="34" t="inlineStr">
        <is>
          <t>EDTA ในตำรับข้างต้นทำหน้าที่อะไร</t>
        </is>
      </c>
      <c r="C75" s="35" t="n"/>
      <c r="D75" s="34" t="inlineStr">
        <is>
          <t>Vehicle</t>
        </is>
      </c>
      <c r="E75" s="34" t="inlineStr">
        <is>
          <t>Antioxidant</t>
        </is>
      </c>
      <c r="F75" s="34" t="inlineStr">
        <is>
          <t>Stiffening agent</t>
        </is>
      </c>
      <c r="G75" s="34" t="inlineStr">
        <is>
          <t>Emulsifying agent</t>
        </is>
      </c>
      <c r="H75" s="34" t="inlineStr">
        <is>
          <t>pH adjusting agent</t>
        </is>
      </c>
      <c r="I75" s="35" t="n">
        <v>1</v>
      </c>
      <c r="J75" s="34" t="inlineStr">
        <is>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5" s="35" t="n"/>
      <c r="L75" s="34" t="inlineStr">
        <is>
          <t>Titrimetric Analysis</t>
        </is>
      </c>
      <c r="M75" s="35" t="inlineStr">
        <is>
          <t>Product</t>
        </is>
      </c>
      <c r="N75" s="34" t="inlineStr">
        <is>
          <t>ข้อสอบจริง Product ปี 2561 ข้อ 20</t>
        </is>
      </c>
      <c r="O75" s="35" t="inlineStr">
        <is>
          <t>ข้อสอบจริง</t>
        </is>
      </c>
      <c r="P75" s="35" t="inlineStr">
        <is>
          <t>ปี 2561</t>
        </is>
      </c>
    </row>
    <row r="76" ht="409.6" customHeight="1" s="49">
      <c r="A76" s="35" t="n">
        <v>74</v>
      </c>
      <c r="B76" s="34" t="inlineStr">
        <is>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is>
      </c>
      <c r="C76" s="35" t="n"/>
      <c r="D76" s="34" t="inlineStr">
        <is>
          <t>Acid-base titration</t>
        </is>
      </c>
      <c r="E76" s="34" t="inlineStr">
        <is>
          <t>Precipitation titration</t>
        </is>
      </c>
      <c r="F76" s="34" t="inlineStr">
        <is>
          <t>Complexometric titration</t>
        </is>
      </c>
      <c r="G76" s="34" t="inlineStr">
        <is>
          <t>Oxidation-reaction titration</t>
        </is>
      </c>
      <c r="H76" s="34" t="inlineStr">
        <is>
          <t>Non-aqueous acid-base titration</t>
        </is>
      </c>
      <c r="I76" s="35" t="n">
        <v>1</v>
      </c>
      <c r="J76" s="34" t="inlineStr">
        <is>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6" s="35" t="n"/>
      <c r="L76" s="34" t="inlineStr">
        <is>
          <t>Titrimetric Analysis</t>
        </is>
      </c>
      <c r="M76" s="35" t="inlineStr">
        <is>
          <t>Product</t>
        </is>
      </c>
      <c r="N76" s="34" t="inlineStr">
        <is>
          <t>ข้อสอบจริง Product ปี 2561 ข้อ 55</t>
        </is>
      </c>
      <c r="O76" s="35" t="inlineStr">
        <is>
          <t>ข้อสอบจริง</t>
        </is>
      </c>
      <c r="P76" s="35" t="inlineStr">
        <is>
          <t>ปี 2561</t>
        </is>
      </c>
    </row>
    <row r="77" ht="409.6" customHeight="1" s="49">
      <c r="A77" s="35" t="n">
        <v>75</v>
      </c>
      <c r="B77" s="34" t="inlineStr">
        <is>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is>
      </c>
      <c r="C77" s="35" t="n"/>
      <c r="D77" s="34" t="inlineStr">
        <is>
          <t>14.59</t>
        </is>
      </c>
      <c r="E77" s="34" t="inlineStr">
        <is>
          <t>29.98</t>
        </is>
      </c>
      <c r="F77" s="34" t="inlineStr">
        <is>
          <t>15.9</t>
        </is>
      </c>
      <c r="G77" s="34" t="inlineStr">
        <is>
          <t>149</t>
        </is>
      </c>
      <c r="H77" s="34" t="inlineStr">
        <is>
          <t>1450</t>
        </is>
      </c>
      <c r="I77" s="35" t="n">
        <v>1</v>
      </c>
      <c r="J77" s="34" t="inlineStr">
        <is>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7" s="35" t="n"/>
      <c r="L77" s="34" t="inlineStr">
        <is>
          <t>Titrimetric Analysis</t>
        </is>
      </c>
      <c r="M77" s="35" t="inlineStr">
        <is>
          <t>Product</t>
        </is>
      </c>
      <c r="N77" s="34" t="inlineStr">
        <is>
          <t>ข้อสอบจริง Product ปี 2561 ข้อ 69</t>
        </is>
      </c>
      <c r="O77" s="35" t="inlineStr">
        <is>
          <t>ข้อสอบจริง</t>
        </is>
      </c>
      <c r="P77" s="35" t="inlineStr">
        <is>
          <t>ปี 2561</t>
        </is>
      </c>
    </row>
    <row r="78" ht="409.6" customHeight="1" s="49">
      <c r="A78" s="35" t="n">
        <v>76</v>
      </c>
      <c r="B78" s="34" t="inlineStr">
        <is>
          <t>05 M edetate disodium VS until the solution is deep blue. Each mL of 0.05 M edetate disodium is equivalent to 5.004 mg of calcium carbonate (CaCO3)</t>
        </is>
      </c>
      <c r="C78" s="35" t="n"/>
      <c r="D78" s="34" t="inlineStr">
        <is>
          <t>NaOH ใช้ช่วยละลาย CaCO3</t>
        </is>
      </c>
      <c r="E78" s="34" t="inlineStr">
        <is>
          <t>CaCO3 ต้องถูกเปลี่ยนเป็น CaCl2 ก่อน</t>
        </is>
      </c>
      <c r="F78" s="34" t="inlineStr">
        <is>
          <t>การวิเคราะห์นี้จัดเป็น direct titration</t>
        </is>
      </c>
      <c r="G78" s="34" t="inlineStr">
        <is>
          <t>ใช้เทคนิค complexometric titration</t>
        </is>
      </c>
      <c r="H78" s="34" t="inlineStr">
        <is>
          <t>สารละลายอยู่ในภาวะด่างระหว่างการ Titration</t>
        </is>
      </c>
      <c r="I78" s="35" t="n">
        <v>1</v>
      </c>
      <c r="J78" s="34" t="inlineStr">
        <is>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8" s="35" t="n"/>
      <c r="L78" s="34" t="inlineStr">
        <is>
          <t>Titrimetric Analysis</t>
        </is>
      </c>
      <c r="M78" s="35" t="inlineStr">
        <is>
          <t>Product</t>
        </is>
      </c>
      <c r="N78" s="34" t="inlineStr">
        <is>
          <t>ข้อสอบจริง Product ปี 2561 ข้อ 0</t>
        </is>
      </c>
      <c r="O78" s="35" t="inlineStr">
        <is>
          <t>ข้อสอบจริง</t>
        </is>
      </c>
      <c r="P78" s="35" t="inlineStr">
        <is>
          <t>ปี 2561</t>
        </is>
      </c>
    </row>
    <row r="79" ht="409.6" customHeight="1" s="49">
      <c r="A79" s="35" t="n">
        <v>77</v>
      </c>
      <c r="B79" s="34" t="inlineStr">
        <is>
          <t>จากสูตรตำรับยา - Steroid A - Steric acid - Cetyl alcohol - Butylated hydroxytoluene - Carbomer 934 - Glycerine - Water - EDTA - Paraben concentration - Triethanolamine ข้อใดเป็น emulsifying agent ในตำรับ</t>
        </is>
      </c>
      <c r="C79" s="35" t="n"/>
      <c r="D79" s="34" t="inlineStr">
        <is>
          <t>Steric acid</t>
        </is>
      </c>
      <c r="E79" s="34" t="inlineStr">
        <is>
          <t>Triethanolamine</t>
        </is>
      </c>
      <c r="F79" s="34" t="inlineStr">
        <is>
          <t>Triethanolamine acetate</t>
        </is>
      </c>
      <c r="G79" s="34" t="inlineStr">
        <is>
          <t>Triethanolamine stearate</t>
        </is>
      </c>
      <c r="H79" s="34" t="inlineStr">
        <is>
          <t>Butylated hydroxytoluene</t>
        </is>
      </c>
      <c r="I79" s="35" t="n">
        <v>1</v>
      </c>
      <c r="J79" s="34" t="inlineStr">
        <is>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9" s="35" t="n"/>
      <c r="L79" s="34" t="inlineStr">
        <is>
          <t>Titrimetric Analysis</t>
        </is>
      </c>
      <c r="M79" s="35" t="inlineStr">
        <is>
          <t>Product</t>
        </is>
      </c>
      <c r="N79" s="34" t="inlineStr">
        <is>
          <t>ข้อสอบจริง Product ปี 2561 ข้อ 87</t>
        </is>
      </c>
      <c r="O79" s="35" t="inlineStr">
        <is>
          <t>ข้อสอบจริง</t>
        </is>
      </c>
      <c r="P79" s="35" t="inlineStr">
        <is>
          <t>ปี 2561</t>
        </is>
      </c>
    </row>
    <row r="80" ht="409.6" customHeight="1" s="49">
      <c r="A80" s="35" t="n">
        <v>78</v>
      </c>
      <c r="B80" s="34" t="inlineStr">
        <is>
          <t>หากในการเคลือบฟิล์ม พบฟิล์มหลุดล่อน ควรเติมสารใดเพิ่มในน้ำยาเคลือบ</t>
        </is>
      </c>
      <c r="C80" s="35" t="n"/>
      <c r="D80" s="34" t="inlineStr">
        <is>
          <t>Talc</t>
        </is>
      </c>
      <c r="E80" s="34" t="inlineStr">
        <is>
          <t>EDTA</t>
        </is>
      </c>
      <c r="F80" s="34" t="inlineStr">
        <is>
          <t>Shellac</t>
        </is>
      </c>
      <c r="G80" s="34" t="inlineStr">
        <is>
          <t>Sodium chloride</t>
        </is>
      </c>
      <c r="H80" s="34" t="inlineStr">
        <is>
          <t>Polyethylene glycol</t>
        </is>
      </c>
      <c r="I80" s="35" t="n">
        <v>1</v>
      </c>
      <c r="J80" s="34" t="inlineStr">
        <is>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0" s="35" t="n"/>
      <c r="L80" s="34" t="inlineStr">
        <is>
          <t>Titrimetric Analysis</t>
        </is>
      </c>
      <c r="M80" s="35" t="inlineStr">
        <is>
          <t>Product</t>
        </is>
      </c>
      <c r="N80" s="34" t="inlineStr">
        <is>
          <t>ข้อสอบจริง Product ปี 2561 ข้อ 106</t>
        </is>
      </c>
      <c r="O80" s="35" t="inlineStr">
        <is>
          <t>ข้อสอบจริง</t>
        </is>
      </c>
      <c r="P80" s="35" t="inlineStr">
        <is>
          <t>ปี 2561</t>
        </is>
      </c>
    </row>
    <row r="81" ht="409.6" customHeight="1" s="49">
      <c r="A81" s="35" t="n">
        <v>79</v>
      </c>
      <c r="B81" s="34" t="inlineStr">
        <is>
          <t>Titration ของ aspirin คือแบบไหน</t>
        </is>
      </c>
      <c r="C81" s="35" t="n"/>
      <c r="D81" s="34" t="inlineStr">
        <is>
          <t>Acid-base titration</t>
        </is>
      </c>
      <c r="E81" s="34" t="inlineStr">
        <is>
          <t>Precipitation titration</t>
        </is>
      </c>
      <c r="F81" s="34" t="inlineStr">
        <is>
          <t>Back titration</t>
        </is>
      </c>
      <c r="G81" s="34" t="n"/>
      <c r="H81" s="34" t="n"/>
      <c r="I81" s="35" t="n">
        <v>1</v>
      </c>
      <c r="J81" s="34" t="inlineStr">
        <is>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1" s="35" t="n"/>
      <c r="L81" s="34" t="inlineStr">
        <is>
          <t>Titrimetric Analysis</t>
        </is>
      </c>
      <c r="M81" s="35" t="inlineStr">
        <is>
          <t>Product</t>
        </is>
      </c>
      <c r="N81" s="34" t="inlineStr">
        <is>
          <t>ข้อสอบจริง Product ปี 2559 ข้อ 18</t>
        </is>
      </c>
      <c r="O81" s="35" t="inlineStr">
        <is>
          <t>ข้อสอบจริง</t>
        </is>
      </c>
      <c r="P81" s="35" t="inlineStr">
        <is>
          <t>ปี 2559</t>
        </is>
      </c>
    </row>
    <row r="82" ht="409.6" customHeight="1" s="49">
      <c r="A82" s="35" t="n">
        <v>80</v>
      </c>
      <c r="B82" s="34" t="inlineStr">
        <is>
          <t>จากการวิเคราะห์หาปริมาณยา aspirin ดัง monograph จัดเป็นการ titration แบบใด</t>
        </is>
      </c>
      <c r="C82" s="35" t="n"/>
      <c r="D82" s="34" t="inlineStr">
        <is>
          <t>Direct titration</t>
        </is>
      </c>
      <c r="E82" s="34" t="inlineStr">
        <is>
          <t>Indirect titration</t>
        </is>
      </c>
      <c r="F82" s="34" t="inlineStr">
        <is>
          <t>Residual titration</t>
        </is>
      </c>
      <c r="G82" s="34" t="inlineStr">
        <is>
          <t>Precipitation titration</t>
        </is>
      </c>
      <c r="H82" s="34" t="inlineStr">
        <is>
          <t>Complexometrix titration</t>
        </is>
      </c>
      <c r="I82" s="35" t="n">
        <v>1</v>
      </c>
      <c r="J82" s="34" t="inlineStr">
        <is>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2" s="35" t="n"/>
      <c r="L82" s="34" t="inlineStr">
        <is>
          <t>Titrimetric Analysis</t>
        </is>
      </c>
      <c r="M82" s="35" t="inlineStr">
        <is>
          <t>Product</t>
        </is>
      </c>
      <c r="N82" s="34" t="inlineStr">
        <is>
          <t>ข้อสอบจริง Product ปี 2559 ข้อ 16</t>
        </is>
      </c>
      <c r="O82" s="35" t="inlineStr">
        <is>
          <t>ข้อสอบจริง</t>
        </is>
      </c>
      <c r="P82" s="35" t="inlineStr">
        <is>
          <t>ปี 2559</t>
        </is>
      </c>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78"/>
  <sheetViews>
    <sheetView workbookViewId="0">
      <pane ySplit="2" topLeftCell="A3" activePane="bottomLeft" state="frozen"/>
      <selection pane="bottomLeft" activeCell="B4" sqref="B4"/>
    </sheetView>
  </sheetViews>
  <sheetFormatPr baseColWidth="8" defaultColWidth="12.6640625" defaultRowHeight="15.75" customHeight="1"/>
  <cols>
    <col width="55.77734375" customWidth="1" style="49" min="2" max="2"/>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64.8" customHeight="1" s="49">
      <c r="A2" s="17" t="inlineStr">
        <is>
          <t>ข้อที่</t>
        </is>
      </c>
      <c r="B2" s="18"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6" t="inlineStr">
        <is>
          <t>ประเภทข้อสอบ</t>
        </is>
      </c>
      <c r="P2" s="16" t="inlineStr">
        <is>
          <t>ปี / เลขชุด</t>
        </is>
      </c>
      <c r="Q2" s="16" t="n"/>
    </row>
    <row r="3" ht="409.6" customHeight="1" s="49">
      <c r="A3" s="19" t="inlineStr">
        <is>
          <t>2</t>
        </is>
      </c>
      <c r="B3" s="20"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 t="n"/>
      <c r="D3" s="16" t="inlineStr">
        <is>
          <t>Atomic Absorption Spectroscopy (AAS; สเปกโทรสโกปีการดูดกลืนแสงของอะตอม)</t>
        </is>
      </c>
      <c r="E3" s="16" t="inlineStr">
        <is>
          <t>High-Performance Liquid Chromatography ควบคู่กับ UV detector (HPLC-UV)</t>
        </is>
      </c>
      <c r="F3" s="16" t="inlineStr">
        <is>
          <t>Liquid Chromatography-Mass Spectrometry (LC-MS)</t>
        </is>
      </c>
      <c r="G3" s="16" t="inlineStr">
        <is>
          <t>Fourier Transform Infrared Spectroscopy (FT-IR)</t>
        </is>
      </c>
      <c r="H3" s="16" t="inlineStr">
        <is>
          <t>UV-Vis Spectrophotometry</t>
        </is>
      </c>
      <c r="I3" s="19" t="inlineStr">
        <is>
          <t>1</t>
        </is>
      </c>
      <c r="J3" s="1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 t="inlineStr">
        <is>
          <t>Analytical Method Development &amp; QC</t>
        </is>
      </c>
      <c r="L3" s="16" t="inlineStr">
        <is>
          <t>ข้อสอบ Product (Febuxostat Analysis)</t>
        </is>
      </c>
      <c r="M3" s="16" t="inlineStr">
        <is>
          <t>Chromatography</t>
        </is>
      </c>
      <c r="N3" s="16" t="inlineStr">
        <is>
          <t>Mock PLE-CC 1 ข้อ 10</t>
        </is>
      </c>
      <c r="O3" s="16" t="inlineStr">
        <is>
          <t>Mock</t>
        </is>
      </c>
      <c r="P3" s="16" t="inlineStr">
        <is>
          <t>Mock RxCU83</t>
        </is>
      </c>
      <c r="Q3" s="16" t="n"/>
    </row>
    <row r="4" ht="409.6" customHeight="1" s="49">
      <c r="A4" s="19" t="inlineStr">
        <is>
          <t>3</t>
        </is>
      </c>
      <c r="B4" s="20"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16" t="n"/>
      <c r="D4" s="16" t="inlineStr">
        <is>
          <t>Inductively Coupled Plasma Optical Emission Spectrometry (ICP-OES) หรือ AAS</t>
        </is>
      </c>
      <c r="E4" s="16" t="inlineStr">
        <is>
          <t>UV-Vis Spectrophotometry</t>
        </is>
      </c>
      <c r="F4" s="16" t="inlineStr">
        <is>
          <t>Fourier Transform Infrared Spectroscopy (FTIR)</t>
        </is>
      </c>
      <c r="G4" s="16" t="inlineStr">
        <is>
          <t>Thin Layer Chromatography (TLC)</t>
        </is>
      </c>
      <c r="H4" s="16" t="inlineStr">
        <is>
          <t>High-Performance Liquid Chromatography with UV detector (HPLC-UV)</t>
        </is>
      </c>
      <c r="I4" s="19" t="inlineStr">
        <is>
          <t>1</t>
        </is>
      </c>
      <c r="J4" s="1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 t="inlineStr">
        <is>
          <t>Food &amp; Elemental Analysis</t>
        </is>
      </c>
      <c r="L4" s="16" t="inlineStr">
        <is>
          <t>ข้อสอบ Product (Sodium Analysis in Foods)</t>
        </is>
      </c>
      <c r="M4" s="16" t="inlineStr">
        <is>
          <t>Chromatography</t>
        </is>
      </c>
      <c r="N4" s="16" t="inlineStr">
        <is>
          <t>Mock PLE-CC 1 ข้อ 21</t>
        </is>
      </c>
      <c r="O4" s="16" t="inlineStr">
        <is>
          <t>Mock</t>
        </is>
      </c>
      <c r="P4" s="16" t="inlineStr">
        <is>
          <t>Mock RxCU83</t>
        </is>
      </c>
      <c r="Q4" s="16" t="n"/>
    </row>
    <row r="5" ht="409.6" customHeight="1" s="49">
      <c r="A5" s="19" t="inlineStr">
        <is>
          <t>4</t>
        </is>
      </c>
      <c r="B5" s="20"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 t="n"/>
      <c r="D5" s="16" t="inlineStr">
        <is>
          <t>การเพาะเลี้ยงเซลล์ภายในถังหมักชีวภาพ (Cell culture and fermentation in bioreactor) เพื่อผลิตโปรตีนเป้าหมาย</t>
        </is>
      </c>
      <c r="E5" s="16" t="inlineStr">
        <is>
          <t>การทำให้โปรตีนบริสุทธิ์ด้วยคอลัมน์โครมาโทกราฟี (Affinity chromatography purification เช่น Protein A chromatography)</t>
        </is>
      </c>
      <c r="F5" s="16" t="inlineStr">
        <is>
          <t>การกรองกำจัดไวรัสและการกรองแบบละเอียดระดับนาโน (Viral filtration &amp; Ultrafiltration/Diafiltration)</t>
        </is>
      </c>
      <c r="G5" s="16" t="inlineStr">
        <is>
          <t>การเตรียมสูตรตำรับและการผสมสารช่วย (Formulation development &amp; Sterile filtration)</t>
        </is>
      </c>
      <c r="H5" s="16" t="inlineStr">
        <is>
          <t>การบรรจุยาลงในภาชนะบรรจุสุดท้ายแบบปราศจากเชื้อ (Aseptic fill and finish)</t>
        </is>
      </c>
      <c r="I5" s="19" t="inlineStr">
        <is>
          <t>1</t>
        </is>
      </c>
      <c r="J5" s="1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 t="inlineStr">
        <is>
          <t>Biotechnology &amp; Upstream Process</t>
        </is>
      </c>
      <c r="L5" s="16" t="inlineStr">
        <is>
          <t>ข้อสอบ Product (Biologics Upstream vs Downstream)</t>
        </is>
      </c>
      <c r="M5" s="16" t="inlineStr">
        <is>
          <t>Chromatography</t>
        </is>
      </c>
      <c r="N5" s="16" t="inlineStr">
        <is>
          <t>Mock PLE-CC 1 ข้อ 78</t>
        </is>
      </c>
      <c r="O5" s="16" t="inlineStr">
        <is>
          <t>Mock</t>
        </is>
      </c>
      <c r="P5" s="16" t="inlineStr">
        <is>
          <t>Mock RxCU83</t>
        </is>
      </c>
      <c r="Q5" s="16" t="n"/>
    </row>
    <row r="6" ht="409.6" customHeight="1" s="49">
      <c r="A6" s="19" t="inlineStr">
        <is>
          <t>5</t>
        </is>
      </c>
      <c r="B6" s="20"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 t="n"/>
      <c r="D6" s="16" t="inlineStr">
        <is>
          <t>Inductively Coupled Plasma Spectroscopy (ICP-OES / ICP-MS)</t>
        </is>
      </c>
      <c r="E6" s="16" t="inlineStr">
        <is>
          <t>Fourier Transform Infrared Spectroscopy (FTIR) เทียบกับสารมาตรฐาน</t>
        </is>
      </c>
      <c r="F6" s="16" t="inlineStr">
        <is>
          <t>High-Performance Liquid Chromatography (HPLC) โดยเปรียบเทียบ Retention time กับสารมาตรฐาน</t>
        </is>
      </c>
      <c r="G6" s="16" t="inlineStr">
        <is>
          <t>Liquid Chromatography-Mass Spectrometry (LC-MS) ตรวจวัด Molecular ion m/z</t>
        </is>
      </c>
      <c r="H6" s="16" t="inlineStr">
        <is>
          <t>Thin Layer Chromatography (TLC) โดยเปรียบเทียบค่า Rf และสีของจุดสาร</t>
        </is>
      </c>
      <c r="I6" s="19" t="inlineStr">
        <is>
          <t>1</t>
        </is>
      </c>
      <c r="J6" s="1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 t="inlineStr">
        <is>
          <t>Identification of Organic Drugs</t>
        </is>
      </c>
      <c r="L6" s="16" t="inlineStr">
        <is>
          <t>ข้อสอบ Product (Ethinyl Estradiol ID Tests)</t>
        </is>
      </c>
      <c r="M6" s="16" t="inlineStr">
        <is>
          <t>Chromatography</t>
        </is>
      </c>
      <c r="N6" s="16" t="inlineStr">
        <is>
          <t>Mock PLE-CC 1 ข้อ 92</t>
        </is>
      </c>
      <c r="O6" s="16" t="inlineStr">
        <is>
          <t>Mock</t>
        </is>
      </c>
      <c r="P6" s="16" t="inlineStr">
        <is>
          <t>Mock RxCU83</t>
        </is>
      </c>
      <c r="Q6" s="16" t="n"/>
    </row>
    <row r="7" ht="409.6" customHeight="1" s="49">
      <c r="A7" s="19" t="inlineStr">
        <is>
          <t>6</t>
        </is>
      </c>
      <c r="B7" s="20"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 t="n"/>
      <c r="D7" s="16" t="inlineStr">
        <is>
          <t>Linearity: กำหนดช่วงความเข้มข้นของการทดสอบความเป็นเส้นตรงแคบเกินไปเพียง 95%, 105%, และ 110% ของ Label claim</t>
        </is>
      </c>
      <c r="E7" s="16" t="inlineStr">
        <is>
          <t>Specificity: ประเมินความจำเพาะโดยทำการทดสอบ Forced Degradation Studies (สภาวะกรด, ด่าง, ความร้อน, แสง, ออกซิไดซ์)</t>
        </is>
      </c>
      <c r="F7" s="16" t="inlineStr">
        <is>
          <t>Precision: ประเมินทั้ง Repeatability และ Intermediate precision พร้อมกำหนดเกณฑ์การยอมรับ %RSD ไม่เกิน 2.0%</t>
        </is>
      </c>
      <c r="G7" s="1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 t="inlineStr">
        <is>
          <t>Robustness: ประเมินความคงทนของวิธีโดยการจงใจปรับเปลี่ยนสัดส่วน Mobile phase เล็กน้อย (±2%) และอุณหภูมิคอลัมน์ (±5 °C)</t>
        </is>
      </c>
      <c r="I7" s="19" t="inlineStr">
        <is>
          <t>1</t>
        </is>
      </c>
      <c r="J7" s="1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 t="inlineStr">
        <is>
          <t>Analytical Method Validation (ICH Q2)</t>
        </is>
      </c>
      <c r="L7" s="16" t="inlineStr">
        <is>
          <t>ข้อสอบ Product (HPLC Validation Linearity Protocol)</t>
        </is>
      </c>
      <c r="M7" s="16" t="inlineStr">
        <is>
          <t>Chromatography</t>
        </is>
      </c>
      <c r="N7" s="16" t="inlineStr">
        <is>
          <t>Mock PLE-CC 1 ข้อ 116</t>
        </is>
      </c>
      <c r="O7" s="16" t="inlineStr">
        <is>
          <t>Mock</t>
        </is>
      </c>
      <c r="P7" s="16" t="inlineStr">
        <is>
          <t>Mock RxCU83</t>
        </is>
      </c>
      <c r="Q7" s="16" t="n"/>
    </row>
    <row r="8" ht="409.6" customHeight="1" s="49">
      <c r="A8" s="19" t="inlineStr">
        <is>
          <t>7</t>
        </is>
      </c>
      <c r="B8" s="20"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 t="n"/>
      <c r="D8" s="1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 t="inlineStr">
        <is>
          <t>Retention time เพิ่มขึ้น เนื่องจาก Organic phase เพิ่มขึ้น ทำให้สารเกิดอันตรกิริยากับ Stationary phase แน่นหนาขึ้น</t>
        </is>
      </c>
      <c r="F8" s="16" t="inlineStr">
        <is>
          <t>Retention time ไม่เปลี่ยนแปลง เนื่องจากสัดส่วนของสารละลายบัฟเฟอร์ไม่มีผลต่อการชะของยาในระบบ Reversed-phase</t>
        </is>
      </c>
      <c r="G8" s="16" t="inlineStr">
        <is>
          <t>Retention time เพิ่มขึ้น เนื่องจากยา Amitriptyline แตกตัวเป็นอิสระ (Unionized) มากขึ้น</t>
        </is>
      </c>
      <c r="H8" s="16" t="inlineStr">
        <is>
          <t>ไม่สามารถทำนายผลได้ เนื่องจากขึ้นอยู่กับอัตราการไหล (Flow rate) เพียงอย่างเดียว</t>
        </is>
      </c>
      <c r="I8" s="19" t="inlineStr">
        <is>
          <t>1</t>
        </is>
      </c>
      <c r="J8" s="1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 t="inlineStr">
        <is>
          <t>Reversed-Phase HPLC</t>
        </is>
      </c>
      <c r="L8" s="16" t="inlineStr">
        <is>
          <t>ข้อสอบ Product (RP-HPLC Mobile Phase Elution Strength)</t>
        </is>
      </c>
      <c r="M8" s="16" t="inlineStr">
        <is>
          <t>Chromatography</t>
        </is>
      </c>
      <c r="N8" s="16" t="inlineStr">
        <is>
          <t>Mock PLE-CC 1 ข้อ 117</t>
        </is>
      </c>
      <c r="O8" s="16" t="inlineStr">
        <is>
          <t>Mock</t>
        </is>
      </c>
      <c r="P8" s="16" t="inlineStr">
        <is>
          <t>Mock RxCU83</t>
        </is>
      </c>
      <c r="Q8" s="16" t="n"/>
    </row>
    <row r="9" ht="409.6" customHeight="1" s="49">
      <c r="A9" s="19" t="inlineStr">
        <is>
          <t>8</t>
        </is>
      </c>
      <c r="B9" s="20"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 t="n"/>
      <c r="D9" s="16" t="inlineStr">
        <is>
          <t>ไม่ผ่านเกณฑ์มาตรฐาน เนื่องจาก Guanine คิดเป็น 2.5% (เกินเกณฑ์ 2.0%) และสิ่งเจือปนอื่นคิดเป็น 1.0% (เกินเกณฑ์ 0.5%)</t>
        </is>
      </c>
      <c r="E9" s="16" t="inlineStr">
        <is>
          <t>ผ่านเกณฑ์มาตรฐาน เนื่องจาก Guanine และสิ่งเจือปนอื่นมีปริมาณรวมกันน้อยกว่า 5.0%</t>
        </is>
      </c>
      <c r="F9" s="16" t="inlineStr">
        <is>
          <t>ผ่านเกณฑ์มาตรฐาน เนื่องจาก Acyclovir มีความบริสุทธิ์สูงถึง 96.5%</t>
        </is>
      </c>
      <c r="G9" s="16" t="inlineStr">
        <is>
          <t>ไม่ผ่านเกณฑ์มาตรฐาน เนื่องจาก Guanine เกินเกณฑ์เพียงตัวเดียว แต่สิ่งเจือปนอื่นผ่านเกณฑ์</t>
        </is>
      </c>
      <c r="H9" s="16" t="inlineStr">
        <is>
          <t>ไม่สามารถสรุปผลได้เนื่องจากต้องทราบความกว้างของพีค (Peak width) ก่อน</t>
        </is>
      </c>
      <c r="I9" s="19" t="inlineStr">
        <is>
          <t>1</t>
        </is>
      </c>
      <c r="J9" s="1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 t="inlineStr">
        <is>
          <t>Chromatographic Purity &amp; Related Substances</t>
        </is>
      </c>
      <c r="L9" s="16" t="inlineStr">
        <is>
          <t>ข้อสอบจริง PLE CC 1 (Acyclovir Guanine Impurity)</t>
        </is>
      </c>
      <c r="M9" s="16" t="inlineStr">
        <is>
          <t>Chromatography</t>
        </is>
      </c>
      <c r="N9" s="16" t="inlineStr">
        <is>
          <t>Mock PLE-CC 1 ข้อ 127</t>
        </is>
      </c>
      <c r="O9" s="16" t="inlineStr">
        <is>
          <t>Mock</t>
        </is>
      </c>
      <c r="P9" s="16" t="inlineStr">
        <is>
          <t>Mock RxCU83</t>
        </is>
      </c>
      <c r="Q9" s="16" t="n"/>
    </row>
    <row r="10" ht="409.6" customHeight="1" s="49">
      <c r="A10" s="19" t="inlineStr">
        <is>
          <t>9</t>
        </is>
      </c>
      <c r="B10" s="20"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16" t="n"/>
      <c r="D10" s="16" t="inlineStr">
        <is>
          <t>Chromatography</t>
        </is>
      </c>
      <c r="E10" s="16" t="inlineStr">
        <is>
          <t>alpha-1 receptor</t>
        </is>
      </c>
      <c r="F10" s="16" t="inlineStr">
        <is>
          <t>5-HT2A</t>
        </is>
      </c>
      <c r="G10" s="16" t="inlineStr">
        <is>
          <t>M1 receptor</t>
        </is>
      </c>
      <c r="H10" s="16" t="inlineStr">
        <is>
          <t>H1 receptor</t>
        </is>
      </c>
      <c r="I10" s="19" t="inlineStr">
        <is>
          <t>1</t>
        </is>
      </c>
      <c r="J10" s="16" t="inlineStr">
        <is>
          <t>✅ คำตอบที่ถูกต้อง: ข้อ ก. Chromatography
💡 Background:
การวิเคราะห์ทางเคมีและการควบคุมคุณภาพผลิตภัณฑ์ยาด้วยเทคนิคโครมาโทกราฟี (HPLC, TLC, GC) โดยคำนึงถึง Retention time, Resolution, และ System suitability ตามเภสัชตำรับ
🎯 ทำไมข้อนี้ถึงถูก:
Chromatography การเลือก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 ข้ออื่นผิดเพราะอะไร:
• ข้อ ข. (alpha-1 receptor): alpha-1 receptor ไม่สอดคล้องกับคุณสมบัติทางกายภาพและเคมีที่ต้องการสำหรับ Liquid/Semisolid formulation
• ข้อ ค. (5-HT2A): 5-HT2A ไม่สอดคล้องกับคุณสมบัติทางกายภาพและเคมีที่ต้องการสำหรับ Liquid/Semisolid formulation
• ข้อ ง. (M1 receptor): M1 receptor ไม่สอดคล้องกับคุณสมบัติทางกายภาพและเคมีที่ต้องการสำหรับ Liquid/Semisolid formulation
• ข้อ จ. (H1 receptor): H1 receptor ไม่สอดคล้องกับคุณสมบัติทางกายภาพและเคมีที่ต้องการสำหรับ Liquid/Semisolid formulation
📖 Guideline อ้างอิง:
[NEED_REVIEW]
📌 จุดจำก่อนสอบ:
• Reversed-Phase Chromatography: Stationary phase ไม่มีขั้ว (Non-polar: C18/C8), Mobile phase มีขั้ว (Polar: Water, Methanol, Acetonitrile); สารมีขั้วสูงจะ elute ออกมาก่อน
• System Suitability Parameters: เกณฑ์มาตรฐาน USP: Theoretical plates (N) &gt; 2,000, Tailing factor (T) 0.9-1.5, Resolution (Rs) &gt; 1.5, %RSD &lt; 2.0%
• Gradient vs Isocratic: Gradient elution ปรับเปลี่ยนสัดส่วน mobile phase ระหว่างรัน เหมาะสำหรับตัวอย่างที่มีสารขั้วต่างกันมาก เพื่อลดเวลาการวิเคราะห์</t>
        </is>
      </c>
      <c r="K10" s="16" t="n"/>
      <c r="L10" s="16" t="inlineStr">
        <is>
          <t>HPLC (Liquid Chromatography)</t>
        </is>
      </c>
      <c r="M10" s="16" t="inlineStr">
        <is>
          <t>Chromatography</t>
        </is>
      </c>
      <c r="N10" s="16" t="inlineStr">
        <is>
          <t>PLE_CC1_2567_Key ข้อ 22</t>
        </is>
      </c>
      <c r="O10" s="16" t="inlineStr">
        <is>
          <t>ข้อสอบจริง</t>
        </is>
      </c>
      <c r="P10" s="16" t="inlineStr">
        <is>
          <t>ปี 2567</t>
        </is>
      </c>
      <c r="Q10" s="16" t="inlineStr">
        <is>
          <t>Beta-2 receptor</t>
        </is>
      </c>
    </row>
    <row r="11" ht="409.6" customHeight="1" s="49">
      <c r="A11" s="19" t="inlineStr">
        <is>
          <t>10</t>
        </is>
      </c>
      <c r="B11" s="20"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 t="n"/>
      <c r="D11" s="16" t="inlineStr">
        <is>
          <t>12 นาที</t>
        </is>
      </c>
      <c r="E11" s="16" t="inlineStr">
        <is>
          <t>5 นาที</t>
        </is>
      </c>
      <c r="F11" s="16" t="inlineStr">
        <is>
          <t>8 นาที</t>
        </is>
      </c>
      <c r="G11" s="16" t="inlineStr">
        <is>
          <t>10 นาที</t>
        </is>
      </c>
      <c r="H11" s="16" t="inlineStr">
        <is>
          <t>2.4 นาที</t>
        </is>
      </c>
      <c r="I11" s="19" t="inlineStr">
        <is>
          <t>1</t>
        </is>
      </c>
      <c r="J11" s="1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 t="inlineStr">
        <is>
          <t>HPLC Method Parameters</t>
        </is>
      </c>
      <c r="L11" s="16" t="inlineStr">
        <is>
          <t>ข้อสอบจริง PLE CC 1 ปี 2567 ข้อ 5</t>
        </is>
      </c>
      <c r="M11" s="16" t="inlineStr">
        <is>
          <t>Chromatography</t>
        </is>
      </c>
      <c r="N11" s="16" t="inlineStr">
        <is>
          <t>PLE_CC1_2567_Key ข้อ 23</t>
        </is>
      </c>
      <c r="O11" s="16" t="inlineStr">
        <is>
          <t>ข้อสอบจริง</t>
        </is>
      </c>
      <c r="P11" s="16" t="inlineStr">
        <is>
          <t>ปี 2567</t>
        </is>
      </c>
      <c r="Q11" s="16" t="n"/>
    </row>
    <row r="12" ht="409.6" customHeight="1" s="49">
      <c r="A12" s="19" t="inlineStr">
        <is>
          <t>11</t>
        </is>
      </c>
      <c r="B12" s="20"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6" t="n"/>
      <c r="D12" s="16" t="inlineStr">
        <is>
          <t>ผ่านเกณฑ์ยอมรับ เนื่องจากคำนวณได้ N = 8,864 (ซึ่ง &gt; 8,000)</t>
        </is>
      </c>
      <c r="E12" s="16" t="inlineStr">
        <is>
          <t>ไม่ผ่านเกณฑ์ยอมรับ เนื่องจากคำนวณได้ N = 4,432 (ซึ่ง &lt; 8,000)</t>
        </is>
      </c>
      <c r="F12" s="16" t="inlineStr">
        <is>
          <t>ผ่านเกณฑ์ยอมรับ เนื่องจากคำนวณได้ N = 11,080 (ซึ่ง &gt; 8,000)</t>
        </is>
      </c>
      <c r="G12" s="16" t="inlineStr">
        <is>
          <t>ไม่ผ่านเกณฑ์ยอมรับ เนื่องจากคำนวณได้ N = 2,216 (ซึ่ง &lt; 8,000)</t>
        </is>
      </c>
      <c r="H12" s="16" t="inlineStr">
        <is>
          <t>ไม่สามารถสรุปได้เนื่องจากต้องทราบค่า Peak tailing factor (T) ก่อน</t>
        </is>
      </c>
      <c r="I12" s="19" t="inlineStr">
        <is>
          <t>1</t>
        </is>
      </c>
      <c r="J12" s="16"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6" t="inlineStr">
        <is>
          <t>System Suitability (Theoretical Plates)</t>
        </is>
      </c>
      <c r="L12" s="16" t="inlineStr">
        <is>
          <t>ข้อสอบ Product (Column Efficiency N Calculation)</t>
        </is>
      </c>
      <c r="M12" s="16" t="inlineStr">
        <is>
          <t>Chromatography</t>
        </is>
      </c>
      <c r="N12" s="16" t="inlineStr">
        <is>
          <t>PLE_CC1_2565_Day1_Key ข้อ 87</t>
        </is>
      </c>
      <c r="O12" s="16" t="inlineStr">
        <is>
          <t>ข้อสอบจริง</t>
        </is>
      </c>
      <c r="P12" s="16" t="inlineStr">
        <is>
          <t>ปี 2565</t>
        </is>
      </c>
      <c r="Q12" s="16" t="n"/>
    </row>
    <row r="13" ht="409.6" customHeight="1" s="49">
      <c r="A13" s="19" t="inlineStr">
        <is>
          <t>12</t>
        </is>
      </c>
      <c r="B13" s="20"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6" t="n"/>
      <c r="D13" s="16" t="inlineStr">
        <is>
          <t>สาร C &lt; สาร B &lt; สาร A (สาร C มีค่า Rf ต่ำที่สุด และ สาร A มีค่า Rf สูงที่สุด)</t>
        </is>
      </c>
      <c r="E13" s="16" t="inlineStr">
        <is>
          <t>สาร A &lt; สาร B &lt; สาร C</t>
        </is>
      </c>
      <c r="F13" s="16" t="inlineStr">
        <is>
          <t>สาร B &lt; สาร C &lt; สาร A</t>
        </is>
      </c>
      <c r="G13" s="16" t="inlineStr">
        <is>
          <t>สาร A &lt; สาร C &lt; สาร B</t>
        </is>
      </c>
      <c r="H13" s="16" t="inlineStr">
        <is>
          <t>สารทั้งสามมีค่า Rf เท่ากันเนื่องจากมีโครงสร้างหลักเป็น Metronidazole เหมือนกัน</t>
        </is>
      </c>
      <c r="I13" s="19" t="inlineStr">
        <is>
          <t>1</t>
        </is>
      </c>
      <c r="J13" s="16"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6" t="inlineStr">
        <is>
          <t>Thin Layer Chromatography (TLC)</t>
        </is>
      </c>
      <c r="L13" s="16" t="inlineStr">
        <is>
          <t>ข้อสอบจริง PLE CC 1 ปี 2559 (TLC Polarity &amp; Rf)</t>
        </is>
      </c>
      <c r="M13" s="16" t="inlineStr">
        <is>
          <t>Chromatography</t>
        </is>
      </c>
      <c r="N13" s="16" t="inlineStr">
        <is>
          <t>PLE_CC1_2565_Day2_Key ข้อ 65</t>
        </is>
      </c>
      <c r="O13" s="16" t="inlineStr">
        <is>
          <t>ข้อสอบจริง</t>
        </is>
      </c>
      <c r="P13" s="16" t="inlineStr">
        <is>
          <t>ปี 2565</t>
        </is>
      </c>
      <c r="Q13" s="16" t="n"/>
    </row>
    <row r="14" ht="409.6" customHeight="1" s="49">
      <c r="A14" s="19" t="inlineStr">
        <is>
          <t>13</t>
        </is>
      </c>
      <c r="B14" s="20" t="inlineStr">
        <is>
          <t>ตามเภสัชตำรับ USP &lt;621&gt; Chromatography กำหนดให้ใช้คอลัมน์ชนิด Packing L1 ข้อใดต่อไปนี้กล่าวไม่ถูกต้อง</t>
        </is>
      </c>
      <c r="C14" s="16" t="n"/>
      <c r="D14" s="16" t="inlineStr">
        <is>
          <t>จัดเป็นการแยกในระบบ Normal-Phase Chromatography</t>
        </is>
      </c>
      <c r="E14" s="16" t="inlineStr">
        <is>
          <t>เฟสคงที่ (Stationary phase) คือ Octadecyl silane (C18) บน silica support</t>
        </is>
      </c>
      <c r="F14" s="16" t="inlineStr">
        <is>
          <t>สารที่มีขั้วสูงกว่าจะถูกชะออกจากคอลัมน์ออกมาก่อนสารไม่มีขั้ว</t>
        </is>
      </c>
      <c r="G14" s="16" t="inlineStr">
        <is>
          <t>การเพิ่มสัดส่วนตัวทำละลายอินทรีย์ในเฟสเคลื่อนที่จะลดเวลา Retention time ลง</t>
        </is>
      </c>
      <c r="H14" s="16" t="inlineStr">
        <is>
          <t>เป็นระบบโครมาโทกราฟีของเหลวสมรรถนะสูงชนิด Reversed-Phase</t>
        </is>
      </c>
      <c r="I14" s="19" t="inlineStr">
        <is>
          <t>1</t>
        </is>
      </c>
      <c r="J14" s="1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6" t="n"/>
      <c r="L14" s="16" t="inlineStr">
        <is>
          <t>HPLC Column Specifications</t>
        </is>
      </c>
      <c r="M14" s="16" t="inlineStr">
        <is>
          <t>Product</t>
        </is>
      </c>
      <c r="N14" s="16" t="inlineStr">
        <is>
          <t>ข้อสอบเก่า 2561 ข้อ 107</t>
        </is>
      </c>
      <c r="O14" s="16" t="inlineStr">
        <is>
          <t>ข้อสอบเก่า</t>
        </is>
      </c>
      <c r="P14" s="19" t="inlineStr">
        <is>
          <t>2561</t>
        </is>
      </c>
      <c r="Q14" s="16" t="n"/>
    </row>
    <row r="15" ht="409.6" customHeight="1" s="49">
      <c r="A15" s="19" t="inlineStr">
        <is>
          <t>14</t>
        </is>
      </c>
      <c r="B15" s="20"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6" t="n"/>
      <c r="D15" s="16" t="inlineStr">
        <is>
          <t>High Performance Liquid Chromatography (HPLC)</t>
        </is>
      </c>
      <c r="E15" s="16" t="inlineStr">
        <is>
          <t>Gas Chromatography (GC)</t>
        </is>
      </c>
      <c r="F15" s="16" t="inlineStr">
        <is>
          <t>Thin Layer Chromatography (TLC)</t>
        </is>
      </c>
      <c r="G15" s="16" t="inlineStr">
        <is>
          <t>Mass Spectrometry (MS)</t>
        </is>
      </c>
      <c r="H15" s="16" t="inlineStr">
        <is>
          <t>Direct UV-Visible Spectrophotometry</t>
        </is>
      </c>
      <c r="I15" s="19" t="inlineStr">
        <is>
          <t>1</t>
        </is>
      </c>
      <c r="J15" s="1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16" t="n"/>
      <c r="L15" s="16" t="inlineStr">
        <is>
          <t>Monograph Assay &amp; HPLC</t>
        </is>
      </c>
      <c r="M15" s="16" t="inlineStr">
        <is>
          <t>Product</t>
        </is>
      </c>
      <c r="N15" s="16" t="inlineStr">
        <is>
          <t>ข้อสอบเก่า / เภสัชตำรับ USP</t>
        </is>
      </c>
      <c r="O15" s="16" t="inlineStr">
        <is>
          <t>ข้อสอบเก่า</t>
        </is>
      </c>
      <c r="P15" s="16" t="inlineStr">
        <is>
          <t>USP</t>
        </is>
      </c>
      <c r="Q15" s="16" t="n"/>
    </row>
    <row r="16" ht="409.6" customHeight="1" s="49">
      <c r="A16" s="16" t="n">
        <v>14</v>
      </c>
      <c r="B16" s="20"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6" t="n"/>
      <c r="D16" s="19" t="inlineStr">
        <is>
          <t>9.6</t>
        </is>
      </c>
      <c r="E16" s="19" t="inlineStr">
        <is>
          <t>4.8</t>
        </is>
      </c>
      <c r="F16" s="19" t="inlineStr">
        <is>
          <t>2.4</t>
        </is>
      </c>
      <c r="G16" s="19" t="inlineStr">
        <is>
          <t>0.625</t>
        </is>
      </c>
      <c r="H16" s="19" t="inlineStr">
        <is>
          <t>1.5</t>
        </is>
      </c>
      <c r="I16" s="19" t="inlineStr">
        <is>
          <t>1</t>
        </is>
      </c>
      <c r="J16" s="1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6" t="inlineStr">
        <is>
          <t>System Suitability (Resolution)</t>
        </is>
      </c>
      <c r="L16" s="16" t="inlineStr">
        <is>
          <t>ข้อสอบ Product (HPLC Resolution Calculation)</t>
        </is>
      </c>
      <c r="M16" s="16" t="inlineStr">
        <is>
          <t>Product</t>
        </is>
      </c>
      <c r="N16" s="16" t="inlineStr">
        <is>
          <t>ข้อ 125 (PLE_CC1_2561_Key.md)</t>
        </is>
      </c>
      <c r="O16" s="16" t="inlineStr">
        <is>
          <t>ข้อสอบจริง</t>
        </is>
      </c>
      <c r="P16" s="16" t="inlineStr">
        <is>
          <t>ปี 2561</t>
        </is>
      </c>
      <c r="Q16" s="16" t="n"/>
    </row>
    <row r="17" ht="409.6" customHeight="1" s="49">
      <c r="A17" s="19" t="inlineStr">
        <is>
          <t>16</t>
        </is>
      </c>
      <c r="B17" s="20"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6" t="n"/>
      <c r="D17" s="16" t="inlineStr">
        <is>
          <t>1 peak</t>
        </is>
      </c>
      <c r="E17" s="16" t="inlineStr">
        <is>
          <t>2 peaks</t>
        </is>
      </c>
      <c r="F17" s="16" t="inlineStr">
        <is>
          <t>3 peaks</t>
        </is>
      </c>
      <c r="G17" s="16" t="inlineStr">
        <is>
          <t>5 peaks</t>
        </is>
      </c>
      <c r="H17" s="16" t="inlineStr">
        <is>
          <t>7 peaks</t>
        </is>
      </c>
      <c r="I17" s="19" t="inlineStr">
        <is>
          <t>3</t>
        </is>
      </c>
      <c r="J17" s="1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6" t="n"/>
      <c r="L17" s="16" t="inlineStr">
        <is>
          <t>HPLC Detectors &amp; Chromophores</t>
        </is>
      </c>
      <c r="M17" s="16" t="inlineStr">
        <is>
          <t>Product</t>
        </is>
      </c>
      <c r="N17" s="16" t="inlineStr">
        <is>
          <t>ข้อสอบเก่า 2560 ข้อ 6 / RxCU73</t>
        </is>
      </c>
      <c r="O17" s="16" t="inlineStr">
        <is>
          <t>ข้อสอบเก่า</t>
        </is>
      </c>
      <c r="P17" s="19" t="inlineStr">
        <is>
          <t>2560</t>
        </is>
      </c>
      <c r="Q17" s="16" t="n"/>
    </row>
    <row r="18" ht="409.6" customHeight="1" s="49">
      <c r="A18" s="16" t="n">
        <v>16</v>
      </c>
      <c r="B18" s="20"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6" t="n"/>
      <c r="D18" s="22" t="n">
        <v>1</v>
      </c>
      <c r="E18" s="22" t="n">
        <v>0.68</v>
      </c>
      <c r="F18" s="22" t="n">
        <v>1.46</v>
      </c>
      <c r="G18" s="22" t="n">
        <v>0.84</v>
      </c>
      <c r="H18" s="22" t="n">
        <v>0.72</v>
      </c>
      <c r="I18" s="16" t="n">
        <v>1</v>
      </c>
      <c r="J18" s="1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 t="n"/>
      <c r="L18" s="16" t="inlineStr">
        <is>
          <t>HPLC (Liquid Chromatography)</t>
        </is>
      </c>
      <c r="M18" s="16" t="inlineStr">
        <is>
          <t>Product</t>
        </is>
      </c>
      <c r="N18" s="16" t="inlineStr">
        <is>
          <t>ข้อ 7 (PLE_CC1_2560 22 April Set 1.md)</t>
        </is>
      </c>
      <c r="O18" s="16" t="inlineStr">
        <is>
          <t>ข้อสอบจริง</t>
        </is>
      </c>
      <c r="P18" s="16" t="inlineStr">
        <is>
          <t>ปี 2560</t>
        </is>
      </c>
      <c r="Q18" s="16" t="n"/>
    </row>
    <row r="19" ht="409.6" customHeight="1" s="49">
      <c r="A19" s="19" t="inlineStr">
        <is>
          <t>18</t>
        </is>
      </c>
      <c r="B19" s="20"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6" t="n"/>
      <c r="D19" s="16" t="inlineStr">
        <is>
          <t>Polarimeter</t>
        </is>
      </c>
      <c r="E19" s="16" t="inlineStr">
        <is>
          <t>Nuclear Magnetic Resonance (NMR) ธรรมดา</t>
        </is>
      </c>
      <c r="F19" s="16" t="inlineStr">
        <is>
          <t>Reversed-Phase HPLC ทั่วไป (Achiral column)</t>
        </is>
      </c>
      <c r="G19" s="16" t="inlineStr">
        <is>
          <t>Thin Layer Chromatography (TLC)</t>
        </is>
      </c>
      <c r="H19" s="16" t="inlineStr">
        <is>
          <t>Mass Spectrometry (MS)</t>
        </is>
      </c>
      <c r="I19" s="19" t="inlineStr">
        <is>
          <t>1</t>
        </is>
      </c>
      <c r="J19" s="1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6" t="n"/>
      <c r="L19" s="16" t="inlineStr">
        <is>
          <t>Optical Activity &amp; Chiral Separation</t>
        </is>
      </c>
      <c r="M19" s="16" t="inlineStr">
        <is>
          <t>Product</t>
        </is>
      </c>
      <c r="N19" s="16" t="inlineStr">
        <is>
          <t>ข้อสอบเก่า / เภสัชวิเคราะห์</t>
        </is>
      </c>
      <c r="O19" s="16" t="inlineStr">
        <is>
          <t>ข้อสอบเก่า</t>
        </is>
      </c>
      <c r="P19" s="16" t="inlineStr">
        <is>
          <t>RxCU</t>
        </is>
      </c>
      <c r="Q19" s="16" t="n"/>
    </row>
    <row r="20" ht="409.6" customHeight="1" s="49">
      <c r="A20" s="19" t="inlineStr">
        <is>
          <t>19</t>
        </is>
      </c>
      <c r="B20" s="20"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6" t="n"/>
      <c r="D20" s="16" t="inlineStr">
        <is>
          <t>สารตัวอย่างยา A มีปริมาณความเข้มข้นเท่ากับสารมาตรฐาน</t>
        </is>
      </c>
      <c r="E20" s="16" t="inlineStr">
        <is>
          <t>สารตัวอย่างยา A เป็นสารคนละชนิดกับสารมาตรฐาน</t>
        </is>
      </c>
      <c r="F20" s="16" t="inlineStr">
        <is>
          <t>สารตัวอย่างยา A เป็นสารสลายตัว (By-product) ของสารมาตรฐาน</t>
        </is>
      </c>
      <c r="G20" s="16" t="inlineStr">
        <is>
          <t>สารตัวอย่างยา A และสารมาตรฐานใช้เวลาอยู่ในคอลัมน์เท่ากัน</t>
        </is>
      </c>
      <c r="H20" s="16" t="inlineStr">
        <is>
          <t>สารตัวอย่างยา A มีความชอบพอกับเฟสคงที่ในคอลัมน์มากกว่าสารมาตรฐาน</t>
        </is>
      </c>
      <c r="I20" s="19" t="inlineStr">
        <is>
          <t>4</t>
        </is>
      </c>
      <c r="J20" s="1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6" t="n"/>
      <c r="L20" s="16" t="inlineStr">
        <is>
          <t>Chromatographic Principles &amp; Interpretation</t>
        </is>
      </c>
      <c r="M20" s="16" t="inlineStr">
        <is>
          <t>Product</t>
        </is>
      </c>
      <c r="N20" s="16" t="inlineStr">
        <is>
          <t>ข้อสอบเก่า 2561 ข้อ 31</t>
        </is>
      </c>
      <c r="O20" s="16" t="inlineStr">
        <is>
          <t>ข้อสอบเก่า</t>
        </is>
      </c>
      <c r="P20" s="19" t="inlineStr">
        <is>
          <t>2561</t>
        </is>
      </c>
      <c r="Q20" s="16" t="n"/>
    </row>
    <row r="21" ht="409.6" customHeight="1" s="49">
      <c r="A21" s="16" t="n">
        <v>19</v>
      </c>
      <c r="B21" s="20" t="inlineStr">
        <is>
          <t>จาก spectrum ของ nicotine ที่กำหนดให้ สามารถแสดงถึงข้อมูลใดได้บ้าง</t>
        </is>
      </c>
      <c r="C21" s="16" t="n"/>
      <c r="D21" s="16" t="inlineStr">
        <is>
          <t>Plane polarized light</t>
        </is>
      </c>
      <c r="E21" s="16" t="inlineStr">
        <is>
          <t>Molecular weight</t>
        </is>
      </c>
      <c r="F21" s="16" t="inlineStr">
        <is>
          <t>ชนิดของ functional group</t>
        </is>
      </c>
      <c r="G21" s="16" t="inlineStr">
        <is>
          <t>ตำแหน่งของ functional group</t>
        </is>
      </c>
      <c r="H21" s="16" t="inlineStr">
        <is>
          <t>ไม่มีข้อใดถูก</t>
        </is>
      </c>
      <c r="I21" s="16" t="n">
        <v>1</v>
      </c>
      <c r="J21" s="1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Molecular weight ไม่สอดคล้องกับคุณสมบัติทางกายภาพและเคมีที่ต้องการสำหรับ Liquid/Semisolid formulation
• ข้อ ค. (ชนิดของ functional group): ชนิดของ functional group ไม่สอดคล้องกับคุณสมบัติทางกายภาพและเคมีที่ต้องการสำหรับ Liquid/Semisolid formulation
• ข้อ ง. (ตำแหน่งของ functional group): ตำแหน่งของ functional group ไม่สอดคล้องกับคุณสมบัติทางกายภาพและเคมีที่ต้องการสำหรับ Liquid/Semisolid formulation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 t="n"/>
      <c r="L21" s="16" t="inlineStr">
        <is>
          <t>HPLC (Liquid Chromatography)</t>
        </is>
      </c>
      <c r="M21" s="16" t="inlineStr">
        <is>
          <t>Product</t>
        </is>
      </c>
      <c r="N21" s="16" t="inlineStr">
        <is>
          <t>ข้อ 88 (Pharmtutor_2024_Set2.md)</t>
        </is>
      </c>
      <c r="O21" s="16" t="inlineStr">
        <is>
          <t>Mock</t>
        </is>
      </c>
      <c r="P21" s="16" t="inlineStr">
        <is>
          <t>Mock Pharmtutor 2024</t>
        </is>
      </c>
      <c r="Q21" s="16" t="n"/>
    </row>
    <row r="22" ht="409.6" customHeight="1" s="49">
      <c r="A22" s="19" t="inlineStr">
        <is>
          <t>21</t>
        </is>
      </c>
      <c r="B22" s="20"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6" t="n"/>
      <c r="D22" s="16" t="inlineStr">
        <is>
          <t>ปรับ pH ของ Mobile phase ให้เป็นด่างจัดที่ pH 11.8</t>
        </is>
      </c>
      <c r="E22" s="16" t="inlineStr">
        <is>
          <t>เติม Triethylamine (TEA) 0.1% หรือปรับ pH สู่กรดอ่อน (pH 2.5-3.0) เพื่อลดอันตรกิริยากับ Silanols</t>
        </is>
      </c>
      <c r="F22" s="16" t="inlineStr">
        <is>
          <t>เปลี่ยนตัวทำละลายทั้งหมดเป็น Acetonitrile บริสุทธิ์</t>
        </is>
      </c>
      <c r="G22" s="16" t="inlineStr">
        <is>
          <t>ลดความยาวของ Analytical column ลงครึ่งหนึ่ง</t>
        </is>
      </c>
      <c r="H22" s="16" t="inlineStr">
        <is>
          <t>เพิ่มอัตราการไหล (Flow rate) ของ Mobile phase เป็นสองเท่า</t>
        </is>
      </c>
      <c r="I22" s="19" t="inlineStr">
        <is>
          <t>2</t>
        </is>
      </c>
      <c r="J22" s="1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6" t="n"/>
      <c r="L22" s="16" t="inlineStr">
        <is>
          <t>HPLC Troubleshooting &amp; Peak Tailing</t>
        </is>
      </c>
      <c r="M22" s="16" t="inlineStr">
        <is>
          <t>Product</t>
        </is>
      </c>
      <c r="N22" s="16" t="inlineStr">
        <is>
          <t>ข้อสอบเก่า 2557 ข้อ 12</t>
        </is>
      </c>
      <c r="O22" s="16" t="inlineStr">
        <is>
          <t>ข้อสอบเก่า</t>
        </is>
      </c>
      <c r="P22" s="19" t="inlineStr">
        <is>
          <t>2557</t>
        </is>
      </c>
      <c r="Q22" s="16" t="n"/>
    </row>
    <row r="23" ht="409.6" customHeight="1" s="49">
      <c r="A23" s="19" t="inlineStr">
        <is>
          <t>22</t>
        </is>
      </c>
      <c r="B23" s="20"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6" t="n"/>
      <c r="D23" s="19" t="inlineStr">
        <is>
          <t>4.8</t>
        </is>
      </c>
      <c r="E23" s="19" t="inlineStr">
        <is>
          <t>7.5</t>
        </is>
      </c>
      <c r="F23" s="19" t="inlineStr">
        <is>
          <t>9.6</t>
        </is>
      </c>
      <c r="G23" s="19" t="inlineStr">
        <is>
          <t>12.0</t>
        </is>
      </c>
      <c r="H23" s="19" t="inlineStr">
        <is>
          <t>1.5</t>
        </is>
      </c>
      <c r="I23" s="19" t="inlineStr">
        <is>
          <t>3</t>
        </is>
      </c>
      <c r="J23" s="1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6" t="n"/>
      <c r="L23" s="16" t="inlineStr">
        <is>
          <t>Chromatographic Resolution Calculation</t>
        </is>
      </c>
      <c r="M23" s="16" t="inlineStr">
        <is>
          <t>Product</t>
        </is>
      </c>
      <c r="N23" s="16" t="inlineStr">
        <is>
          <t>ข้อสอบเก่า 2561 ข้อ 40</t>
        </is>
      </c>
      <c r="O23" s="16" t="inlineStr">
        <is>
          <t>ข้อสอบเก่า</t>
        </is>
      </c>
      <c r="P23" s="19" t="inlineStr">
        <is>
          <t>2561</t>
        </is>
      </c>
      <c r="Q23" s="16" t="n"/>
    </row>
    <row r="24" ht="409.6" customHeight="1" s="49">
      <c r="A24" s="19" t="inlineStr">
        <is>
          <t>23</t>
        </is>
      </c>
      <c r="B24" s="20"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6" t="n"/>
      <c r="D24" s="16" t="inlineStr">
        <is>
          <t>Direct UV-Visible Spectrophotometry</t>
        </is>
      </c>
      <c r="E24" s="16" t="inlineStr">
        <is>
          <t>Liquid Chromatography-Tandem Mass Spectrometry (LC-MS/MS)</t>
        </is>
      </c>
      <c r="F24" s="16" t="inlineStr">
        <is>
          <t>Polarimetry</t>
        </is>
      </c>
      <c r="G24" s="16" t="inlineStr">
        <is>
          <t>Fourier Transform Infrared Spectroscopy (FTIR)</t>
        </is>
      </c>
      <c r="H24" s="16" t="inlineStr">
        <is>
          <t>Thin Layer Chromatography (TLC)</t>
        </is>
      </c>
      <c r="I24" s="19" t="inlineStr">
        <is>
          <t>2</t>
        </is>
      </c>
      <c r="J24" s="1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6" t="n"/>
      <c r="L24" s="16" t="inlineStr">
        <is>
          <t>Bioanalytical Methods &amp; LC-MS</t>
        </is>
      </c>
      <c r="M24" s="16" t="inlineStr">
        <is>
          <t>Product</t>
        </is>
      </c>
      <c r="N24" s="16" t="inlineStr">
        <is>
          <t>ข้อสอบเตรียมสอบเภสัช</t>
        </is>
      </c>
      <c r="O24" s="16" t="inlineStr">
        <is>
          <t>แบบฝึกหัด</t>
        </is>
      </c>
      <c r="P24" s="16" t="inlineStr">
        <is>
          <t>RxCU</t>
        </is>
      </c>
      <c r="Q24" s="16" t="n"/>
    </row>
    <row r="25" ht="409.6" customHeight="1" s="49">
      <c r="A25" s="19" t="inlineStr">
        <is>
          <t>24</t>
        </is>
      </c>
      <c r="B25" s="20"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6" t="n"/>
      <c r="D25" s="16" t="inlineStr">
        <is>
          <t>9.9 mg/mL</t>
        </is>
      </c>
      <c r="E25" s="16" t="inlineStr">
        <is>
          <t>99.0 mg/mL</t>
        </is>
      </c>
      <c r="F25" s="16" t="inlineStr">
        <is>
          <t>49.5 mg/mL</t>
        </is>
      </c>
      <c r="G25" s="16" t="inlineStr">
        <is>
          <t>19.8 mg/mL</t>
        </is>
      </c>
      <c r="H25" s="16" t="inlineStr">
        <is>
          <t>0.99 mg/mL</t>
        </is>
      </c>
      <c r="I25" s="19" t="inlineStr">
        <is>
          <t>2</t>
        </is>
      </c>
      <c r="J25" s="16"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6" t="n"/>
      <c r="L25" s="16" t="inlineStr">
        <is>
          <t>Internal Standard Quantitation</t>
        </is>
      </c>
      <c r="M25" s="16" t="inlineStr">
        <is>
          <t>Product</t>
        </is>
      </c>
      <c r="N25" s="16" t="inlineStr">
        <is>
          <t>ข้อสอบเก่า 2558 / 2560</t>
        </is>
      </c>
      <c r="O25" s="16" t="inlineStr">
        <is>
          <t>ข้อสอบเก่า</t>
        </is>
      </c>
      <c r="P25" s="19" t="inlineStr">
        <is>
          <t>2558</t>
        </is>
      </c>
      <c r="Q25" s="16" t="n"/>
    </row>
    <row r="26" ht="409.6" customHeight="1" s="49">
      <c r="A26" s="16" t="n">
        <v>24</v>
      </c>
      <c r="B26" s="20" t="inlineStr">
        <is>
          <t>จากโครงสร้างของ Levodopa ปัจจัยใดที่ไม่ส่งผลต่อ retention time ของ Levodopa จากการวิเคราะห์ด้วยเทคนิค HPLC</t>
        </is>
      </c>
      <c r="C26" s="16" t="n"/>
      <c r="D26" s="16" t="inlineStr">
        <is>
          <t>Gas Chromatography with FID detector</t>
        </is>
      </c>
      <c r="E26" s="16" t="inlineStr">
        <is>
          <t>Thin Layer Chromatography (TLC)</t>
        </is>
      </c>
      <c r="F26" s="16" t="inlineStr">
        <is>
          <t>Ion-Exchange Chromatography (IEC)</t>
        </is>
      </c>
      <c r="G26" s="16" t="inlineStr">
        <is>
          <t>Size Exclusion Chromatography (SEC)</t>
        </is>
      </c>
      <c r="H26" s="16" t="inlineStr">
        <is>
          <t>Chiral HPLC Separation Column</t>
        </is>
      </c>
      <c r="I26" s="16" t="n">
        <v>1</v>
      </c>
      <c r="J26" s="16"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TLC (Thin Layer Chromatography) ใช้ silica gel (polar stationary phase) แยกตาม polarity ด้วย Rf value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 t="n"/>
      <c r="L26" s="16" t="inlineStr">
        <is>
          <t>HPLC (Liquid Chromatography)</t>
        </is>
      </c>
      <c r="M26" s="16" t="inlineStr">
        <is>
          <t>Product</t>
        </is>
      </c>
      <c r="N26" s="16" t="inlineStr">
        <is>
          <t>ข้อ 10 (PLE_CC1_2533.md)</t>
        </is>
      </c>
      <c r="O26" s="16" t="inlineStr">
        <is>
          <t>ข้อสอบจริง</t>
        </is>
      </c>
      <c r="P26" s="16" t="inlineStr">
        <is>
          <t>ปี 2533</t>
        </is>
      </c>
      <c r="Q26" s="16" t="n"/>
    </row>
    <row r="27" ht="409.6" customHeight="1" s="49">
      <c r="A27" s="16" t="n">
        <v>25</v>
      </c>
      <c r="B27" s="20" t="inlineStr">
        <is>
          <t>ความยาวของ column</t>
        </is>
      </c>
      <c r="C27" s="16" t="n"/>
      <c r="D27" s="16" t="inlineStr">
        <is>
          <t>Size Exclusion Chromatography (SEC)</t>
        </is>
      </c>
      <c r="E27" s="16" t="inlineStr">
        <is>
          <t>Chiral HPLC Separation Column</t>
        </is>
      </c>
      <c r="F27" s="16" t="inlineStr">
        <is>
          <t>HILIC (Hydrophilic Interaction LC)</t>
        </is>
      </c>
      <c r="G27" s="16" t="inlineStr">
        <is>
          <t>Ultra-High Performance LC (UHPLC)</t>
        </is>
      </c>
      <c r="H27" s="16" t="inlineStr">
        <is>
          <t>GC-Mass Spectrometry (GC-MS)</t>
        </is>
      </c>
      <c r="I27" s="16" t="n">
        <v>1</v>
      </c>
      <c r="J27" s="16"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ไม่สอดคล้องกับคุณสมบัติทางกายภาพและเคมีที่ต้องการสำหรับ Liquid/Semisolid formulation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 t="n"/>
      <c r="L27" s="16" t="inlineStr">
        <is>
          <t>HPLC (Liquid Chromatography)</t>
        </is>
      </c>
      <c r="M27" s="16" t="inlineStr">
        <is>
          <t>Product</t>
        </is>
      </c>
      <c r="N27" s="16" t="inlineStr">
        <is>
          <t>ข้อ 2 (PLE_CC1_2533.md)</t>
        </is>
      </c>
      <c r="O27" s="16" t="inlineStr">
        <is>
          <t>ข้อสอบจริง</t>
        </is>
      </c>
      <c r="P27" s="16" t="inlineStr">
        <is>
          <t>ปี 2533</t>
        </is>
      </c>
      <c r="Q27" s="16" t="n"/>
    </row>
    <row r="28" ht="409.6" customHeight="1" s="49">
      <c r="A28" s="16" t="n">
        <v>26</v>
      </c>
      <c r="B28" s="20" t="inlineStr">
        <is>
          <t>pH ของ mobile phase</t>
        </is>
      </c>
      <c r="C28" s="16" t="n"/>
      <c r="D28" s="16" t="inlineStr">
        <is>
          <t>Ultra-High Performance LC (UHPLC)</t>
        </is>
      </c>
      <c r="E28" s="16" t="inlineStr">
        <is>
          <t>GC-Mass Spectrometry (GC-MS)</t>
        </is>
      </c>
      <c r="F28" s="16" t="inlineStr">
        <is>
          <t>Reversed-Phase HPLC</t>
        </is>
      </c>
      <c r="G28" s="16" t="inlineStr">
        <is>
          <t>Normal-Phase HPLC (Silica column)</t>
        </is>
      </c>
      <c r="H28" s="16" t="inlineStr">
        <is>
          <t>Gas Chromatography with FID detector</t>
        </is>
      </c>
      <c r="I28" s="16" t="n">
        <v>1</v>
      </c>
      <c r="J28" s="16"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Gas Chromatography แยก volatile compounds ที่ความดันสูงด้วย carrier gas (He, N2) ใช้ FID, TCD หรือ MS detector
• ข้อ ค. (Reversed-Phase HPLC): HPLC แยก compounds ด้วย stationary phase และ mobile phase ความละเอียดขึ้นกับ selectivity, efficiency (N) และ resolution (Rs)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 t="n"/>
      <c r="L28" s="16" t="inlineStr">
        <is>
          <t>HPLC (Liquid Chromatography)</t>
        </is>
      </c>
      <c r="M28" s="16" t="inlineStr">
        <is>
          <t>Product</t>
        </is>
      </c>
      <c r="N28" s="16" t="inlineStr">
        <is>
          <t>ข้อ 4 (PLE_CC1_2533.md)</t>
        </is>
      </c>
      <c r="O28" s="16" t="inlineStr">
        <is>
          <t>ข้อสอบจริง</t>
        </is>
      </c>
      <c r="P28" s="16" t="inlineStr">
        <is>
          <t>ปี 2533</t>
        </is>
      </c>
      <c r="Q28" s="16" t="n"/>
    </row>
    <row r="29" ht="409.6" customHeight="1" s="49">
      <c r="A29" s="16" t="n">
        <v>27</v>
      </c>
      <c r="B29" s="20"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6" t="n"/>
      <c r="D29" s="16" t="inlineStr">
        <is>
          <t>Normal-Phase HPLC (Silica column)</t>
        </is>
      </c>
      <c r="E29" s="16" t="inlineStr">
        <is>
          <t>Gas Chromatography with FID detector</t>
        </is>
      </c>
      <c r="F29" s="16" t="inlineStr">
        <is>
          <t>Thin Layer Chromatography (TLC)</t>
        </is>
      </c>
      <c r="G29" s="16" t="inlineStr">
        <is>
          <t>Ion-Exchange Chromatography (IEC)</t>
        </is>
      </c>
      <c r="H29" s="16" t="inlineStr">
        <is>
          <t>Size Exclusion Chromatography (SEC)</t>
        </is>
      </c>
      <c r="I29" s="16" t="n">
        <v>1</v>
      </c>
      <c r="J29" s="16"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Gas Chromatography with FID detector ไม่สอดคล้องกับคุณสมบัติทางกายภาพและเคมีที่ต้องการสำหรับ Liquid/Semisolid formulation
• ข้อ ค. (Thin Layer Chromatography (TLC)): TLC (Thin Layer Chromatography) ใช้ silica gel (polar stationary phase) แยกตาม polarity ด้วย Rf value
• ข้อ ง. (Ion-Exchange Chromatography (IEC)): Ion-Exchange Chromatography (IEC) ไม่สอดคล้องกับคุณสมบัติทางกายภาพและเคมีที่ต้องการสำหรับ Liquid/Semisolid formulation
• ข้อ จ. (Size Exclusion Chromatography (SEC)): Size Exclusion Chromatography (SEC)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 t="n"/>
      <c r="L29" s="16" t="inlineStr">
        <is>
          <t>HPLC (Liquid Chromatography)</t>
        </is>
      </c>
      <c r="M29" s="16" t="inlineStr">
        <is>
          <t>Product</t>
        </is>
      </c>
      <c r="N29" s="16" t="inlineStr">
        <is>
          <t>ข้อ 5 (PLE_CC1_2533.md)</t>
        </is>
      </c>
      <c r="O29" s="16" t="inlineStr">
        <is>
          <t>ข้อสอบจริง</t>
        </is>
      </c>
      <c r="P29" s="16" t="inlineStr">
        <is>
          <t>ปี 2533</t>
        </is>
      </c>
      <c r="Q29" s="16" t="n"/>
    </row>
    <row r="30" ht="409.6" customHeight="1" s="49">
      <c r="A30" s="16" t="n">
        <v>28</v>
      </c>
      <c r="B30" s="20"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6" t="n"/>
      <c r="D30" s="16" t="inlineStr">
        <is>
          <t>Ion-Exchange Chromatography (IEC)</t>
        </is>
      </c>
      <c r="E30" s="16" t="inlineStr">
        <is>
          <t>Size Exclusion Chromatography (SEC)</t>
        </is>
      </c>
      <c r="F30" s="16" t="inlineStr">
        <is>
          <t>Chiral HPLC Separation Column</t>
        </is>
      </c>
      <c r="G30" s="16" t="inlineStr">
        <is>
          <t>HILIC (Hydrophilic Interaction LC)</t>
        </is>
      </c>
      <c r="H30" s="16" t="inlineStr">
        <is>
          <t>Ultra-High Performance LC (UHPLC)</t>
        </is>
      </c>
      <c r="I30" s="16" t="n">
        <v>1</v>
      </c>
      <c r="J30" s="1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 t="n"/>
      <c r="L30" s="16" t="inlineStr">
        <is>
          <t>HPLC (Liquid Chromatography)</t>
        </is>
      </c>
      <c r="M30" s="16" t="inlineStr">
        <is>
          <t>Product</t>
        </is>
      </c>
      <c r="N30" s="16" t="inlineStr">
        <is>
          <t>ข้อ 2 (PLE_CC1_2533.md)</t>
        </is>
      </c>
      <c r="O30" s="16" t="inlineStr">
        <is>
          <t>ข้อสอบจริง</t>
        </is>
      </c>
      <c r="P30" s="16" t="inlineStr">
        <is>
          <t>ปี 2533</t>
        </is>
      </c>
      <c r="Q30" s="16" t="n"/>
    </row>
    <row r="31" ht="409.6" customHeight="1" s="49">
      <c r="A31" s="16" t="n">
        <v>29</v>
      </c>
      <c r="B31" s="20"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6" t="n"/>
      <c r="D31" s="16" t="inlineStr">
        <is>
          <t>HILIC (Hydrophilic Interaction LC)</t>
        </is>
      </c>
      <c r="E31" s="16" t="inlineStr">
        <is>
          <t>Ultra-High Performance LC (UHPLC)</t>
        </is>
      </c>
      <c r="F31" s="16" t="inlineStr">
        <is>
          <t>GC-Mass Spectrometry (GC-MS)</t>
        </is>
      </c>
      <c r="G31" s="16" t="inlineStr">
        <is>
          <t>Reversed-Phase HPLC</t>
        </is>
      </c>
      <c r="H31" s="16" t="inlineStr">
        <is>
          <t>Normal-Phase HPLC (Silica column)</t>
        </is>
      </c>
      <c r="I31" s="16" t="n">
        <v>1</v>
      </c>
      <c r="J31" s="1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 t="n"/>
      <c r="L31" s="16" t="inlineStr">
        <is>
          <t>HPLC (Liquid Chromatography)</t>
        </is>
      </c>
      <c r="M31" s="16" t="inlineStr">
        <is>
          <t>Product</t>
        </is>
      </c>
      <c r="N31" s="16" t="inlineStr">
        <is>
          <t>ข้อ 4 (PLE_CC1_2533.md)</t>
        </is>
      </c>
      <c r="O31" s="16" t="inlineStr">
        <is>
          <t>ข้อสอบจริง</t>
        </is>
      </c>
      <c r="P31" s="16" t="inlineStr">
        <is>
          <t>ปี 2533</t>
        </is>
      </c>
      <c r="Q31" s="16" t="n"/>
    </row>
    <row r="32" ht="409.6" customHeight="1" s="49">
      <c r="A32" s="16" t="n">
        <v>30</v>
      </c>
      <c r="B32" s="20" t="inlineStr">
        <is>
          <t>เทคนิคทางโครมาโตรกราฟีใดต่อไปนี้สามารถแยกความแตกต่างระหว่าง theophylline และ caffeine ได้ caffeine theophylline</t>
        </is>
      </c>
      <c r="C32" s="16" t="n"/>
      <c r="D32" s="16" t="inlineStr">
        <is>
          <t>Chiral chromatography</t>
        </is>
      </c>
      <c r="E32" s="16" t="inlineStr">
        <is>
          <t>Countercurrent chromatography</t>
        </is>
      </c>
      <c r="F32" s="16" t="inlineStr">
        <is>
          <t>Ion exchange chromatography</t>
        </is>
      </c>
      <c r="G32" s="16" t="inlineStr">
        <is>
          <t>Reverse phase chromatography</t>
        </is>
      </c>
      <c r="H32" s="16" t="inlineStr">
        <is>
          <t>Size exclusion chromatography</t>
        </is>
      </c>
      <c r="I32" s="16" t="n">
        <v>1</v>
      </c>
      <c r="J32" s="16"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Countercurrent chromatography ไม่สอดคล้องกับคุณสมบัติทางกายภาพและเคมีที่ต้องการสำหรับ Liquid/Semisolid formulation
• ข้อ ค. (Ion exchange chromatography): Ion exchange chromatography ไม่สอดคล้องกับคุณสมบัติทางกายภาพและเคมีที่ต้องการสำหรับ Liquid/Semisolid formulation
• ข้อ ง. (Reverse phase chromatography): Reverse phase chromatography ไม่สอดคล้องกับคุณสมบัติทางกายภาพและเคมีที่ต้องการสำหรับ Liquid/Semisolid formulation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 t="n"/>
      <c r="L32" s="16" t="inlineStr">
        <is>
          <t>HPLC (Liquid Chromatography)</t>
        </is>
      </c>
      <c r="M32" s="16" t="inlineStr">
        <is>
          <t>Product</t>
        </is>
      </c>
      <c r="N32" s="16" t="inlineStr">
        <is>
          <t>ข้อ 23 (PLE_CC1_Practice_Exam.md)</t>
        </is>
      </c>
      <c r="O32" s="16" t="inlineStr">
        <is>
          <t>Mock</t>
        </is>
      </c>
      <c r="P32" s="16" t="inlineStr">
        <is>
          <t>Mock สภาเภสัชฯ Practice</t>
        </is>
      </c>
      <c r="Q32" s="16" t="n"/>
    </row>
    <row r="33" ht="409.6" customHeight="1" s="49">
      <c r="A33" s="16" t="n">
        <v>31</v>
      </c>
      <c r="B33" s="20"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6" t="n"/>
      <c r="D33" s="16" t="inlineStr">
        <is>
          <t>Thin Layer Chromatography (TLC)</t>
        </is>
      </c>
      <c r="E33" s="16" t="inlineStr">
        <is>
          <t>Ion-Exchange Chromatography (IEC)</t>
        </is>
      </c>
      <c r="F33" s="16" t="inlineStr">
        <is>
          <t>Size Exclusion Chromatography (SEC)</t>
        </is>
      </c>
      <c r="G33" s="16" t="inlineStr">
        <is>
          <t>Chiral HPLC Separation Column</t>
        </is>
      </c>
      <c r="H33" s="16" t="inlineStr">
        <is>
          <t>HILIC (Hydrophilic Interaction LC)</t>
        </is>
      </c>
      <c r="I33" s="16" t="n">
        <v>1</v>
      </c>
      <c r="J33" s="1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 t="n"/>
      <c r="L33" s="16" t="inlineStr">
        <is>
          <t>HPLC (Liquid Chromatography)</t>
        </is>
      </c>
      <c r="M33" s="16" t="inlineStr">
        <is>
          <t>Product</t>
        </is>
      </c>
      <c r="N33" s="16" t="inlineStr">
        <is>
          <t>ข้อ 1 (PLE_CC1_Practice_Exam.md)</t>
        </is>
      </c>
      <c r="O33" s="16" t="inlineStr">
        <is>
          <t>Mock</t>
        </is>
      </c>
      <c r="P33" s="16" t="inlineStr">
        <is>
          <t>Mock สภาเภสัชฯ Practice</t>
        </is>
      </c>
      <c r="Q33" s="16" t="n"/>
    </row>
    <row r="34" ht="409.6" customHeight="1" s="49">
      <c r="A34" s="16" t="n">
        <v>32</v>
      </c>
      <c r="B34" s="20"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t>
        </is>
      </c>
      <c r="C34" s="16" t="n"/>
      <c r="D34" s="16" t="inlineStr">
        <is>
          <t>Chiral HPLC Separation Column</t>
        </is>
      </c>
      <c r="E34" s="16" t="inlineStr">
        <is>
          <t>HILIC (Hydrophilic Interaction LC)</t>
        </is>
      </c>
      <c r="F34" s="16" t="inlineStr">
        <is>
          <t>Ultra-High Performance LC (UHPLC)</t>
        </is>
      </c>
      <c r="G34" s="16" t="inlineStr">
        <is>
          <t>GC-Mass Spectrometry (GC-MS)</t>
        </is>
      </c>
      <c r="H34" s="16" t="inlineStr">
        <is>
          <t>Reversed-Phase HPLC</t>
        </is>
      </c>
      <c r="I34" s="16" t="n">
        <v>4</v>
      </c>
      <c r="J34" s="1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 t="n"/>
      <c r="L34" s="16" t="inlineStr">
        <is>
          <t>HPLC (Liquid Chromatography)</t>
        </is>
      </c>
      <c r="M34" s="16" t="inlineStr">
        <is>
          <t>Product</t>
        </is>
      </c>
      <c r="N34" s="16" t="inlineStr">
        <is>
          <t>ข้อ 2 (PLE_CC1_Practice_Exam.md)</t>
        </is>
      </c>
      <c r="O34" s="16" t="inlineStr">
        <is>
          <t>Mock</t>
        </is>
      </c>
      <c r="P34" s="16" t="inlineStr">
        <is>
          <t>Mock สภาเภสัชฯ Practice</t>
        </is>
      </c>
      <c r="Q34" s="16" t="n"/>
    </row>
    <row r="35" ht="409.6" customHeight="1" s="49">
      <c r="A35" s="16" t="n">
        <v>33</v>
      </c>
      <c r="B35" s="20"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t>
        </is>
      </c>
      <c r="C35" s="16" t="n"/>
      <c r="D35" s="16" t="inlineStr">
        <is>
          <t>ผิด อนุภาคของวัฏภาคกระจายตัวเป็นของเหลว</t>
        </is>
      </c>
      <c r="E35" s="16" t="inlineStr">
        <is>
          <t>ผิด ต้องใช้พลังงานเพื่อกระจายอนุภาตของวัฏภาคกระจายตัวออกจากกัน</t>
        </is>
      </c>
      <c r="F35" s="16" t="inlineStr">
        <is>
          <t>ผิด ประกอบด้วยสองวัฏภาคที่ไม่ผสมเข้ากัน</t>
        </is>
      </c>
      <c r="G35" s="16" t="inlineStr">
        <is>
          <t>ผิด เมื่อเกิด caking สามารถเขย่ากลับคืนสภาพเดิม</t>
        </is>
      </c>
      <c r="H35" s="16" t="inlineStr">
        <is>
          <t>Thin Layer Chromatography (TLC)</t>
        </is>
      </c>
      <c r="I35" s="16" t="n">
        <v>1</v>
      </c>
      <c r="J35" s="1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 t="n"/>
      <c r="L35" s="16" t="inlineStr">
        <is>
          <t>HPLC (Liquid Chromatography)</t>
        </is>
      </c>
      <c r="M35" s="16" t="inlineStr">
        <is>
          <t>Product</t>
        </is>
      </c>
      <c r="N35" s="16" t="inlineStr">
        <is>
          <t>ข้อ 2 (PLE_CC1_Practice_Exam.md)</t>
        </is>
      </c>
      <c r="O35" s="16" t="inlineStr">
        <is>
          <t>Mock</t>
        </is>
      </c>
      <c r="P35" s="16" t="inlineStr">
        <is>
          <t>Mock สภาเภสัชฯ Practice</t>
        </is>
      </c>
      <c r="Q35" s="16" t="n"/>
    </row>
    <row r="36" ht="409.6" customHeight="1" s="49">
      <c r="A36" s="16" t="n">
        <v>34</v>
      </c>
      <c r="B36" s="20" t="inlineStr">
        <is>
          <t>ข้อใดถูกต้องเกี่ยวกับ Infrared Spectroscopy</t>
        </is>
      </c>
      <c r="C36" s="16" t="n"/>
      <c r="D36" s="16" t="inlineStr">
        <is>
          <t>น้ำมีค่า Fundamental vibration เท่ากับ 2</t>
        </is>
      </c>
      <c r="E36" s="16" t="inlineStr">
        <is>
          <t>แก๊สคาร์บอนไดออกไซด์มีค่า Fundamental vibration เท่ากับ 3</t>
        </is>
      </c>
      <c r="F36" s="16" t="inlineStr">
        <is>
          <t>เซลล์ตัวอย่างควรมีลักษณะโปร่งใสและไม่ดูดกลืนรังสีอินฟราเรดช่วงเดียวกับตัวอย่าง เช่น เกลือของแัไลด์</t>
        </is>
      </c>
      <c r="G36" s="16" t="inlineStr">
        <is>
          <t>สารประกอบกลุ่มไนโตรจะมี wavenumber มากกว่าไนไทรล์</t>
        </is>
      </c>
      <c r="H36" s="16" t="inlineStr">
        <is>
          <t>ข้อ ค. และ ง. ถูก</t>
        </is>
      </c>
      <c r="I36" s="16" t="n">
        <v>1</v>
      </c>
      <c r="J36" s="1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 t="n"/>
      <c r="L36" s="16" t="inlineStr">
        <is>
          <t>HPLC (Liquid Chromatography)</t>
        </is>
      </c>
      <c r="M36" s="16" t="inlineStr">
        <is>
          <t>Product</t>
        </is>
      </c>
      <c r="N36" s="16" t="inlineStr">
        <is>
          <t>ข้อ 2 (PLE_CC1_Practice_Exam.md)</t>
        </is>
      </c>
      <c r="O36" s="16" t="inlineStr">
        <is>
          <t>Mock</t>
        </is>
      </c>
      <c r="P36" s="16" t="inlineStr">
        <is>
          <t>Mock สภาเภสัชฯ Practice</t>
        </is>
      </c>
      <c r="Q36" s="16" t="n"/>
    </row>
    <row r="37" ht="409.6" customHeight="1" s="49">
      <c r="A37" s="16" t="n">
        <v>35</v>
      </c>
      <c r="B37" s="20" t="inlineStr">
        <is>
          <t>จงหา pH ของสารละลายที่ประกอบด้วย urea 42% w/v (กำหนดให้ Kb = 1.5x10-14 , MW of Urea = 60 g/mol)</t>
        </is>
      </c>
      <c r="C37" s="16" t="n"/>
      <c r="D37" s="16" t="n">
        <v>6.5</v>
      </c>
      <c r="E37" s="16" t="n">
        <v>7</v>
      </c>
      <c r="F37" s="16" t="n">
        <v>7.5</v>
      </c>
      <c r="G37" s="16" t="n">
        <v>8</v>
      </c>
      <c r="H37" s="16" t="n">
        <v>8.5</v>
      </c>
      <c r="I37" s="16" t="n">
        <v>1</v>
      </c>
      <c r="J37" s="1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 t="n"/>
      <c r="L37" s="16" t="inlineStr">
        <is>
          <t>HPLC (Liquid Chromatography)</t>
        </is>
      </c>
      <c r="M37" s="16" t="inlineStr">
        <is>
          <t>Product</t>
        </is>
      </c>
      <c r="N37" s="16" t="inlineStr">
        <is>
          <t>ข้อ 5 (PLE_CC1_Practice_Exam.md)</t>
        </is>
      </c>
      <c r="O37" s="16" t="inlineStr">
        <is>
          <t>Mock</t>
        </is>
      </c>
      <c r="P37" s="16" t="inlineStr">
        <is>
          <t>Mock สภาเภสัชฯ Practice</t>
        </is>
      </c>
      <c r="Q37" s="16" t="n"/>
    </row>
    <row r="38" ht="409.6" customHeight="1" s="49">
      <c r="A38" s="16" t="n">
        <v>36</v>
      </c>
      <c r="B38" s="20" t="inlineStr">
        <is>
          <t>C18 column ใช้เป็น stationary phase ใน HPLC ประเภทใด</t>
        </is>
      </c>
      <c r="C38" s="16" t="n"/>
      <c r="D38" s="16" t="inlineStr">
        <is>
          <t>Nornal phase HPLC</t>
        </is>
      </c>
      <c r="E38" s="16" t="inlineStr">
        <is>
          <t>Reverse phase HPLC</t>
        </is>
      </c>
      <c r="F38" s="16" t="inlineStr">
        <is>
          <t>Size-exclusion HPLC</t>
        </is>
      </c>
      <c r="G38" s="16" t="inlineStr">
        <is>
          <t>Ion-exchange HPLC</t>
        </is>
      </c>
      <c r="H38" s="16" t="inlineStr">
        <is>
          <t>Carbon-exclusion HPLC</t>
        </is>
      </c>
      <c r="I38" s="16" t="n">
        <v>1</v>
      </c>
      <c r="J38" s="16"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HPLC แยก compounds ด้วย stationary phase และ mobile phase ความละเอียดขึ้นกับ selectivity, efficiency (N) และ resolution (Rs)
• ข้อ ค. (Size-exclusion HPLC 344 เภสัชภัณฑ์รูปแบบกึ่งแข็ง (Semisolid dosage form) 
• ข้อ ง. (Ion-exchange HPLC): HPLC แยก compounds ด้วย stationary phase และ mobile phase ความละเอียดขึ้นกับ selectivity, efficiency (N) และ resolution (Rs)
• ข้อ จ. (Carbon-exclusion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 t="n"/>
      <c r="L38" s="16" t="inlineStr">
        <is>
          <t>HPLC (Liquid Chromatography)</t>
        </is>
      </c>
      <c r="M38" s="16" t="inlineStr">
        <is>
          <t>Product</t>
        </is>
      </c>
      <c r="N38" s="16" t="inlineStr">
        <is>
          <t>ข้อ 15 (PLE_CC1_Practice_Exam.md)</t>
        </is>
      </c>
      <c r="O38" s="16" t="inlineStr">
        <is>
          <t>Mock</t>
        </is>
      </c>
      <c r="P38" s="16" t="inlineStr">
        <is>
          <t>Mock สภาเภสัชฯ Practice</t>
        </is>
      </c>
      <c r="Q38" s="16" t="n"/>
    </row>
    <row r="39" ht="409.6" customHeight="1" s="49">
      <c r="A39" s="16" t="n">
        <v>37</v>
      </c>
      <c r="B39" s="20"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6" t="n"/>
      <c r="D39" s="16" t="inlineStr">
        <is>
          <t>ระบบที่ทดสอบน่าจะมีค่า Resolution ที่ดี</t>
        </is>
      </c>
      <c r="E39" s="16" t="inlineStr">
        <is>
          <t>สาร B มีความเป็นขั้วมากกว่ายา A</t>
        </is>
      </c>
      <c r="F39" s="16" t="inlineStr">
        <is>
          <t>Retention time ของยา A น้อยกว่าสาร B</t>
        </is>
      </c>
      <c r="G39" s="16" t="inlineStr">
        <is>
          <t>ยา A มีค่า Capacity factor มากกว่าสาร B</t>
        </is>
      </c>
      <c r="H39" s="16" t="inlineStr">
        <is>
          <t>ไม่มีตัวเลือกใดผิด</t>
        </is>
      </c>
      <c r="I39" s="16" t="n">
        <v>1</v>
      </c>
      <c r="J39" s="1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 t="n"/>
      <c r="L39" s="16" t="inlineStr">
        <is>
          <t>HPLC (Liquid Chromatography)</t>
        </is>
      </c>
      <c r="M39" s="16" t="inlineStr">
        <is>
          <t>Product</t>
        </is>
      </c>
      <c r="N39" s="16" t="inlineStr">
        <is>
          <t>ข้อ 16 (PLE_CC1_Practice_Exam.md)</t>
        </is>
      </c>
      <c r="O39" s="16" t="inlineStr">
        <is>
          <t>Mock</t>
        </is>
      </c>
      <c r="P39" s="16" t="inlineStr">
        <is>
          <t>Mock สภาเภสัชฯ Practice</t>
        </is>
      </c>
      <c r="Q39" s="16" t="n"/>
    </row>
    <row r="40" ht="409.6" customHeight="1" s="49">
      <c r="A40" s="16" t="n">
        <v>38</v>
      </c>
      <c r="B40" s="20" t="inlineStr">
        <is>
          <t>โครมาโทรกราฟีประเภทใดที่ใช้กระจกเคลือบด้วยซิลิกาเจลหรืออะลูมินาแล้วเกลี่ยให้บางเป็นตัวดูด ซับ</t>
        </is>
      </c>
      <c r="C40" s="16" t="n"/>
      <c r="D40" s="16" t="inlineStr">
        <is>
          <t>Column Chromatography</t>
        </is>
      </c>
      <c r="E40" s="16" t="inlineStr">
        <is>
          <t>Paper Chromatography</t>
        </is>
      </c>
      <c r="F40" s="16" t="inlineStr">
        <is>
          <t>Thin layer Chromatography</t>
        </is>
      </c>
      <c r="G40" s="16" t="inlineStr">
        <is>
          <t>Glass Chromatography</t>
        </is>
      </c>
      <c r="H40" s="16" t="inlineStr">
        <is>
          <t>ถูกทุกข้อ</t>
        </is>
      </c>
      <c r="I40" s="16" t="n">
        <v>1</v>
      </c>
      <c r="J40" s="1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 t="n"/>
      <c r="L40" s="16" t="inlineStr">
        <is>
          <t>HPLC (Liquid Chromatography)</t>
        </is>
      </c>
      <c r="M40" s="16" t="inlineStr">
        <is>
          <t>Product</t>
        </is>
      </c>
      <c r="N40" s="16" t="inlineStr">
        <is>
          <t>ข้อ 20 (PLE_CC1_Practice_Exam.md)</t>
        </is>
      </c>
      <c r="O40" s="16" t="inlineStr">
        <is>
          <t>Mock</t>
        </is>
      </c>
      <c r="P40" s="16" t="inlineStr">
        <is>
          <t>Mock สภาเภสัชฯ Practice</t>
        </is>
      </c>
      <c r="Q40" s="16" t="n"/>
    </row>
    <row r="41" ht="409.6" customHeight="1" s="49">
      <c r="A41" s="16" t="n">
        <v>39</v>
      </c>
      <c r="B41" s="20" t="inlineStr">
        <is>
          <t>ใช้ TLC พิสูจน์เอกลักษณ์โดยได้</t>
        </is>
      </c>
      <c r="C41" s="16" t="n"/>
      <c r="D41" s="16" t="inlineStr">
        <is>
          <t>HILIC (Hydrophilic Interaction LC)</t>
        </is>
      </c>
      <c r="E41" s="16" t="inlineStr">
        <is>
          <t>Ultra-High Performance LC (UHPLC)</t>
        </is>
      </c>
      <c r="F41" s="16" t="inlineStr">
        <is>
          <t>GC-Mass Spectrometry (GC-MS)</t>
        </is>
      </c>
      <c r="G41" s="16" t="inlineStr">
        <is>
          <t>Reversed-Phase HPLC</t>
        </is>
      </c>
      <c r="H41" s="16" t="inlineStr">
        <is>
          <t>Normal-Phase HPLC (Silica column)</t>
        </is>
      </c>
      <c r="I41" s="16" t="n">
        <v>1</v>
      </c>
      <c r="J41" s="1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 t="n"/>
      <c r="L41" s="16" t="inlineStr">
        <is>
          <t>TLC (Thin Layer)</t>
        </is>
      </c>
      <c r="M41" s="16" t="inlineStr">
        <is>
          <t>Product</t>
        </is>
      </c>
      <c r="N41" s="16" t="inlineStr">
        <is>
          <t>ข้อ 5 (PLE_CC1_Key_Rx20_UBU.md)</t>
        </is>
      </c>
      <c r="O41" s="16" t="inlineStr">
        <is>
          <t>Mock</t>
        </is>
      </c>
      <c r="P41" s="16" t="inlineStr">
        <is>
          <t>Mock Rx20 UBU</t>
        </is>
      </c>
      <c r="Q41" s="16" t="n"/>
    </row>
    <row r="42" ht="409.6" customHeight="1" s="49">
      <c r="A42" s="16" t="n">
        <v>40</v>
      </c>
      <c r="B42" s="20" t="inlineStr">
        <is>
          <t>ในการตรวจวัดระดับยาคุมกำเนิดในเม็ดยา ควรใช้วิธีการใดในการวัด</t>
        </is>
      </c>
      <c r="C42" s="16" t="n"/>
      <c r="D42" s="16" t="inlineStr">
        <is>
          <t>IR</t>
        </is>
      </c>
      <c r="E42" s="16" t="inlineStr">
        <is>
          <t>HPLC</t>
        </is>
      </c>
      <c r="F42" s="16" t="inlineStr">
        <is>
          <t>Specific rotation by polarimeter</t>
        </is>
      </c>
      <c r="G42" s="16" t="inlineStr">
        <is>
          <t>Refractive index by refractorymeter</t>
        </is>
      </c>
      <c r="H42" s="16" t="inlineStr">
        <is>
          <t>TLC</t>
        </is>
      </c>
      <c r="I42" s="16" t="n">
        <v>2</v>
      </c>
      <c r="J42" s="1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 t="n"/>
      <c r="L42" s="16" t="inlineStr">
        <is>
          <t>HPLC (Liquid Chromatography)</t>
        </is>
      </c>
      <c r="M42" s="16" t="inlineStr">
        <is>
          <t>Product</t>
        </is>
      </c>
      <c r="N42" s="16" t="inlineStr">
        <is>
          <t>ข้อ 7 (PLE_CC1_Key_Rx20_UBU.md)</t>
        </is>
      </c>
      <c r="O42" s="16" t="inlineStr">
        <is>
          <t>Mock</t>
        </is>
      </c>
      <c r="P42" s="16" t="inlineStr">
        <is>
          <t>Mock Rx20 UBU</t>
        </is>
      </c>
      <c r="Q42" s="16" t="n"/>
    </row>
    <row r="43" ht="409.6" customHeight="1" s="49">
      <c r="A43" s="16" t="n">
        <v>41</v>
      </c>
      <c r="B43" s="20" t="inlineStr">
        <is>
          <t>จากสูตรโครงสร้างของ HCTZ จะใช้อะไรในการตรวจสอบเอกลักษณ์ของวัตถุดิบ</t>
        </is>
      </c>
      <c r="C43" s="16" t="n"/>
      <c r="D43" s="16" t="inlineStr">
        <is>
          <t>Fingerprint จาก FTIR</t>
        </is>
      </c>
      <c r="E43" s="16" t="inlineStr">
        <is>
          <t>Dragendorff’s reagent</t>
        </is>
      </c>
      <c r="F43" s="16" t="inlineStr">
        <is>
          <t>Spectrofluorometry</t>
        </is>
      </c>
      <c r="G43" s="16" t="inlineStr">
        <is>
          <t>TLC</t>
        </is>
      </c>
      <c r="H43" s="16" t="inlineStr">
        <is>
          <t>HILIC (Hydrophilic Interaction LC)</t>
        </is>
      </c>
      <c r="I43" s="16" t="n">
        <v>1</v>
      </c>
      <c r="J43" s="1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 t="n"/>
      <c r="L43" s="16" t="inlineStr">
        <is>
          <t>HPLC (Liquid Chromatography)</t>
        </is>
      </c>
      <c r="M43" s="16" t="inlineStr">
        <is>
          <t>Product</t>
        </is>
      </c>
      <c r="N43" s="16" t="inlineStr">
        <is>
          <t>ข้อ 2 (PLE_CC1_Key_Rx20_UBU.md)</t>
        </is>
      </c>
      <c r="O43" s="16" t="inlineStr">
        <is>
          <t>Mock</t>
        </is>
      </c>
      <c r="P43" s="16" t="inlineStr">
        <is>
          <t>Mock Rx20 UBU</t>
        </is>
      </c>
      <c r="Q43" s="16" t="n"/>
    </row>
    <row r="44" ht="409.6" customHeight="1" s="49">
      <c r="A44" s="16" t="n">
        <v>42</v>
      </c>
      <c r="B44" s="20" t="inlineStr">
        <is>
          <t>จากกราฟเป็นการวิเคราะห์โดยเครื่องมือใด</t>
        </is>
      </c>
      <c r="C44" s="16" t="n"/>
      <c r="D44" s="16" t="inlineStr">
        <is>
          <t>Chiral HPLC Separation Column</t>
        </is>
      </c>
      <c r="E44" s="16" t="inlineStr">
        <is>
          <t>HILIC (Hydrophilic Interaction LC)</t>
        </is>
      </c>
      <c r="F44" s="16" t="inlineStr">
        <is>
          <t>Ultra-High Performance LC (UHPLC)</t>
        </is>
      </c>
      <c r="G44" s="16" t="inlineStr">
        <is>
          <t>GC-Mass Spectrometry (GC-MS)</t>
        </is>
      </c>
      <c r="H44" s="16" t="inlineStr">
        <is>
          <t>Reversed-Phase HPLC</t>
        </is>
      </c>
      <c r="I44" s="16" t="n">
        <v>1</v>
      </c>
      <c r="J44" s="1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 t="n"/>
      <c r="L44" s="16" t="inlineStr">
        <is>
          <t>HPLC (Liquid Chromatography)</t>
        </is>
      </c>
      <c r="M44" s="16" t="inlineStr">
        <is>
          <t>Product</t>
        </is>
      </c>
      <c r="N44" s="16" t="inlineStr">
        <is>
          <t>ข้อ 82 (PLE_CC1_Key_Rx20_UBU.md)</t>
        </is>
      </c>
      <c r="O44" s="16" t="inlineStr">
        <is>
          <t>Mock</t>
        </is>
      </c>
      <c r="P44" s="16" t="inlineStr">
        <is>
          <t>Mock Rx20 UBU</t>
        </is>
      </c>
      <c r="Q44" s="16" t="n"/>
    </row>
    <row r="45" ht="409.6" customHeight="1" s="49">
      <c r="A45" s="16" t="n">
        <v>43</v>
      </c>
      <c r="B45" s="20" t="inlineStr">
        <is>
          <t>Gas chromatography</t>
        </is>
      </c>
      <c r="C45" s="16" t="n"/>
      <c r="D45" s="16" t="inlineStr">
        <is>
          <t>GC-Mass Spectrometry (GC-MS)</t>
        </is>
      </c>
      <c r="E45" s="16" t="inlineStr">
        <is>
          <t>Reversed-Phase HPLC</t>
        </is>
      </c>
      <c r="F45" s="16" t="inlineStr">
        <is>
          <t>Normal-Phase HPLC (Silica column)</t>
        </is>
      </c>
      <c r="G45" s="16" t="inlineStr">
        <is>
          <t>Gas Chromatography with FID detector</t>
        </is>
      </c>
      <c r="H45" s="16" t="inlineStr">
        <is>
          <t>Thin Layer Chromatography (TLC)</t>
        </is>
      </c>
      <c r="I45" s="16" t="n">
        <v>1</v>
      </c>
      <c r="J45" s="1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 t="n"/>
      <c r="L45" s="16" t="inlineStr">
        <is>
          <t>GC (Gas Chromatography)</t>
        </is>
      </c>
      <c r="M45" s="16" t="inlineStr">
        <is>
          <t>Product</t>
        </is>
      </c>
      <c r="N45" s="16" t="inlineStr">
        <is>
          <t>ข้อ 4 (PLE_CC1_Key_Rx20_UBU.md)</t>
        </is>
      </c>
      <c r="O45" s="16" t="inlineStr">
        <is>
          <t>Mock</t>
        </is>
      </c>
      <c r="P45" s="16" t="inlineStr">
        <is>
          <t>Mock Rx20 UBU</t>
        </is>
      </c>
      <c r="Q45" s="16" t="n"/>
    </row>
    <row r="46" ht="409.6" customHeight="1" s="49">
      <c r="A46" s="16" t="n">
        <v>44</v>
      </c>
      <c r="B46" s="20" t="inlineStr">
        <is>
          <t>MZ HPLC หาปริมาณสาร วิเคราะห_หาชนิดสาร NMR หาโครงสร$างของสาร AAS หาปริมาณสาร</t>
        </is>
      </c>
      <c r="C46" s="16" t="n"/>
      <c r="D46" s="16" t="inlineStr">
        <is>
          <t>Gas Chromatography with FID detector</t>
        </is>
      </c>
      <c r="E46" s="16" t="inlineStr">
        <is>
          <t>Thin Layer Chromatography (TLC)</t>
        </is>
      </c>
      <c r="F46" s="16" t="inlineStr">
        <is>
          <t>Ion-Exchange Chromatography (IEC)</t>
        </is>
      </c>
      <c r="G46" s="16" t="inlineStr">
        <is>
          <t>Size Exclusion Chromatography (SEC)</t>
        </is>
      </c>
      <c r="H46" s="16" t="inlineStr">
        <is>
          <t>Chiral HPLC Separation Column</t>
        </is>
      </c>
      <c r="I46" s="16" t="n">
        <v>2</v>
      </c>
      <c r="J46" s="1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 t="n"/>
      <c r="L46" s="16" t="inlineStr">
        <is>
          <t>HPLC (Liquid Chromatography)</t>
        </is>
      </c>
      <c r="M46" s="16" t="inlineStr">
        <is>
          <t>Product</t>
        </is>
      </c>
      <c r="N46" s="16" t="inlineStr">
        <is>
          <t>ข้อ 5 (PLE_CC1_Key_Rx20_UBU.md)</t>
        </is>
      </c>
      <c r="O46" s="16" t="inlineStr">
        <is>
          <t>Mock</t>
        </is>
      </c>
      <c r="P46" s="16" t="inlineStr">
        <is>
          <t>Mock Rx20 UBU</t>
        </is>
      </c>
      <c r="Q46" s="16" t="n"/>
    </row>
    <row r="47" ht="409.6" customHeight="1" s="49">
      <c r="A47" s="16" t="n">
        <v>45</v>
      </c>
      <c r="B47" s="20" t="inlineStr">
        <is>
          <t>Norfluoxetine เปลี่ยนแปลงโครงสร$างที่ตำแหนGงใด โจทย_ไมGสมบูรณ_ เปลี่ยนจาก Fluoxetine โดยตัด methyl ที่ Secondary amine ได$ Primary amine</t>
        </is>
      </c>
      <c r="C47" s="16" t="n"/>
      <c r="D47" s="16" t="inlineStr">
        <is>
          <t>Size Exclusion Chromatography (SEC)</t>
        </is>
      </c>
      <c r="E47" s="16" t="inlineStr">
        <is>
          <t>Chiral HPLC Separation Column</t>
        </is>
      </c>
      <c r="F47" s="16" t="inlineStr">
        <is>
          <t>HILIC (Hydrophilic Interaction LC)</t>
        </is>
      </c>
      <c r="G47" s="16" t="inlineStr">
        <is>
          <t>Ultra-High Performance LC (UHPLC)</t>
        </is>
      </c>
      <c r="H47" s="16" t="inlineStr">
        <is>
          <t>GC-Mass Spectrometry (GC-MS)</t>
        </is>
      </c>
      <c r="I47" s="16" t="n">
        <v>1</v>
      </c>
      <c r="J47" s="1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 t="n"/>
      <c r="L47" s="16" t="inlineStr">
        <is>
          <t>TLC (Thin Layer)</t>
        </is>
      </c>
      <c r="M47" s="16" t="inlineStr">
        <is>
          <t>Product</t>
        </is>
      </c>
      <c r="N47" s="16" t="inlineStr">
        <is>
          <t>ข้อ 76 (PLE_CC1_Key_Rx20_UBU.md)</t>
        </is>
      </c>
      <c r="O47" s="16" t="inlineStr">
        <is>
          <t>Mock</t>
        </is>
      </c>
      <c r="P47" s="16" t="inlineStr">
        <is>
          <t>Mock Rx20 UBU</t>
        </is>
      </c>
      <c r="Q47" s="16" t="n"/>
    </row>
    <row r="48" ht="409.6" customHeight="1" s="49">
      <c r="A48" s="16" t="n">
        <v>46</v>
      </c>
      <c r="B48" s="20" t="inlineStr">
        <is>
          <t>GC และ HPLC 11.) การ Modify โครงสร้างยาส่วนไหนทำให้มีฤทธิ์เพิ่มขึ้น</t>
        </is>
      </c>
      <c r="C48" s="16" t="n"/>
      <c r="D48" s="16" t="inlineStr">
        <is>
          <t>Ultra-High Performance LC (UHPLC)</t>
        </is>
      </c>
      <c r="E48" s="16" t="inlineStr">
        <is>
          <t>GC-Mass Spectrometry (GC-MS)</t>
        </is>
      </c>
      <c r="F48" s="16" t="inlineStr">
        <is>
          <t>Reversed-Phase HPLC</t>
        </is>
      </c>
      <c r="G48" s="16" t="inlineStr">
        <is>
          <t>Normal-Phase HPLC (Silica column)</t>
        </is>
      </c>
      <c r="H48" s="16" t="inlineStr">
        <is>
          <t>Gas Chromatography with FID detector</t>
        </is>
      </c>
      <c r="I48" s="16" t="n">
        <v>3</v>
      </c>
      <c r="J48" s="1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 t="n"/>
      <c r="L48" s="16" t="inlineStr">
        <is>
          <t>GC (Gas Chromatography)</t>
        </is>
      </c>
      <c r="M48" s="16" t="inlineStr">
        <is>
          <t>Product</t>
        </is>
      </c>
      <c r="N48" s="16" t="inlineStr">
        <is>
          <t>ข้อ 5 (PLE_CC1_Key_Rx20_UBU.md)</t>
        </is>
      </c>
      <c r="O48" s="16" t="inlineStr">
        <is>
          <t>Mock</t>
        </is>
      </c>
      <c r="P48" s="16" t="inlineStr">
        <is>
          <t>Mock Rx20 UBU</t>
        </is>
      </c>
      <c r="Q48" s="16" t="n"/>
    </row>
    <row r="49" ht="409.6" customHeight="1" s="49">
      <c r="A49" s="16" t="n">
        <v>47</v>
      </c>
      <c r="B49" s="20"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6" t="n"/>
      <c r="D49" s="16" t="inlineStr">
        <is>
          <t>100 %</t>
        </is>
      </c>
      <c r="E49" s="16" t="inlineStr">
        <is>
          <t>68 %</t>
        </is>
      </c>
      <c r="F49" s="16" t="inlineStr">
        <is>
          <t>146 %</t>
        </is>
      </c>
      <c r="G49" s="16" t="inlineStr">
        <is>
          <t>84 %</t>
        </is>
      </c>
      <c r="H49" s="16" t="inlineStr">
        <is>
          <t>72 %</t>
        </is>
      </c>
      <c r="I49" s="16" t="n">
        <v>1</v>
      </c>
      <c r="J49" s="1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 t="n"/>
      <c r="L49" s="16" t="inlineStr">
        <is>
          <t>HPLC (Liquid Chromatography)</t>
        </is>
      </c>
      <c r="M49" s="16" t="inlineStr">
        <is>
          <t>Product</t>
        </is>
      </c>
      <c r="N49" s="16" t="inlineStr">
        <is>
          <t>ข้อ 34 (PLE_CC1_Key_Rx20_UBU.md)</t>
        </is>
      </c>
      <c r="O49" s="16" t="inlineStr">
        <is>
          <t>Mock</t>
        </is>
      </c>
      <c r="P49" s="16" t="inlineStr">
        <is>
          <t>Mock Rx20 UBU</t>
        </is>
      </c>
      <c r="Q49" s="16" t="n"/>
    </row>
    <row r="50" ht="409.6" customHeight="1" s="49">
      <c r="A50" s="16" t="n">
        <v>48</v>
      </c>
      <c r="B50" s="20" t="inlineStr">
        <is>
          <t>วิธีใดเหมาะสมในการตรวจหา related substance ที่ปนเปื้อนอยู่ในวัตถุดิบ doxorubicin</t>
        </is>
      </c>
      <c r="C50" s="16" t="n"/>
      <c r="D50" s="16" t="inlineStr">
        <is>
          <t>UV spectrophotometer</t>
        </is>
      </c>
      <c r="E50" s="16" t="inlineStr">
        <is>
          <t>IR</t>
        </is>
      </c>
      <c r="F50" s="16" t="inlineStr">
        <is>
          <t>HPLC</t>
        </is>
      </c>
      <c r="G50" s="16" t="inlineStr">
        <is>
          <t>Fluorimeter</t>
        </is>
      </c>
      <c r="H50" s="16" t="inlineStr">
        <is>
          <t>Potentiometer substrate</t>
        </is>
      </c>
      <c r="I50" s="16" t="n">
        <v>3</v>
      </c>
      <c r="J50" s="1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 t="n"/>
      <c r="L50" s="16" t="inlineStr">
        <is>
          <t>HPLC (Liquid Chromatography)</t>
        </is>
      </c>
      <c r="M50" s="16" t="inlineStr">
        <is>
          <t>Product</t>
        </is>
      </c>
      <c r="N50" s="16" t="inlineStr">
        <is>
          <t>ข้อ 17 (PLE_CC1_Key_Rx20_UBU.md)</t>
        </is>
      </c>
      <c r="O50" s="16" t="inlineStr">
        <is>
          <t>Mock</t>
        </is>
      </c>
      <c r="P50" s="16" t="inlineStr">
        <is>
          <t>Mock Rx20 UBU</t>
        </is>
      </c>
      <c r="Q50" s="16" t="n"/>
    </row>
    <row r="51" ht="409.6" customHeight="1" s="49">
      <c r="A51" s="16" t="n">
        <v>49</v>
      </c>
      <c r="B51" s="20"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6" t="n"/>
      <c r="D51" s="16" t="inlineStr">
        <is>
          <t>ถ้ายามีความแรง 608 mg แสดงว่าผ่านมาตรฐาน</t>
        </is>
      </c>
      <c r="E51" s="16" t="inlineStr">
        <is>
          <t>Identification ใช้วิธี HPLC ดูจาก retention time เทียบกับสารมาตรฐาน</t>
        </is>
      </c>
      <c r="F51" s="16" t="inlineStr">
        <is>
          <t>ยาผ่านมาตรฐานเพราะทุกค่ามีปริมาณยาที่ละลายเกิน 80%</t>
        </is>
      </c>
      <c r="G51" s="16" t="inlineStr">
        <is>
          <t>ยาผ่านมาตรฐาน dissolution test เมื่อยาละลายหมดใน 45 นาที</t>
        </is>
      </c>
      <c r="H51" s="16" t="inlineStr">
        <is>
          <t>ยาไม่ผ่านมาตรฐานหากใช้ mobile phase ต่างชนิดจากที่ระบุใน USP</t>
        </is>
      </c>
      <c r="I51" s="16" t="n">
        <v>1</v>
      </c>
      <c r="J51" s="1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 t="n"/>
      <c r="L51" s="16" t="inlineStr">
        <is>
          <t>HPLC (Liquid Chromatography)</t>
        </is>
      </c>
      <c r="M51" s="16" t="inlineStr">
        <is>
          <t>Product</t>
        </is>
      </c>
      <c r="N51" s="16" t="inlineStr">
        <is>
          <t>ข้อ 45 (PLE_CC1_Key_Rx20_UBU.md)</t>
        </is>
      </c>
      <c r="O51" s="16" t="inlineStr">
        <is>
          <t>Mock</t>
        </is>
      </c>
      <c r="P51" s="16" t="inlineStr">
        <is>
          <t>Mock Rx20 UBU</t>
        </is>
      </c>
      <c r="Q51" s="16" t="n"/>
    </row>
    <row r="52" ht="13.2" customHeight="1" s="49">
      <c r="A52" s="35" t="n">
        <v>50</v>
      </c>
      <c r="B52" s="34" t="inlineStr">
        <is>
          <t>ค่า specific rotation -107° ถึง -109.5° ถามว่าใช้เครื่องมืออะไร</t>
        </is>
      </c>
      <c r="C52" s="35" t="n"/>
      <c r="D52" s="34" t="inlineStr">
        <is>
          <t>Polarimetry</t>
        </is>
      </c>
      <c r="E52" s="34" t="inlineStr">
        <is>
          <t>NMR</t>
        </is>
      </c>
      <c r="F52" s="34" t="inlineStr">
        <is>
          <t>IR</t>
        </is>
      </c>
      <c r="G52" s="34" t="inlineStr">
        <is>
          <t>HPLC</t>
        </is>
      </c>
      <c r="H52" s="34" t="inlineStr">
        <is>
          <t>Refractometry</t>
        </is>
      </c>
      <c r="I52" s="35" t="n">
        <v>1</v>
      </c>
      <c r="J52" s="34" t="inlineStr">
        <is>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2" s="35" t="n"/>
      <c r="L52" s="34" t="inlineStr">
        <is>
          <t>Chromatographic Analysis</t>
        </is>
      </c>
      <c r="M52" s="35" t="inlineStr">
        <is>
          <t>Product</t>
        </is>
      </c>
      <c r="N52" s="34" t="inlineStr">
        <is>
          <t>ข้อสอบจริง Product ปี 2567 ข้อ 1</t>
        </is>
      </c>
      <c r="O52" s="35" t="inlineStr">
        <is>
          <t>ข้อสอบจริง</t>
        </is>
      </c>
      <c r="P52" s="35" t="inlineStr">
        <is>
          <t>ปี 2567</t>
        </is>
      </c>
    </row>
    <row r="53" ht="13.2" customHeight="1" s="49">
      <c r="A53" s="35" t="n">
        <v>51</v>
      </c>
      <c r="B53" s="34" t="inlineStr">
        <is>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is>
      </c>
      <c r="C53" s="35" t="n"/>
      <c r="D53" s="34" t="inlineStr">
        <is>
          <t>Refractometry</t>
        </is>
      </c>
      <c r="E53" s="34" t="inlineStr">
        <is>
          <t>Polarimetry</t>
        </is>
      </c>
      <c r="F53" s="34" t="inlineStr">
        <is>
          <t>UV spectroscopy</t>
        </is>
      </c>
      <c r="G53" s="34" t="inlineStr">
        <is>
          <t>HPLC</t>
        </is>
      </c>
      <c r="H53" s="34" t="inlineStr">
        <is>
          <t>Mass spectrometry</t>
        </is>
      </c>
      <c r="I53" s="35" t="n">
        <v>1</v>
      </c>
      <c r="J53" s="34" t="inlineStr">
        <is>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3" s="35" t="n"/>
      <c r="L53" s="34" t="inlineStr">
        <is>
          <t>Chromatographic Analysis</t>
        </is>
      </c>
      <c r="M53" s="35" t="inlineStr">
        <is>
          <t>Product</t>
        </is>
      </c>
      <c r="N53" s="34" t="inlineStr">
        <is>
          <t>ข้อสอบจริง Product ปี 2567 ข้อ 2</t>
        </is>
      </c>
      <c r="O53" s="35" t="inlineStr">
        <is>
          <t>ข้อสอบจริง</t>
        </is>
      </c>
      <c r="P53" s="35" t="inlineStr">
        <is>
          <t>ปี 2567</t>
        </is>
      </c>
    </row>
    <row r="54" ht="13.2" customHeight="1" s="49">
      <c r="A54" s="35" t="n">
        <v>52</v>
      </c>
      <c r="B54" s="34" t="inlineStr">
        <is>
          <t>โจทย์ให้ Assay เรื่องยา Ezetimibe ยาวๆ ระบุ Run time: NLT 2.4 times the retention time of ezetimibe peak ถ้าหากมี retention time = 5 การิเคราะห์นี้ควรใช้ run time ไม่น้อยกว่าเท่าไหร่</t>
        </is>
      </c>
      <c r="C54" s="35" t="n"/>
      <c r="D54" s="34" t="inlineStr">
        <is>
          <t>12</t>
        </is>
      </c>
      <c r="E54" s="34" t="inlineStr">
        <is>
          <t>5</t>
        </is>
      </c>
      <c r="F54" s="34" t="inlineStr">
        <is>
          <t>8</t>
        </is>
      </c>
      <c r="G54" s="34" t="inlineStr">
        <is>
          <t>10</t>
        </is>
      </c>
      <c r="H54" s="34" t="inlineStr">
        <is>
          <t>2.4</t>
        </is>
      </c>
      <c r="I54" s="35" t="n">
        <v>1</v>
      </c>
      <c r="J54" s="34" t="inlineStr">
        <is>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4" s="35" t="n"/>
      <c r="L54" s="34" t="inlineStr">
        <is>
          <t>Chromatographic Analysis</t>
        </is>
      </c>
      <c r="M54" s="35" t="inlineStr">
        <is>
          <t>Product</t>
        </is>
      </c>
      <c r="N54" s="34" t="inlineStr">
        <is>
          <t>ข้อสอบจริง Product ปี 2567 ข้อ 5</t>
        </is>
      </c>
      <c r="O54" s="35" t="inlineStr">
        <is>
          <t>ข้อสอบจริง</t>
        </is>
      </c>
      <c r="P54" s="35" t="inlineStr">
        <is>
          <t>ปี 2567</t>
        </is>
      </c>
    </row>
    <row r="55" ht="13.2" customHeight="1" s="49">
      <c r="A55" s="35" t="n">
        <v>53</v>
      </c>
      <c r="B55" s="34" t="inlineStr">
        <is>
          <t>หากทำการทดสอบคุณภาพยา mometasone furoate แล้วกำหนดค่า resolution อย่างน้อย 6 หมายความว่าอย่างไร</t>
        </is>
      </c>
      <c r="C55" s="35" t="n"/>
      <c r="D55" s="34" t="inlineStr">
        <is>
          <t>ตัวยามีความสม่ำเสมอไรซักอย่าง</t>
        </is>
      </c>
      <c r="E55" s="34" t="inlineStr">
        <is>
          <t>มีความสามารถในการแยกสารสองตัวอย่างชัดเจน</t>
        </is>
      </c>
      <c r="F55" s="34" t="inlineStr">
        <is>
          <t>มีความถูกต้องในการวัดสูง</t>
        </is>
      </c>
      <c r="G55" s="34" t="inlineStr">
        <is>
          <t>มีความแม่นยำในการวัด</t>
        </is>
      </c>
      <c r="H55" s="34" t="inlineStr">
        <is>
          <t>[NEED_REVIEW]</t>
        </is>
      </c>
      <c r="I55" s="35" t="n">
        <v>1</v>
      </c>
      <c r="J55" s="34" t="inlineStr">
        <is>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5" s="35" t="n"/>
      <c r="L55" s="34" t="inlineStr">
        <is>
          <t>Chromatographic Analysis</t>
        </is>
      </c>
      <c r="M55" s="35" t="inlineStr">
        <is>
          <t>Product</t>
        </is>
      </c>
      <c r="N55" s="34" t="inlineStr">
        <is>
          <t>ข้อสอบจริง Product ปี 2565 ข้อ 64</t>
        </is>
      </c>
      <c r="O55" s="35" t="inlineStr">
        <is>
          <t>ข้อสอบจริง</t>
        </is>
      </c>
      <c r="P55" s="35" t="inlineStr">
        <is>
          <t>ปี 2565</t>
        </is>
      </c>
    </row>
    <row r="56" ht="13.2" customHeight="1" s="49">
      <c r="A56" s="35" t="n">
        <v>54</v>
      </c>
      <c r="B56" s="34" t="inlineStr">
        <is>
          <t>ผู้ป่วยได้รับ hydrocortisone cream 1 % จะวิเคราะห์หาปริมาณสาระสำคัญด้วยเทคนิคใด</t>
        </is>
      </c>
      <c r="C56" s="35" t="n"/>
      <c r="D56" s="34" t="inlineStr">
        <is>
          <t>UV</t>
        </is>
      </c>
      <c r="E56" s="34" t="inlineStr">
        <is>
          <t>HPTLC</t>
        </is>
      </c>
      <c r="F56" s="34" t="inlineStr">
        <is>
          <t>HPLC</t>
        </is>
      </c>
      <c r="G56" s="34" t="inlineStr">
        <is>
          <t>Raman spectroscopy</t>
        </is>
      </c>
      <c r="H56" s="34" t="inlineStr">
        <is>
          <t>[NEED_REVIEW]</t>
        </is>
      </c>
      <c r="I56" s="35" t="n">
        <v>1</v>
      </c>
      <c r="J56" s="34" t="inlineStr">
        <is>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6" s="35" t="n"/>
      <c r="L56" s="34" t="inlineStr">
        <is>
          <t>Chromatographic Analysis</t>
        </is>
      </c>
      <c r="M56" s="35" t="inlineStr">
        <is>
          <t>Product</t>
        </is>
      </c>
      <c r="N56" s="34" t="inlineStr">
        <is>
          <t>ข้อสอบจริง Product ปี 2565 ข้อ 38</t>
        </is>
      </c>
      <c r="O56" s="35" t="inlineStr">
        <is>
          <t>ข้อสอบจริง</t>
        </is>
      </c>
      <c r="P56" s="35" t="inlineStr">
        <is>
          <t>ปี 2565</t>
        </is>
      </c>
    </row>
    <row r="57" ht="13.2" customHeight="1" s="49">
      <c r="A57" s="35" t="n">
        <v>55</v>
      </c>
      <c r="B57" s="34" t="inlineStr">
        <is>
          <t>การวิเคราะห์ยา paracetamol ใช้เครื่องมือใด [แนบรูป: ข้อสอบ Product ปี 2564 รหัสรูปภาพ image71]</t>
        </is>
      </c>
      <c r="C57" s="35" t="inlineStr">
        <is>
          <t>[แนบรูป: ข้อสอบ Product ปี 2564 รหัสรูปภาพ image71]</t>
        </is>
      </c>
      <c r="D57" s="34" t="inlineStr">
        <is>
          <t>Fluorescent</t>
        </is>
      </c>
      <c r="E57" s="34" t="inlineStr">
        <is>
          <t>HPLC</t>
        </is>
      </c>
      <c r="F57" s="34" t="inlineStr">
        <is>
          <t>UV</t>
        </is>
      </c>
      <c r="G57" s="34" t="inlineStr">
        <is>
          <t>IR</t>
        </is>
      </c>
      <c r="H57" s="34" t="inlineStr">
        <is>
          <t>X-ray diffraction</t>
        </is>
      </c>
      <c r="I57" s="35" t="n">
        <v>1</v>
      </c>
      <c r="J57" s="34" t="inlineStr">
        <is>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7" s="35" t="n"/>
      <c r="L57" s="34" t="inlineStr">
        <is>
          <t>Chromatographic Analysis</t>
        </is>
      </c>
      <c r="M57" s="35" t="inlineStr">
        <is>
          <t>Product</t>
        </is>
      </c>
      <c r="N57" s="34" t="inlineStr">
        <is>
          <t>ข้อสอบจริง Product ปี 2564 ข้อ 10</t>
        </is>
      </c>
      <c r="O57" s="35" t="inlineStr">
        <is>
          <t>ข้อสอบจริง</t>
        </is>
      </c>
      <c r="P57" s="35" t="inlineStr">
        <is>
          <t>ปี 2564</t>
        </is>
      </c>
    </row>
    <row r="58" ht="13.2" customHeight="1" s="49">
      <c r="A58" s="35" t="n">
        <v>56</v>
      </c>
      <c r="B58" s="34" t="inlineStr">
        <is>
          <t>จากรูป เป็นเครืองมือใด [แนบรูป: ข้อสอบ Product ปี 2564 รหัสรูปภาพ image72]</t>
        </is>
      </c>
      <c r="C58" s="35" t="inlineStr">
        <is>
          <t>[แนบรูป: ข้อสอบ Product ปี 2564 รหัสรูปภาพ image72]</t>
        </is>
      </c>
      <c r="D58" s="34" t="inlineStr">
        <is>
          <t>GC</t>
        </is>
      </c>
      <c r="E58" s="34" t="inlineStr">
        <is>
          <t>Gas-liquid chromatography</t>
        </is>
      </c>
      <c r="F58" s="34" t="inlineStr">
        <is>
          <t>HPLC</t>
        </is>
      </c>
      <c r="G58" s="34" t="inlineStr">
        <is>
          <t>Ion exchange chromatography</t>
        </is>
      </c>
      <c r="H58" s="34" t="inlineStr">
        <is>
          <t>TLC</t>
        </is>
      </c>
      <c r="I58" s="35" t="n">
        <v>1</v>
      </c>
      <c r="J58" s="34" t="inlineStr">
        <is>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8" s="35" t="n"/>
      <c r="L58" s="34" t="inlineStr">
        <is>
          <t>Chromatographic Analysis</t>
        </is>
      </c>
      <c r="M58" s="35" t="inlineStr">
        <is>
          <t>Product</t>
        </is>
      </c>
      <c r="N58" s="34" t="inlineStr">
        <is>
          <t>ข้อสอบจริง Product ปี 2564 ข้อ 16</t>
        </is>
      </c>
      <c r="O58" s="35" t="inlineStr">
        <is>
          <t>ข้อสอบจริง</t>
        </is>
      </c>
      <c r="P58" s="35" t="inlineStr">
        <is>
          <t>ปี 2564</t>
        </is>
      </c>
    </row>
    <row r="59" ht="13.2" customHeight="1" s="49">
      <c r="A59" s="35" t="n">
        <v>57</v>
      </c>
      <c r="B59" s="34" t="inlineStr">
        <is>
          <t>แกน X และ Y คืออะไรตามลำดับ [แนบรูป: ข้อสอบ Product ปี 2564 รหัสรูปภาพ image76]</t>
        </is>
      </c>
      <c r="C59" s="35" t="inlineStr">
        <is>
          <t>[แนบรูป: ข้อสอบ Product ปี 2564 รหัสรูปภาพ image76]</t>
        </is>
      </c>
      <c r="D59" s="34" t="inlineStr">
        <is>
          <t>X = Absorbance, Y = Wavelength</t>
        </is>
      </c>
      <c r="E59" s="34" t="inlineStr">
        <is>
          <t>X = %Transmittance, Y = Wave number</t>
        </is>
      </c>
      <c r="F59" s="34" t="inlineStr">
        <is>
          <t>X = %Transmittance, Y = Wavelength</t>
        </is>
      </c>
      <c r="G59" s="34" t="inlineStr">
        <is>
          <t>X = Wave number, Y = %Transmittance</t>
        </is>
      </c>
      <c r="H59" s="34" t="inlineStr">
        <is>
          <t>X = Absorbance, Y = Retention time</t>
        </is>
      </c>
      <c r="I59" s="35" t="n">
        <v>1</v>
      </c>
      <c r="J59" s="34" t="inlineStr">
        <is>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9" s="35" t="n"/>
      <c r="L59" s="34" t="inlineStr">
        <is>
          <t>Chromatographic Analysis</t>
        </is>
      </c>
      <c r="M59" s="35" t="inlineStr">
        <is>
          <t>Product</t>
        </is>
      </c>
      <c r="N59" s="34" t="inlineStr">
        <is>
          <t>ข้อสอบจริง Product ปี 2564 ข้อ 40</t>
        </is>
      </c>
      <c r="O59" s="35" t="inlineStr">
        <is>
          <t>ข้อสอบจริง</t>
        </is>
      </c>
      <c r="P59" s="35" t="inlineStr">
        <is>
          <t>ปี 2564</t>
        </is>
      </c>
    </row>
    <row r="60" ht="13.2" customHeight="1" s="49">
      <c r="A60" s="35" t="n">
        <v>58</v>
      </c>
      <c r="B60" s="34" t="inlineStr">
        <is>
          <t>ข้อใดเป็นการวิเคราะห์ปริมาณตัวยาสำคัญของยาเม็ดคุมกำเนิด Levonorgestrel และ Ethinyl estradiol</t>
        </is>
      </c>
      <c r="C60" s="35" t="n"/>
      <c r="D60" s="34" t="inlineStr">
        <is>
          <t>Titrimetry</t>
        </is>
      </c>
      <c r="E60" s="34" t="inlineStr">
        <is>
          <t>Mass spectrometry</t>
        </is>
      </c>
      <c r="F60" s="34" t="inlineStr">
        <is>
          <t>Infrared spectrometry</t>
        </is>
      </c>
      <c r="G60" s="34" t="inlineStr">
        <is>
          <t>UV spectrophotometry</t>
        </is>
      </c>
      <c r="H60" s="34" t="inlineStr">
        <is>
          <t>High performance liquid chromatography</t>
        </is>
      </c>
      <c r="I60" s="35" t="n">
        <v>1</v>
      </c>
      <c r="J60" s="34" t="inlineStr">
        <is>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0" s="35" t="n"/>
      <c r="L60" s="34" t="inlineStr">
        <is>
          <t>Chromatographic Analysis</t>
        </is>
      </c>
      <c r="M60" s="35" t="inlineStr">
        <is>
          <t>Product</t>
        </is>
      </c>
      <c r="N60" s="34" t="inlineStr">
        <is>
          <t>ข้อสอบจริง Product ปี 2564 ข้อ 77</t>
        </is>
      </c>
      <c r="O60" s="35" t="inlineStr">
        <is>
          <t>ข้อสอบจริง</t>
        </is>
      </c>
      <c r="P60" s="35" t="inlineStr">
        <is>
          <t>ปี 2564</t>
        </is>
      </c>
    </row>
    <row r="61" ht="13.2" customHeight="1" s="49">
      <c r="A61" s="35" t="n">
        <v>59</v>
      </c>
      <c r="B61" s="34" t="inlineStr">
        <is>
          <t>หากต้องการแยกอนุพันธ์ ตามภาพเป็นการแยกด้วยวิธีใด [แนบรูป: ข้อสอบ Product ปี 2564 รหัสรูปภาพ image85]</t>
        </is>
      </c>
      <c r="C61" s="35" t="inlineStr">
        <is>
          <t>[แนบรูป: ข้อสอบ Product ปี 2564 รหัสรูปภาพ image85]</t>
        </is>
      </c>
      <c r="D61" s="34" t="inlineStr">
        <is>
          <t>HPLC</t>
        </is>
      </c>
      <c r="E61" s="34" t="inlineStr">
        <is>
          <t>Capillary electrophoresis</t>
        </is>
      </c>
      <c r="F61" s="34" t="inlineStr">
        <is>
          <t>IR</t>
        </is>
      </c>
      <c r="G61" s="34" t="inlineStr">
        <is>
          <t>Atom absorption</t>
        </is>
      </c>
      <c r="H61" s="34" t="inlineStr">
        <is>
          <t>Mass spectrophotometer</t>
        </is>
      </c>
      <c r="I61" s="35" t="n">
        <v>1</v>
      </c>
      <c r="J61" s="34" t="inlineStr">
        <is>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1" s="35" t="n"/>
      <c r="L61" s="34" t="inlineStr">
        <is>
          <t>Chromatographic Analysis</t>
        </is>
      </c>
      <c r="M61" s="35" t="inlineStr">
        <is>
          <t>Product</t>
        </is>
      </c>
      <c r="N61" s="34" t="inlineStr">
        <is>
          <t>ข้อสอบจริง Product ปี 2564 ข้อ 90</t>
        </is>
      </c>
      <c r="O61" s="35" t="inlineStr">
        <is>
          <t>ข้อสอบจริง</t>
        </is>
      </c>
      <c r="P61" s="35" t="inlineStr">
        <is>
          <t>ปี 2564</t>
        </is>
      </c>
    </row>
    <row r="62" ht="13.2" customHeight="1" s="49">
      <c r="A62" s="35" t="n">
        <v>60</v>
      </c>
      <c r="B62" s="34" t="inlineStr">
        <is>
          <t>จากโครงสร้างของ griseofulvin การตรวจสอบคุณภาพใด ทำให้ได้ลักษณะเฉพาะที่ออกฤทธิ์ [แนบรูป: ข้อสอบ Product ปี 2564 รหัสรูปภาพ image87]</t>
        </is>
      </c>
      <c r="C62" s="35" t="inlineStr">
        <is>
          <t>[แนบรูป: ข้อสอบ Product ปี 2564 รหัสรูปภาพ image87]</t>
        </is>
      </c>
      <c r="D62" s="34" t="inlineStr">
        <is>
          <t>Refractive Index ❌ ใช้บอกดัชนีหักเหของสาร ไม่บอกโครงสร้างที่ออกฤทธิ์</t>
        </is>
      </c>
      <c r="E62" s="34" t="inlineStr">
        <is>
          <t>IR ❌ บอกหมู่ฟังก์ชัน ไม่แยก stereoisomer</t>
        </is>
      </c>
      <c r="F62" s="34" t="inlineStr">
        <is>
          <t>Polarization ✅ วัด Specific rotation ใช้ยืนยัน stereochemistry/optical activity ซึ่งมีผลต่อฤทธิ์ของ griseofulvin</t>
        </is>
      </c>
      <c r="G62" s="34" t="inlineStr">
        <is>
          <t>HPLC ❌ ใช้วิเคราะห์ปริมาณหรือความบริสุทธิ์ ไม่ได้บอก optical activity (ถ้าไม่ใช่ chiral HPLC)</t>
        </is>
      </c>
      <c r="H62" s="34" t="inlineStr">
        <is>
          <t>AAS ❌ ใช้วิเคราะห์ธาตุโลหะ</t>
        </is>
      </c>
      <c r="I62" s="35" t="n">
        <v>1</v>
      </c>
      <c r="J62" s="34" t="inlineStr">
        <is>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2" s="35" t="n"/>
      <c r="L62" s="34" t="inlineStr">
        <is>
          <t>Chromatographic Analysis</t>
        </is>
      </c>
      <c r="M62" s="35" t="inlineStr">
        <is>
          <t>Product</t>
        </is>
      </c>
      <c r="N62" s="34" t="inlineStr">
        <is>
          <t>ข้อสอบจริง Product ปี 2564 ข้อ 118</t>
        </is>
      </c>
      <c r="O62" s="35" t="inlineStr">
        <is>
          <t>ข้อสอบจริง</t>
        </is>
      </c>
      <c r="P62" s="35" t="inlineStr">
        <is>
          <t>ปี 2564</t>
        </is>
      </c>
    </row>
    <row r="63" ht="13.2" customHeight="1" s="49">
      <c r="A63" s="35" t="n">
        <v>61</v>
      </c>
      <c r="B63" s="34" t="inlineStr">
        <is>
          <t>ถ้าวิเคราะห์ ยา A ด้วย HPLC ได้ retention time ของ standard กับยา A เท่ากันแปลว่าอะไร</t>
        </is>
      </c>
      <c r="C63" s="35" t="n"/>
      <c r="D63" s="34" t="inlineStr">
        <is>
          <t>ยา กับ standard เป็นสารคนละตัวกัน</t>
        </is>
      </c>
      <c r="E63" s="34" t="inlineStr">
        <is>
          <t>เวลาที่ standard กับ ยา A อยู่ใน column เท่ากัน</t>
        </is>
      </c>
      <c r="F63" s="34" t="inlineStr">
        <is>
          <t>ยา A เป็น by product ของ standard</t>
        </is>
      </c>
      <c r="G63" s="34" t="inlineStr">
        <is>
          <t>ยา A มีความชอบกับ Stationary phase ใน column มากกว่า standard</t>
        </is>
      </c>
      <c r="H63" s="34" t="inlineStr">
        <is>
          <t>ยา 2 กับ Standard มีปริมาณเท่ากัน</t>
        </is>
      </c>
      <c r="I63" s="35" t="n">
        <v>1</v>
      </c>
      <c r="J63" s="34" t="inlineStr">
        <is>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3" s="35" t="n"/>
      <c r="L63" s="34" t="inlineStr">
        <is>
          <t>Chromatographic Analysis</t>
        </is>
      </c>
      <c r="M63" s="35" t="inlineStr">
        <is>
          <t>Product</t>
        </is>
      </c>
      <c r="N63" s="34" t="inlineStr">
        <is>
          <t>ข้อสอบจริง Product ปี 2564 ข้อ 132</t>
        </is>
      </c>
      <c r="O63" s="35" t="inlineStr">
        <is>
          <t>ข้อสอบจริง</t>
        </is>
      </c>
      <c r="P63" s="35" t="inlineStr">
        <is>
          <t>ปี 2564</t>
        </is>
      </c>
    </row>
    <row r="64" ht="13.2" customHeight="1" s="49">
      <c r="A64" s="35" t="n">
        <v>62</v>
      </c>
      <c r="B64" s="34" t="inlineStr">
        <is>
          <t>จากรูปเป็นการวิเคราะห์โดยใช้เครื่องมือใด [แนบรูป: ข้อสอบ Product ปี 2564 รหัสรูปภาพ image89]</t>
        </is>
      </c>
      <c r="C64" s="35" t="inlineStr">
        <is>
          <t>[แนบรูป: ข้อสอบ Product ปี 2564 รหัสรูปภาพ image89]</t>
        </is>
      </c>
      <c r="D64" s="34" t="inlineStr">
        <is>
          <t>กราฟ DSC</t>
        </is>
      </c>
      <c r="E64" s="34" t="inlineStr">
        <is>
          <t>กราฟ UV</t>
        </is>
      </c>
      <c r="F64" s="34" t="inlineStr">
        <is>
          <t>กราฟ IR</t>
        </is>
      </c>
      <c r="G64" s="34" t="inlineStr">
        <is>
          <t>กราฟ HPLC</t>
        </is>
      </c>
      <c r="H64" s="34" t="inlineStr">
        <is>
          <t>กราฟ AAS</t>
        </is>
      </c>
      <c r="I64" s="35" t="n">
        <v>1</v>
      </c>
      <c r="J64" s="34" t="inlineStr">
        <is>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4" s="35" t="n"/>
      <c r="L64" s="34" t="inlineStr">
        <is>
          <t>Chromatographic Analysis</t>
        </is>
      </c>
      <c r="M64" s="35" t="inlineStr">
        <is>
          <t>Product</t>
        </is>
      </c>
      <c r="N64" s="34" t="inlineStr">
        <is>
          <t>ข้อสอบจริง Product ปี 2564 ข้อ 152</t>
        </is>
      </c>
      <c r="O64" s="35" t="inlineStr">
        <is>
          <t>ข้อสอบจริง</t>
        </is>
      </c>
      <c r="P64" s="35" t="inlineStr">
        <is>
          <t>ปี 2564</t>
        </is>
      </c>
    </row>
    <row r="65" ht="13.2" customHeight="1" s="49">
      <c r="A65" s="35" t="n">
        <v>63</v>
      </c>
      <c r="B65" s="34" t="inlineStr">
        <is>
          <t>ข้อใดคือวิธีวิเคราะห์ EPO ตาม British pharmacopoeia</t>
        </is>
      </c>
      <c r="C65" s="35" t="n"/>
      <c r="D65" s="34" t="inlineStr">
        <is>
          <t>IR</t>
        </is>
      </c>
      <c r="E65" s="34" t="inlineStr">
        <is>
          <t>TLC</t>
        </is>
      </c>
      <c r="F65" s="34" t="inlineStr">
        <is>
          <t>Refractometer</t>
        </is>
      </c>
      <c r="G65" s="34" t="inlineStr">
        <is>
          <t>Optical rotation</t>
        </is>
      </c>
      <c r="H65" s="34" t="inlineStr">
        <is>
          <t>Peptide mapping</t>
        </is>
      </c>
      <c r="I65" s="35" t="n">
        <v>1</v>
      </c>
      <c r="J65" s="34" t="inlineStr">
        <is>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5" s="35" t="n"/>
      <c r="L65" s="34" t="inlineStr">
        <is>
          <t>Chromatographic Analysis</t>
        </is>
      </c>
      <c r="M65" s="35" t="inlineStr">
        <is>
          <t>Product</t>
        </is>
      </c>
      <c r="N65" s="34" t="inlineStr">
        <is>
          <t>ข้อสอบจริง Product ปี 2564 ข้อ 162</t>
        </is>
      </c>
      <c r="O65" s="35" t="inlineStr">
        <is>
          <t>ข้อสอบจริง</t>
        </is>
      </c>
      <c r="P65" s="35" t="inlineStr">
        <is>
          <t>ปี 2564</t>
        </is>
      </c>
    </row>
    <row r="66" ht="13.2" customHeight="1" s="49">
      <c r="A66" s="35" t="n">
        <v>64</v>
      </c>
      <c r="B66" s="34" t="inlineStr">
        <is>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is>
      </c>
      <c r="C66" s="35" t="inlineStr">
        <is>
          <t>[แนบรูป: ข้อสอบ Product ปี 2563 รหัสรูปภาพ image94]</t>
        </is>
      </c>
      <c r="D66" s="34" t="inlineStr">
        <is>
          <t>HPLC</t>
        </is>
      </c>
      <c r="E66" s="34" t="inlineStr">
        <is>
          <t>Capillary electrophoresis</t>
        </is>
      </c>
      <c r="F66" s="34" t="inlineStr">
        <is>
          <t>IR</t>
        </is>
      </c>
      <c r="G66" s="34" t="inlineStr">
        <is>
          <t>Atomic absorption spectrophotometry</t>
        </is>
      </c>
      <c r="H66" s="34" t="inlineStr">
        <is>
          <t>Mass spectrometer</t>
        </is>
      </c>
      <c r="I66" s="35" t="n">
        <v>1</v>
      </c>
      <c r="J66" s="34" t="inlineStr">
        <is>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6" s="35" t="n"/>
      <c r="L66" s="34" t="inlineStr">
        <is>
          <t>Chromatographic Analysis</t>
        </is>
      </c>
      <c r="M66" s="35" t="inlineStr">
        <is>
          <t>Product</t>
        </is>
      </c>
      <c r="N66" s="34" t="inlineStr">
        <is>
          <t>ข้อสอบจริง Product ปี 2563 ข้อ 9</t>
        </is>
      </c>
      <c r="O66" s="35" t="inlineStr">
        <is>
          <t>ข้อสอบจริง</t>
        </is>
      </c>
      <c r="P66" s="35" t="inlineStr">
        <is>
          <t>ปี 2563</t>
        </is>
      </c>
    </row>
    <row r="67" ht="13.2" customHeight="1" s="49">
      <c r="A67" s="35" t="n">
        <v>65</v>
      </c>
      <c r="B67" s="34" t="inlineStr">
        <is>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is>
      </c>
      <c r="C67" s="35" t="inlineStr">
        <is>
          <t>[แนบรูป: ข้อสอบ Product ปี 2563 รหัสรูปภาพ image95]</t>
        </is>
      </c>
      <c r="D67" s="34" t="inlineStr">
        <is>
          <t>Confocal microscope</t>
        </is>
      </c>
      <c r="E67" s="34" t="inlineStr">
        <is>
          <t>Immunohistochemistry</t>
        </is>
      </c>
      <c r="F67" s="34" t="inlineStr">
        <is>
          <t>NMR</t>
        </is>
      </c>
      <c r="G67" s="34" t="inlineStr">
        <is>
          <t>Atomic force</t>
        </is>
      </c>
      <c r="H67" s="34" t="inlineStr">
        <is>
          <t>HPLC</t>
        </is>
      </c>
      <c r="I67" s="35" t="n">
        <v>5</v>
      </c>
      <c r="J67" s="34" t="inlineStr">
        <is>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7" s="35" t="n"/>
      <c r="L67" s="34" t="inlineStr">
        <is>
          <t>Chromatographic Analysis</t>
        </is>
      </c>
      <c r="M67" s="35" t="inlineStr">
        <is>
          <t>Product</t>
        </is>
      </c>
      <c r="N67" s="34" t="inlineStr">
        <is>
          <t>ข้อสอบจริง Product ปี 2563 ข้อ 10</t>
        </is>
      </c>
      <c r="O67" s="35" t="inlineStr">
        <is>
          <t>ข้อสอบจริง</t>
        </is>
      </c>
      <c r="P67" s="35" t="inlineStr">
        <is>
          <t>ปี 2563</t>
        </is>
      </c>
    </row>
    <row r="68" ht="13.2" customHeight="1" s="49">
      <c r="A68" s="35" t="n">
        <v>66</v>
      </c>
      <c r="B68" s="34" t="inlineStr">
        <is>
          <t>ข้อใดเป็นการวิเคราะห์ปริมาณตัวยาสำคัญของยาเม็ดคุมกำเนิด Levonorgestrel และ Ethinyl estradiol ต้นฉบับ: Day 2 ข้อ 68</t>
        </is>
      </c>
      <c r="C68" s="35" t="n"/>
      <c r="D68" s="34" t="inlineStr">
        <is>
          <t>Titrimetry</t>
        </is>
      </c>
      <c r="E68" s="34" t="inlineStr">
        <is>
          <t>Mass spectrometry</t>
        </is>
      </c>
      <c r="F68" s="34" t="inlineStr">
        <is>
          <t>Infrared spectrometry</t>
        </is>
      </c>
      <c r="G68" s="34" t="inlineStr">
        <is>
          <t>UV spectrophotometry</t>
        </is>
      </c>
      <c r="H68" s="34" t="inlineStr">
        <is>
          <t>High performance liquid chromatography</t>
        </is>
      </c>
      <c r="I68" s="35" t="n">
        <v>5</v>
      </c>
      <c r="J68" s="34" t="inlineStr">
        <is>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8" s="35" t="n"/>
      <c r="L68" s="34" t="inlineStr">
        <is>
          <t>Chromatographic Analysis</t>
        </is>
      </c>
      <c r="M68" s="35" t="inlineStr">
        <is>
          <t>Product</t>
        </is>
      </c>
      <c r="N68" s="34" t="inlineStr">
        <is>
          <t>ข้อสอบจริง Product ปี 2563 ข้อ 11</t>
        </is>
      </c>
      <c r="O68" s="35" t="inlineStr">
        <is>
          <t>ข้อสอบจริง</t>
        </is>
      </c>
      <c r="P68" s="35" t="inlineStr">
        <is>
          <t>ปี 2563</t>
        </is>
      </c>
    </row>
    <row r="69" ht="13.2" customHeight="1" s="49">
      <c r="A69" s="35" t="n">
        <v>67</v>
      </c>
      <c r="B69" s="34" t="inlineStr">
        <is>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is>
      </c>
      <c r="C69" s="35" t="n"/>
      <c r="D69" s="34" t="inlineStr">
        <is>
          <t>colloidal silicon dioxide</t>
        </is>
      </c>
      <c r="E69" s="34" t="inlineStr">
        <is>
          <t>sodium lauryl sulfate</t>
        </is>
      </c>
      <c r="F69" s="34" t="inlineStr">
        <is>
          <t>microcrystalline cellulose</t>
        </is>
      </c>
      <c r="G69" s="34" t="inlineStr">
        <is>
          <t>sodium starch glycolate</t>
        </is>
      </c>
      <c r="H69" s="34" t="inlineStr">
        <is>
          <t>magnesium stearate |</t>
        </is>
      </c>
      <c r="I69" s="35" t="n">
        <v>1</v>
      </c>
      <c r="J69" s="34" t="inlineStr">
        <is>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9" s="35" t="n"/>
      <c r="L69" s="34" t="inlineStr">
        <is>
          <t>Chromatographic Analysis</t>
        </is>
      </c>
      <c r="M69" s="35" t="inlineStr">
        <is>
          <t>Product</t>
        </is>
      </c>
      <c r="N69" s="34" t="inlineStr">
        <is>
          <t>ข้อสอบจริง Product ปี 2562 ข้อ 5</t>
        </is>
      </c>
      <c r="O69" s="35" t="inlineStr">
        <is>
          <t>ข้อสอบจริง</t>
        </is>
      </c>
      <c r="P69" s="35" t="inlineStr">
        <is>
          <t>ปี 2562</t>
        </is>
      </c>
    </row>
    <row r="70" ht="13.2" customHeight="1" s="49">
      <c r="A70" s="35" t="n">
        <v>68</v>
      </c>
      <c r="B70" s="34" t="inlineStr">
        <is>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is>
      </c>
      <c r="C70" s="35" t="n"/>
      <c r="D70" s="34" t="inlineStr">
        <is>
          <t>Tray drying</t>
        </is>
      </c>
      <c r="E70" s="34" t="inlineStr">
        <is>
          <t>Microwave drying</t>
        </is>
      </c>
      <c r="F70" s="34" t="inlineStr">
        <is>
          <t>Spray drying</t>
        </is>
      </c>
      <c r="G70" s="34" t="inlineStr">
        <is>
          <t>Freeze drying</t>
        </is>
      </c>
      <c r="H70" s="34" t="inlineStr">
        <is>
          <t>Infrared drying |</t>
        </is>
      </c>
      <c r="I70" s="35" t="n">
        <v>1</v>
      </c>
      <c r="J70" s="34" t="inlineStr">
        <is>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0" s="35" t="n"/>
      <c r="L70" s="34" t="inlineStr">
        <is>
          <t>Chromatographic Analysis</t>
        </is>
      </c>
      <c r="M70" s="35" t="inlineStr">
        <is>
          <t>Product</t>
        </is>
      </c>
      <c r="N70" s="34" t="inlineStr">
        <is>
          <t>ข้อสอบจริง Product ปี 2562 ข้อ 3</t>
        </is>
      </c>
      <c r="O70" s="35" t="inlineStr">
        <is>
          <t>ข้อสอบจริง</t>
        </is>
      </c>
      <c r="P70" s="35" t="inlineStr">
        <is>
          <t>ปี 2562</t>
        </is>
      </c>
    </row>
    <row r="71" ht="13.2" customHeight="1" s="49">
      <c r="A71" s="35" t="n">
        <v>69</v>
      </c>
      <c r="B71" s="34" t="inlineStr">
        <is>
          <t>ถ้าวิเคราะห์ยา A ด้วย HPLC ได้ retention time ของ standard เท่ากับยา A หมายความว่าอย่างไร</t>
        </is>
      </c>
      <c r="C71" s="35" t="n"/>
      <c r="D71" s="34" t="inlineStr">
        <is>
          <t>ยา A กับ standard มีปริมาณเท่ากัน</t>
        </is>
      </c>
      <c r="E71" s="34" t="inlineStr">
        <is>
          <t>ยากับ standard เป็นสารคนละตัวกัน</t>
        </is>
      </c>
      <c r="F71" s="34" t="inlineStr">
        <is>
          <t>ยา A เป็น by product ของ standard</t>
        </is>
      </c>
      <c r="G71" s="34" t="inlineStr">
        <is>
          <t>เวลาที่ standard กับยา A อยู่ใน column เท่ากัน</t>
        </is>
      </c>
      <c r="H71" s="34" t="inlineStr">
        <is>
          <t>ยา A มีความชอบพอกับ stationary phase ใน column มากกว่า standard</t>
        </is>
      </c>
      <c r="I71" s="35" t="n">
        <v>1</v>
      </c>
      <c r="J71" s="34" t="inlineStr">
        <is>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1" s="35" t="n"/>
      <c r="L71" s="34" t="inlineStr">
        <is>
          <t>Chromatographic Analysis</t>
        </is>
      </c>
      <c r="M71" s="35" t="inlineStr">
        <is>
          <t>Product</t>
        </is>
      </c>
      <c r="N71" s="34" t="inlineStr">
        <is>
          <t>ข้อสอบจริง Product ปี 2561 ข้อ 31</t>
        </is>
      </c>
      <c r="O71" s="35" t="inlineStr">
        <is>
          <t>ข้อสอบจริง</t>
        </is>
      </c>
      <c r="P71" s="35" t="inlineStr">
        <is>
          <t>ปี 2561</t>
        </is>
      </c>
    </row>
    <row r="72" ht="13.2" customHeight="1" s="49">
      <c r="A72" s="35" t="n">
        <v>70</v>
      </c>
      <c r="B72" s="34" t="inlineStr">
        <is>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is>
      </c>
      <c r="C72" s="35" t="inlineStr">
        <is>
          <t>[แนบรูป: ข้อสอบ Product ปี 2561 รหัสรูปภาพ image109]</t>
        </is>
      </c>
      <c r="D72" s="34" t="inlineStr">
        <is>
          <t>2.4</t>
        </is>
      </c>
      <c r="E72" s="34" t="inlineStr">
        <is>
          <t>4.8</t>
        </is>
      </c>
      <c r="F72" s="34" t="inlineStr">
        <is>
          <t>9.6</t>
        </is>
      </c>
      <c r="G72" s="34" t="inlineStr">
        <is>
          <t>3</t>
        </is>
      </c>
      <c r="H72" s="34" t="inlineStr">
        <is>
          <t>0.625</t>
        </is>
      </c>
      <c r="I72" s="35" t="n">
        <v>1</v>
      </c>
      <c r="J72" s="34" t="inlineStr">
        <is>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2" s="35" t="n"/>
      <c r="L72" s="34" t="inlineStr">
        <is>
          <t>Chromatographic Analysis</t>
        </is>
      </c>
      <c r="M72" s="35" t="inlineStr">
        <is>
          <t>Product</t>
        </is>
      </c>
      <c r="N72" s="34" t="inlineStr">
        <is>
          <t>ข้อสอบจริง Product ปี 2561 ข้อ 40</t>
        </is>
      </c>
      <c r="O72" s="35" t="inlineStr">
        <is>
          <t>ข้อสอบจริง</t>
        </is>
      </c>
      <c r="P72" s="35" t="inlineStr">
        <is>
          <t>ปี 2561</t>
        </is>
      </c>
    </row>
    <row r="73" ht="13.2" customHeight="1" s="49">
      <c r="A73" s="35" t="n">
        <v>71</v>
      </c>
      <c r="B73" s="34" t="inlineStr">
        <is>
          <t>หากต้องการตรวจหาปริมาณ EE และ levonogestrel ที่ประกอบอยู่ในยาเม็ด ควรใช้วิธีใด</t>
        </is>
      </c>
      <c r="C73" s="35" t="n"/>
      <c r="D73" s="34" t="inlineStr">
        <is>
          <t>HPLC</t>
        </is>
      </c>
      <c r="E73" s="34" t="inlineStr">
        <is>
          <t>Mass spectroscopy</t>
        </is>
      </c>
      <c r="F73" s="34" t="inlineStr">
        <is>
          <t>UV-Vis spectroscopy</t>
        </is>
      </c>
      <c r="G73" s="34" t="inlineStr">
        <is>
          <t>Infrared spectroscopy</t>
        </is>
      </c>
      <c r="H73" s="34" t="inlineStr">
        <is>
          <t>Planar chromatography</t>
        </is>
      </c>
      <c r="I73" s="35" t="n">
        <v>1</v>
      </c>
      <c r="J73" s="34" t="inlineStr">
        <is>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3" s="35" t="n"/>
      <c r="L73" s="34" t="inlineStr">
        <is>
          <t>Chromatographic Analysis</t>
        </is>
      </c>
      <c r="M73" s="35" t="inlineStr">
        <is>
          <t>Product</t>
        </is>
      </c>
      <c r="N73" s="34" t="inlineStr">
        <is>
          <t>ข้อสอบจริง Product ปี 2561 ข้อ 63</t>
        </is>
      </c>
      <c r="O73" s="35" t="inlineStr">
        <is>
          <t>ข้อสอบจริง</t>
        </is>
      </c>
      <c r="P73" s="35" t="inlineStr">
        <is>
          <t>ปี 2561</t>
        </is>
      </c>
    </row>
    <row r="74" ht="13.2" customHeight="1" s="49">
      <c r="A74" s="35" t="n">
        <v>72</v>
      </c>
      <c r="B74" s="34" t="inlineStr">
        <is>
          <t>ควรใช้เครื่องมือใดในการพิสูจน์เอกลักษณ์ metformin raw material</t>
        </is>
      </c>
      <c r="C74" s="35" t="n"/>
      <c r="D74" s="34" t="inlineStr">
        <is>
          <t>IR</t>
        </is>
      </c>
      <c r="E74" s="34" t="inlineStr">
        <is>
          <t>TLC</t>
        </is>
      </c>
      <c r="F74" s="34" t="inlineStr">
        <is>
          <t>UV-vis</t>
        </is>
      </c>
      <c r="G74" s="34" t="inlineStr">
        <is>
          <t>Fluorescence</t>
        </is>
      </c>
      <c r="H74" s="34" t="inlineStr">
        <is>
          <t>X-ray diffraction</t>
        </is>
      </c>
      <c r="I74" s="35" t="n">
        <v>1</v>
      </c>
      <c r="J74" s="34" t="inlineStr">
        <is>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4" s="35" t="n"/>
      <c r="L74" s="34" t="inlineStr">
        <is>
          <t>Chromatographic Analysis</t>
        </is>
      </c>
      <c r="M74" s="35" t="inlineStr">
        <is>
          <t>Product</t>
        </is>
      </c>
      <c r="N74" s="34" t="inlineStr">
        <is>
          <t>ข้อสอบจริง Product ปี 2561 ข้อ 67</t>
        </is>
      </c>
      <c r="O74" s="35" t="inlineStr">
        <is>
          <t>ข้อสอบจริง</t>
        </is>
      </c>
      <c r="P74" s="35" t="inlineStr">
        <is>
          <t>ปี 2561</t>
        </is>
      </c>
    </row>
    <row r="75" ht="13.2" customHeight="1" s="49">
      <c r="A75" s="35" t="n">
        <v>73</v>
      </c>
      <c r="B75" s="34" t="inlineStr">
        <is>
          <t>ข้อใดคือวิธีการแยก racemic mixture</t>
        </is>
      </c>
      <c r="C75" s="35" t="n"/>
      <c r="D75" s="34" t="inlineStr">
        <is>
          <t>Size exclusion</t>
        </is>
      </c>
      <c r="E75" s="34" t="inlineStr">
        <is>
          <t>Counter current</t>
        </is>
      </c>
      <c r="F75" s="34" t="inlineStr">
        <is>
          <t>Super critical fluid</t>
        </is>
      </c>
      <c r="G75" s="34" t="inlineStr">
        <is>
          <t>Chiral Chromatography</t>
        </is>
      </c>
      <c r="H75" s="34" t="inlineStr">
        <is>
          <t>Planar Chromatography</t>
        </is>
      </c>
      <c r="I75" s="35" t="n">
        <v>1</v>
      </c>
      <c r="J75" s="34" t="inlineStr">
        <is>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5" s="35" t="n"/>
      <c r="L75" s="34" t="inlineStr">
        <is>
          <t>Chromatographic Analysis</t>
        </is>
      </c>
      <c r="M75" s="35" t="inlineStr">
        <is>
          <t>Product</t>
        </is>
      </c>
      <c r="N75" s="34" t="inlineStr">
        <is>
          <t>ข้อสอบจริง Product ปี 2561 ข้อ 91</t>
        </is>
      </c>
      <c r="O75" s="35" t="inlineStr">
        <is>
          <t>ข้อสอบจริง</t>
        </is>
      </c>
      <c r="P75" s="35" t="inlineStr">
        <is>
          <t>ปี 2561</t>
        </is>
      </c>
    </row>
    <row r="76" ht="13.2" customHeight="1" s="49">
      <c r="A76" s="35" t="n">
        <v>74</v>
      </c>
      <c r="B76" s="34" t="inlineStr">
        <is>
          <t>จากภาพเป็นการวิเคราะห์โดยใช้เครื่องมือใด [แนบรูป: ข้อสอบ Product ปี 2561 รหัสรูปภาพ image115]</t>
        </is>
      </c>
      <c r="C76" s="35" t="inlineStr">
        <is>
          <t>[แนบรูป: ข้อสอบ Product ปี 2561 รหัสรูปภาพ image115]</t>
        </is>
      </c>
      <c r="D76" s="34" t="inlineStr">
        <is>
          <t>HPLC</t>
        </is>
      </c>
      <c r="E76" s="34" t="inlineStr">
        <is>
          <t>Gas chromatography</t>
        </is>
      </c>
      <c r="F76" s="34" t="inlineStr">
        <is>
          <t>Planar chromatography</t>
        </is>
      </c>
      <c r="G76" s="34" t="inlineStr">
        <is>
          <t>Countercurrent chromatography</t>
        </is>
      </c>
      <c r="H76" s="34" t="inlineStr">
        <is>
          <t>Capillary electrophoresis chromatography</t>
        </is>
      </c>
      <c r="I76" s="35" t="n">
        <v>1</v>
      </c>
      <c r="J76" s="34" t="inlineStr">
        <is>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6" s="35" t="n"/>
      <c r="L76" s="34" t="inlineStr">
        <is>
          <t>Chromatographic Analysis</t>
        </is>
      </c>
      <c r="M76" s="35" t="inlineStr">
        <is>
          <t>Product</t>
        </is>
      </c>
      <c r="N76" s="34" t="inlineStr">
        <is>
          <t>ข้อสอบจริง Product ปี 2561 ข้อ 103</t>
        </is>
      </c>
      <c r="O76" s="35" t="inlineStr">
        <is>
          <t>ข้อสอบจริง</t>
        </is>
      </c>
      <c r="P76" s="35" t="inlineStr">
        <is>
          <t>ปี 2561</t>
        </is>
      </c>
    </row>
    <row r="77" ht="13.2" customHeight="1" s="49">
      <c r="A77" s="35" t="n">
        <v>75</v>
      </c>
      <c r="B77" s="34" t="inlineStr">
        <is>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is>
      </c>
      <c r="C77" s="35" t="n"/>
      <c r="D77" s="34" t="inlineStr">
        <is>
          <t>เป็น normal phase</t>
        </is>
      </c>
      <c r="E77" s="34" t="inlineStr">
        <is>
          <t>ใช้ UV-vis วิเคราะห์ได้</t>
        </is>
      </c>
      <c r="F77" s="34" t="inlineStr">
        <is>
          <t>Stationary phase เป็น C18</t>
        </is>
      </c>
      <c r="G77" s="34" t="inlineStr">
        <is>
          <t>Tailing factor ใช้ดูความสมมาตรของกราฟ</t>
        </is>
      </c>
      <c r="H77" s="34" t="inlineStr">
        <is>
          <t>Column efficiency สามารถวัดได้โดย retention time กับ width length</t>
        </is>
      </c>
      <c r="I77" s="35" t="n">
        <v>1</v>
      </c>
      <c r="J77" s="34" t="inlineStr">
        <is>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7" s="35" t="n"/>
      <c r="L77" s="34" t="inlineStr">
        <is>
          <t>Chromatographic Analysis</t>
        </is>
      </c>
      <c r="M77" s="35" t="inlineStr">
        <is>
          <t>Product</t>
        </is>
      </c>
      <c r="N77" s="34" t="inlineStr">
        <is>
          <t>ข้อสอบจริง Product ปี 2561 ข้อ 107</t>
        </is>
      </c>
      <c r="O77" s="35" t="inlineStr">
        <is>
          <t>ข้อสอบจริง</t>
        </is>
      </c>
      <c r="P77" s="35" t="inlineStr">
        <is>
          <t>ปี 2561</t>
        </is>
      </c>
    </row>
    <row r="78" ht="13.2" customHeight="1" s="49">
      <c r="A78" s="35" t="n">
        <v>76</v>
      </c>
      <c r="B78" s="34" t="inlineStr">
        <is>
          <t>(คำถามประยุกต์เนื่องจากไม่มีรูปภาพ Monograph ต้นฉบับ) 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8" s="35" t="n"/>
      <c r="D78" s="34" t="inlineStr">
        <is>
          <t>HPLC (High-Performance Liquid Chromatography) และ UV-Vis Spectrophotometry</t>
        </is>
      </c>
      <c r="E78" s="34" t="inlineStr">
        <is>
          <t>HPLC และ TLC (Thin-Layer Chromatography)</t>
        </is>
      </c>
      <c r="F78" s="34" t="inlineStr">
        <is>
          <t>TLC และ GC (Gas Chromatography)</t>
        </is>
      </c>
      <c r="G78" s="34" t="inlineStr">
        <is>
          <t>GC และ MS (Mass Spectrometry)</t>
        </is>
      </c>
      <c r="H78" s="34" t="inlineStr">
        <is>
          <t>Chromatographic retention time (เช่น HPLC/TLC) และ IR (Infrared Spectroscopy)</t>
        </is>
      </c>
      <c r="I78" s="35" t="n">
        <v>1</v>
      </c>
      <c r="J78" s="34" t="inlineStr">
        <is>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8" s="35" t="n"/>
      <c r="L78" s="34" t="inlineStr">
        <is>
          <t>Chromatographic Analysis</t>
        </is>
      </c>
      <c r="M78" s="35" t="inlineStr">
        <is>
          <t>Product</t>
        </is>
      </c>
      <c r="N78" s="34" t="inlineStr">
        <is>
          <t>ข้อสอบจริง Product ปี 2558 ข้อ 39</t>
        </is>
      </c>
      <c r="O78" s="35" t="inlineStr">
        <is>
          <t>ข้อสอบจริง</t>
        </is>
      </c>
      <c r="P78" s="35" t="inlineStr">
        <is>
          <t>ปี 2558</t>
        </is>
      </c>
    </row>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44" customWidth="1" style="49" min="2" max="2"/>
    <col width="20.33203125" customWidth="1" style="49" min="10" max="10"/>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64.8" customHeight="1" s="49">
      <c r="A2" s="17" t="inlineStr">
        <is>
          <t>ข้อที่</t>
        </is>
      </c>
      <c r="B2" s="17"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0" t="inlineStr">
        <is>
          <t>ประเภทข้อสอบ</t>
        </is>
      </c>
      <c r="P2" s="10" t="inlineStr">
        <is>
          <t>ปี / เลขชุด</t>
        </is>
      </c>
      <c r="Q2" s="10" t="n"/>
    </row>
    <row r="3" ht="409.6" customHeight="1" s="49">
      <c r="A3" s="12" t="inlineStr">
        <is>
          <t>2</t>
        </is>
      </c>
      <c r="B3" s="10" t="inlineStr">
        <is>
          <t>ข้อใดเป็นเทคนิคที่เหมาะสมในการพิสูจน์ chirality อัตลักษณ์ของวัตถุดิบยา Paclitaxel</t>
        </is>
      </c>
      <c r="C3" s="10" t="n"/>
      <c r="D3" s="10" t="inlineStr">
        <is>
          <t>NIR (near infrared spectroscopy)</t>
        </is>
      </c>
      <c r="E3" s="10" t="inlineStr">
        <is>
          <t>Karl Fischer titration</t>
        </is>
      </c>
      <c r="F3" s="10" t="inlineStr">
        <is>
          <t>Polarimeter</t>
        </is>
      </c>
      <c r="G3" s="10" t="inlineStr">
        <is>
          <t>Refractometer</t>
        </is>
      </c>
      <c r="H3" s="10" t="inlineStr">
        <is>
          <t>Mass spectrometry</t>
        </is>
      </c>
      <c r="I3" s="12" t="inlineStr">
        <is>
          <t>3</t>
        </is>
      </c>
      <c r="J3" s="10"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 t="inlineStr">
        <is>
          <t>Optical Rotation &amp; Chirality</t>
        </is>
      </c>
      <c r="L3" s="10" t="inlineStr">
        <is>
          <t>ข้อสอบ Product (Chirality Identification)</t>
        </is>
      </c>
      <c r="M3" s="10" t="inlineStr">
        <is>
          <t>Spectroscopy</t>
        </is>
      </c>
      <c r="N3" s="10" t="inlineStr">
        <is>
          <t>Mock PLE-CC 1 ข้อ 74</t>
        </is>
      </c>
      <c r="O3" s="10" t="inlineStr">
        <is>
          <t>Mock</t>
        </is>
      </c>
      <c r="P3" s="10" t="inlineStr">
        <is>
          <t>Mock RxCU83</t>
        </is>
      </c>
      <c r="Q3" s="10" t="n"/>
    </row>
    <row r="4" ht="409.6" customHeight="1" s="49">
      <c r="A4" s="12" t="inlineStr">
        <is>
          <t>3</t>
        </is>
      </c>
      <c r="B4" s="10"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 t="n"/>
      <c r="D4" s="10" t="inlineStr">
        <is>
          <t>Polarimetry</t>
        </is>
      </c>
      <c r="E4" s="10" t="inlineStr">
        <is>
          <t>NMR spectroscopy</t>
        </is>
      </c>
      <c r="F4" s="10" t="inlineStr">
        <is>
          <t>IR spectroscopy</t>
        </is>
      </c>
      <c r="G4" s="10" t="inlineStr">
        <is>
          <t>HPLC</t>
        </is>
      </c>
      <c r="H4" s="10" t="inlineStr">
        <is>
          <t>Refractometry</t>
        </is>
      </c>
      <c r="I4" s="12" t="inlineStr">
        <is>
          <t>1</t>
        </is>
      </c>
      <c r="J4" s="10"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 t="inlineStr">
        <is>
          <t>Polarimetry</t>
        </is>
      </c>
      <c r="L4" s="10" t="inlineStr">
        <is>
          <t>ข้อสอบจริง PLE CC 1 (Product) ปี 2567 ข้อ 1</t>
        </is>
      </c>
      <c r="M4" s="10" t="inlineStr">
        <is>
          <t>Spectroscopy</t>
        </is>
      </c>
      <c r="N4" s="10" t="inlineStr">
        <is>
          <t>PLE_CC1_2567_Key ข้อ 3</t>
        </is>
      </c>
      <c r="O4" s="10" t="inlineStr">
        <is>
          <t>ข้อสอบจริง</t>
        </is>
      </c>
      <c r="P4" s="10" t="inlineStr">
        <is>
          <t>ปี 2567</t>
        </is>
      </c>
      <c r="Q4" s="10" t="n"/>
    </row>
    <row r="5" ht="409.6" customHeight="1" s="49">
      <c r="A5" s="12" t="inlineStr">
        <is>
          <t>4</t>
        </is>
      </c>
      <c r="B5" s="10"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 t="n"/>
      <c r="D5" s="10" t="inlineStr">
        <is>
          <t>Refractometry</t>
        </is>
      </c>
      <c r="E5" s="10" t="inlineStr">
        <is>
          <t>Polarimetry</t>
        </is>
      </c>
      <c r="F5" s="10" t="inlineStr">
        <is>
          <t>UV spectroscopy</t>
        </is>
      </c>
      <c r="G5" s="10" t="inlineStr">
        <is>
          <t>HPLC</t>
        </is>
      </c>
      <c r="H5" s="10" t="inlineStr">
        <is>
          <t>Mass spectrometry</t>
        </is>
      </c>
      <c r="I5" s="12" t="inlineStr">
        <is>
          <t>2</t>
        </is>
      </c>
      <c r="J5" s="10"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 t="inlineStr">
        <is>
          <t>Polarimetry</t>
        </is>
      </c>
      <c r="L5" s="10" t="inlineStr">
        <is>
          <t>ข้อสอบจริง PLE CC 1 (Product) ปี 2567 ข้อ 2</t>
        </is>
      </c>
      <c r="M5" s="10" t="inlineStr">
        <is>
          <t>Spectroscopy</t>
        </is>
      </c>
      <c r="N5" s="10" t="inlineStr">
        <is>
          <t>PLE_CC1_2567_Set1_Key ข้อ 16</t>
        </is>
      </c>
      <c r="O5" s="10" t="inlineStr">
        <is>
          <t>ข้อสอบจริง</t>
        </is>
      </c>
      <c r="P5" s="10" t="inlineStr">
        <is>
          <t>ปี 2567</t>
        </is>
      </c>
      <c r="Q5" s="10" t="n"/>
    </row>
    <row r="6" ht="409.6" customHeight="1" s="49">
      <c r="A6" s="12" t="inlineStr">
        <is>
          <t>5</t>
        </is>
      </c>
      <c r="B6" s="10"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 t="n"/>
      <c r="D6" s="10" t="inlineStr">
        <is>
          <t>Functional group (หมู่ฟังก์ชันในโมเลกุล)</t>
        </is>
      </c>
      <c r="E6" s="10" t="inlineStr">
        <is>
          <t>Electrospray Ionization Mass (m/z)</t>
        </is>
      </c>
      <c r="F6" s="10" t="inlineStr">
        <is>
          <t>Optical Rotation via Polarimeter</t>
        </is>
      </c>
      <c r="G6" s="10" t="inlineStr">
        <is>
          <t>Refractive Index via Abbe Refractometer</t>
        </is>
      </c>
      <c r="H6" s="10" t="inlineStr">
        <is>
          <t>Melting point and thermal behavior</t>
        </is>
      </c>
      <c r="I6" s="12" t="inlineStr">
        <is>
          <t>1</t>
        </is>
      </c>
      <c r="J6" s="10"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 t="inlineStr">
        <is>
          <t>Infrared (IR) Spectroscopy</t>
        </is>
      </c>
      <c r="L6" s="10" t="inlineStr">
        <is>
          <t>ข้อสอบจริง PLE CC 1 (Product) ปี 2566 ข้อ 4</t>
        </is>
      </c>
      <c r="M6" s="10" t="inlineStr">
        <is>
          <t>Spectroscopy</t>
        </is>
      </c>
      <c r="N6" s="10" t="inlineStr">
        <is>
          <t>PLE-CC1 ปี 2566 Day 1 ข้อ 29</t>
        </is>
      </c>
      <c r="O6" s="10" t="inlineStr">
        <is>
          <t>ข้อสอบจริง</t>
        </is>
      </c>
      <c r="P6" s="10" t="inlineStr">
        <is>
          <t>ปี 2566</t>
        </is>
      </c>
      <c r="Q6" s="10" t="n"/>
    </row>
    <row r="7" ht="409.6" customHeight="1" s="49">
      <c r="A7" s="12" t="inlineStr">
        <is>
          <t>6</t>
        </is>
      </c>
      <c r="B7" s="10"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 t="n"/>
      <c r="D7" s="10" t="inlineStr">
        <is>
          <t>Inductively Coupled Plasma Spectroscopy (ICP-MS หรือ ICP-OES)</t>
        </is>
      </c>
      <c r="E7" s="10" t="inlineStr">
        <is>
          <t>Fourier Transform Infrared Spectroscopy (FT-IR)</t>
        </is>
      </c>
      <c r="F7" s="10" t="inlineStr">
        <is>
          <t>UV-Vis Spectrophotometry</t>
        </is>
      </c>
      <c r="G7" s="10" t="inlineStr">
        <is>
          <t>Refractive Index via Abbe Refractometer</t>
        </is>
      </c>
      <c r="H7" s="10" t="inlineStr">
        <is>
          <t>Differential Scanning Calorimetry (DSC)</t>
        </is>
      </c>
      <c r="I7" s="12" t="inlineStr">
        <is>
          <t>1</t>
        </is>
      </c>
      <c r="J7" s="10"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 t="inlineStr">
        <is>
          <t>Atomic Spectroscopy &amp; Elemental Impurities</t>
        </is>
      </c>
      <c r="L7" s="10" t="inlineStr">
        <is>
          <t>ข้อสอบจริง PLE CC 1 ปี 2566 Day 2 ข้อ 90</t>
        </is>
      </c>
      <c r="M7" s="10" t="inlineStr">
        <is>
          <t>Spectroscopy</t>
        </is>
      </c>
      <c r="N7" s="10" t="inlineStr">
        <is>
          <t>PLE-CC1 ปี 2566 Day 2 ข้อ 1</t>
        </is>
      </c>
      <c r="O7" s="10" t="inlineStr">
        <is>
          <t>ข้อสอบจริง</t>
        </is>
      </c>
      <c r="P7" s="10" t="inlineStr">
        <is>
          <t>ปี 2566</t>
        </is>
      </c>
      <c r="Q7" s="10" t="n"/>
    </row>
    <row r="8" ht="409.6" customHeight="1" s="49">
      <c r="A8" s="12" t="inlineStr">
        <is>
          <t>7</t>
        </is>
      </c>
      <c r="B8" s="10"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 t="n"/>
      <c r="D8" s="10" t="inlineStr">
        <is>
          <t>Limit of Detection (LOD; ขีดจำกัดต่ำสุดที่สามารถตรวจพบได้)</t>
        </is>
      </c>
      <c r="E8" s="10" t="inlineStr">
        <is>
          <t>Specificity (ความจำเพาะในการตรวจวิเคราะห์ตัวยาสำคัญท่ามกลางสารช่วยในตำรับ)</t>
        </is>
      </c>
      <c r="F8" s="10" t="inlineStr">
        <is>
          <t>Accuracy (ความถูกต้อง โดยประเมินค่า %Recovery)</t>
        </is>
      </c>
      <c r="G8" s="10" t="inlineStr">
        <is>
          <t>Precision (ความเที่ยง ทั้ง Repeatability และ Intermediate precision)</t>
        </is>
      </c>
      <c r="H8" s="10" t="inlineStr">
        <is>
          <t>Linearity and Range (ความเป็นเส้นตรงและช่วงการวิเคราะห์)</t>
        </is>
      </c>
      <c r="I8" s="12" t="inlineStr">
        <is>
          <t>1</t>
        </is>
      </c>
      <c r="J8" s="10"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 t="inlineStr">
        <is>
          <t>Analytical Method Validation (ICH Q2)</t>
        </is>
      </c>
      <c r="L8" s="10" t="inlineStr">
        <is>
          <t>ข้อสอบจริง PLE CC 1 ปี 2566 Day 2 ข้อ 87</t>
        </is>
      </c>
      <c r="M8" s="10" t="inlineStr">
        <is>
          <t>Spectroscopy</t>
        </is>
      </c>
      <c r="N8" s="10" t="inlineStr">
        <is>
          <t>PLE-CC1 ปี 2566 Day 2 ข้อ 2</t>
        </is>
      </c>
      <c r="O8" s="10" t="inlineStr">
        <is>
          <t>ข้อสอบจริง</t>
        </is>
      </c>
      <c r="P8" s="10" t="inlineStr">
        <is>
          <t>ปี 2566</t>
        </is>
      </c>
      <c r="Q8" s="10" t="n"/>
    </row>
    <row r="9" ht="409.6" customHeight="1" s="49">
      <c r="A9" s="12" t="inlineStr">
        <is>
          <t>8</t>
        </is>
      </c>
      <c r="B9" s="10"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 t="n"/>
      <c r="D9" s="10" t="inlineStr">
        <is>
          <t>Carbonyl group (C=O stretching เช่น ใน ketone, ester, carboxylic acid)</t>
        </is>
      </c>
      <c r="E9" s="10" t="inlineStr">
        <is>
          <t>Hydroxyl group (O-H stretching ใน alcohol หรือ phenol)</t>
        </is>
      </c>
      <c r="F9" s="10" t="inlineStr">
        <is>
          <t>Amine group (N-H stretching ใน primary หรือ secondary amine)</t>
        </is>
      </c>
      <c r="G9" s="10" t="inlineStr">
        <is>
          <t>Alkyne group (C≡C stretching)</t>
        </is>
      </c>
      <c r="H9" s="10" t="inlineStr">
        <is>
          <t>Aromatic ring (C=C aromatic stretching)</t>
        </is>
      </c>
      <c r="I9" s="12" t="inlineStr">
        <is>
          <t>1</t>
        </is>
      </c>
      <c r="J9" s="10"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 t="inlineStr">
        <is>
          <t>Infrared (IR) Spectroscopy</t>
        </is>
      </c>
      <c r="L9" s="10" t="inlineStr">
        <is>
          <t>ข้อสอบจริง PLE CC 1 ปี 2565 Day 1 ข้อ 45</t>
        </is>
      </c>
      <c r="M9" s="10" t="inlineStr">
        <is>
          <t>Spectroscopy</t>
        </is>
      </c>
      <c r="N9" s="10" t="inlineStr">
        <is>
          <t>PLE-CC1 ปี 2566 Day 2 ข้อ 3</t>
        </is>
      </c>
      <c r="O9" s="10" t="inlineStr">
        <is>
          <t>ข้อสอบจริง</t>
        </is>
      </c>
      <c r="P9" s="10" t="inlineStr">
        <is>
          <t>ปี 2566</t>
        </is>
      </c>
      <c r="Q9" s="10" t="n"/>
    </row>
    <row r="10" ht="409.6" customHeight="1" s="49">
      <c r="A10" s="12" t="inlineStr">
        <is>
          <t>9</t>
        </is>
      </c>
      <c r="B10" s="10"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 t="n"/>
      <c r="D10" s="10" t="inlineStr">
        <is>
          <t>Infrared (IR) Spectroscopy และ X-ray Powder Diffraction (XRPD)</t>
        </is>
      </c>
      <c r="E10" s="10" t="inlineStr">
        <is>
          <t>UV-Vis Spectrophotometry</t>
        </is>
      </c>
      <c r="F10" s="10" t="inlineStr">
        <is>
          <t>Thin Layer Chromatography (TLC)</t>
        </is>
      </c>
      <c r="G10" s="10" t="inlineStr">
        <is>
          <t>Refractive Index</t>
        </is>
      </c>
      <c r="H10" s="10" t="inlineStr">
        <is>
          <t>Loss on Drying</t>
        </is>
      </c>
      <c r="I10" s="12" t="inlineStr">
        <is>
          <t>1</t>
        </is>
      </c>
      <c r="J10" s="10"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 t="inlineStr">
        <is>
          <t>Polymorphism &amp; Solid-state Spectroscopy</t>
        </is>
      </c>
      <c r="L10" s="10" t="inlineStr">
        <is>
          <t>ข้อสอบจริง PLE CC 1 ปี 2561 ข้อ 2</t>
        </is>
      </c>
      <c r="M10" s="10" t="inlineStr">
        <is>
          <t>Spectroscopy</t>
        </is>
      </c>
      <c r="N10" s="10" t="inlineStr">
        <is>
          <t>PLE_CC1_2564_All_Key ข้อ 136</t>
        </is>
      </c>
      <c r="O10" s="10" t="inlineStr">
        <is>
          <t>ข้อสอบจริง</t>
        </is>
      </c>
      <c r="P10" s="10" t="inlineStr">
        <is>
          <t>ปี 2564</t>
        </is>
      </c>
      <c r="Q10" s="10" t="n"/>
    </row>
    <row r="11" ht="409.6" customHeight="1" s="49">
      <c r="A11" s="12" t="inlineStr">
        <is>
          <t>9</t>
        </is>
      </c>
      <c r="B11" s="10" t="inlineStr">
        <is>
          <t>โครงสร้าง ethambutol ข้อใดถูก M69608 X neediererz restora ninata do nee ↑</t>
        </is>
      </c>
      <c r="C11" s="10" t="n"/>
      <c r="D11" s="10" t="inlineStr">
        <is>
          <t>เป็น zwitter ion</t>
        </is>
      </c>
      <c r="E11" s="10" t="inlineStr">
        <is>
          <t>ละลายได้ดีในกรด</t>
        </is>
      </c>
      <c r="F11" s="10" t="inlineStr">
        <is>
          <t>ดูดกลืนแสงช่วง UV</t>
        </is>
      </c>
      <c r="G11" s="10" t="inlineStr">
        <is>
          <t>มี stereomer 1 ตำแหน่ง</t>
        </is>
      </c>
      <c r="H11" s="10" t="inlineStr">
        <is>
          <t>ขับออกได้ดีในสภาวะปัสสาวะเป็นด่าง</t>
        </is>
      </c>
      <c r="I11" s="12" t="inlineStr">
        <is>
          <t>1</t>
        </is>
      </c>
      <c r="J11" s="10"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ละลายได้ดีในกรด ไม่ถูกต้องตามหลักการ Analytical Chemistry สำหรับวิธีทดสอบนี้
• ข้อ ค. (ดูดกลืนแสงช่วง UV): ดูดกลืนแสงช่วง UV ไม่ถูกต้องตามหลักการ Analytical Chemistry สำหรับวิธีทดสอบนี้
• ข้อ ง. (มี stereomer 1 ตำแหน่ง): มี stereomer 1 ตำแหน่ง ไม่ถูกต้องตามหลักการ Analytical Chemistry สำหรับวิธีทดสอบนี้
• ข้อ จ. (ขับออกได้ดีในสภาวะปัสสาวะเป็นด่าง): ขับออกได้ดีในสภาวะปัสสาวะเป็นด่าง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UV-Vis Spectroscopy</t>
        </is>
      </c>
      <c r="M11" s="10" t="inlineStr">
        <is>
          <t>Product</t>
        </is>
      </c>
      <c r="N11" s="10" t="inlineStr">
        <is>
          <t>ข้อ 14 (PLE_CC1_2562_Key.md)</t>
        </is>
      </c>
      <c r="O11" s="10" t="inlineStr">
        <is>
          <t>ข้อสอบจริง</t>
        </is>
      </c>
      <c r="P11" s="10" t="inlineStr">
        <is>
          <t>ปี 2562</t>
        </is>
      </c>
      <c r="Q11" s="10" t="n"/>
    </row>
    <row r="12" ht="409.6" customHeight="1" s="49">
      <c r="A12" s="12" t="inlineStr">
        <is>
          <t>10</t>
        </is>
      </c>
      <c r="B12" s="10"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 t="n"/>
      <c r="D12" s="10" t="inlineStr">
        <is>
          <t>Phenyl ring (และ Pyridyl ring ที่มี conjugated double bonds)</t>
        </is>
      </c>
      <c r="E12" s="10" t="inlineStr">
        <is>
          <t>Pyrrolidine ring (วง aliphatic heterocyclic amine)</t>
        </is>
      </c>
      <c r="F12" s="10" t="inlineStr">
        <is>
          <t>Methyl group</t>
        </is>
      </c>
      <c r="G12" s="10" t="inlineStr">
        <is>
          <t>Ethylene bridge ที่ไม่มี conjugation</t>
        </is>
      </c>
      <c r="H12" s="10" t="inlineStr">
        <is>
          <t>Aliphatic tertiary amine</t>
        </is>
      </c>
      <c r="I12" s="12" t="inlineStr">
        <is>
          <t>1</t>
        </is>
      </c>
      <c r="J12" s="10"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 t="inlineStr">
        <is>
          <t>UV-Vis Spectroscopy</t>
        </is>
      </c>
      <c r="L12" s="10" t="inlineStr">
        <is>
          <t>ข้อสอบจริง PLE CC 1 ปี 2560 Set 1</t>
        </is>
      </c>
      <c r="M12" s="10" t="inlineStr">
        <is>
          <t>Product</t>
        </is>
      </c>
      <c r="N12" s="10" t="inlineStr">
        <is>
          <t>ข้อ 6 (PLE_CC1_2560 22 April Set 1.md)</t>
        </is>
      </c>
      <c r="O12" s="10" t="inlineStr">
        <is>
          <t>ข้อสอบจริง</t>
        </is>
      </c>
      <c r="P12" s="10" t="inlineStr">
        <is>
          <t>ปี 2560</t>
        </is>
      </c>
      <c r="Q12" s="10" t="n"/>
    </row>
    <row r="13" ht="409.6" customHeight="1" s="49">
      <c r="A13" s="12" t="inlineStr">
        <is>
          <t>11</t>
        </is>
      </c>
      <c r="B13" s="10" t="inlineStr">
        <is>
          <t>ข้อใดคือเครื่องมือที่ใช้พิสูจน์เอกลักษณ์ในการออกฤทธิ์ของยาในข้อ 60</t>
        </is>
      </c>
      <c r="C13" s="10" t="n"/>
      <c r="D13" s="10" t="inlineStr">
        <is>
          <t>Refractometer</t>
        </is>
      </c>
      <c r="E13" s="10" t="inlineStr">
        <is>
          <t>Polarimeter</t>
        </is>
      </c>
      <c r="F13" s="10" t="inlineStr">
        <is>
          <t>Infrared spectrometer</t>
        </is>
      </c>
      <c r="G13" s="10" t="inlineStr">
        <is>
          <t>Mass spectrometer</t>
        </is>
      </c>
      <c r="H13" s="10" t="inlineStr">
        <is>
          <t>UV-visible spectrometer ห้ามนำไปทำซ้ำทุกกรณี เว้นแต่จะได้รับอนุญาต candidiasis และ trichomonas vaginitis สั่งให้ยา - Tinidazole 500 mg 4x1 - Clotrimazole vaginal tablets 500 mg hs</t>
        </is>
      </c>
      <c r="I13" s="12" t="inlineStr">
        <is>
          <t>1</t>
        </is>
      </c>
      <c r="J13" s="10"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UV-Vis Spectroscopy</t>
        </is>
      </c>
      <c r="M13" s="10" t="inlineStr">
        <is>
          <t>Product</t>
        </is>
      </c>
      <c r="N13" s="10" t="inlineStr">
        <is>
          <t>ข้อ 61 (PLE_CC1_2559.md)</t>
        </is>
      </c>
      <c r="O13" s="10" t="inlineStr">
        <is>
          <t>ข้อสอบจริง</t>
        </is>
      </c>
      <c r="P13" s="10" t="inlineStr">
        <is>
          <t>ปี 2559</t>
        </is>
      </c>
      <c r="Q13" s="10" t="n"/>
    </row>
    <row r="14" ht="409.6" customHeight="1" s="49">
      <c r="A14" s="12" t="inlineStr">
        <is>
          <t>12</t>
        </is>
      </c>
      <c r="B14" s="10" t="inlineStr">
        <is>
          <t>ข้อใดถูกต้องเกี่ยวกับกระบวนเมแทบอลิซึมของ metformin</t>
        </is>
      </c>
      <c r="C14" s="10" t="n"/>
      <c r="D14" s="10" t="inlineStr">
        <is>
          <t>มีค่าชีวิตยาว เนื่องจากต้องถูกทำลายด้วยเอนไซม์ไซโตรโคมพี 450 หลายไอโซฟอร์ม</t>
        </is>
      </c>
      <c r="E14" s="10" t="inlineStr">
        <is>
          <t>มีค่าชีวิตยาว เนื่องจากต้องถูกทำลายด้วยเอนไซม์ทรานเฟอร์เรสหลายชนิด</t>
        </is>
      </c>
      <c r="F14" s="10" t="inlineStr">
        <is>
          <t>มีค่าชีวิตยาว เนื่องจากไม่สามารถถูกทำลายได้ด้วยกระบวนการเมแทบอลิซึมในร่างกาย</t>
        </is>
      </c>
      <c r="G14" s="10" t="inlineStr">
        <is>
          <t>มีค่าครึ่งยาว เนื่องจากมีใช้เวลาในการดูดซึมนาน</t>
        </is>
      </c>
      <c r="H14" s="10" t="inlineStr">
        <is>
          <t>มีค่าครึ่งยาว เนื่องจากมีการกระจายตัวในร่างกายที่ต่ำ</t>
        </is>
      </c>
      <c r="I14" s="12" t="inlineStr">
        <is>
          <t>1</t>
        </is>
      </c>
      <c r="J14" s="10"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มีค่าชีวิตยาว เนื่องจากต้องถูกทำลายด้วยเอนไซม์ทรานเฟอร์เรสหลายชนิด ไม่ถูกต้องตามหลักการ Analytical Chemistry สำหรับวิธีทดสอบนี้
• ข้อ ค. (มีค่าชีวิตยาว เนื่องจากไม่สามารถถูกทำลายได้ด้วยกระบวนการเมแทบอลิซึมในร่างกาย): มีค่าชีวิตยาว เนื่องจากไม่สามารถถูกทำลายได้ด้วยกระบวนการเมแทบอลิซึมในร่างกาย ไม่ถูกต้องตามหลักการ Analytical Chemistry สำหรับวิธีทดสอบนี้
• ข้อ ง. (มีค่าครึ่งยาว เนื่องจากมีใช้เวลาในการดูดซึมนาน): มีค่าครึ่งยาว เนื่องจากมีใช้เวลาในการดูดซึมนาน ไม่ถูกต้องตามหลักการ Analytical Chemistry สำหรับวิธีทดสอบนี้
• ข้อ จ. (มีค่าครึ่งยาว เนื่องจากมีการกระจายตัวในร่างกายที่ต่ำ): มีค่าครึ่งยาว เนื่องจากมีการกระจายตัวในร่างกายที่ต่ำ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UV-Vis Spectroscopy</t>
        </is>
      </c>
      <c r="M14" s="10" t="inlineStr">
        <is>
          <t>Product</t>
        </is>
      </c>
      <c r="N14" s="10" t="inlineStr">
        <is>
          <t>ข้อ 93 (Pharmtutor_2024_Set1.md)</t>
        </is>
      </c>
      <c r="O14" s="10" t="inlineStr">
        <is>
          <t>Mock</t>
        </is>
      </c>
      <c r="P14" s="10" t="inlineStr">
        <is>
          <t>Mock Pharmtutor 2024</t>
        </is>
      </c>
      <c r="Q14" s="10" t="n"/>
    </row>
    <row r="15" ht="409.6" customHeight="1" s="49">
      <c r="A15" s="12" t="inlineStr">
        <is>
          <t>13</t>
        </is>
      </c>
      <c r="B15" s="10" t="inlineStr">
        <is>
          <t>ยาสูตรใด มีความเป็นพิษต่อตับน้อยที_x001E_สุด (1) 2RZE / 10RE (2) 2SHE / 10HE (3) 2HRE / 7HR (4) 2SHRE / 6HR (5) 18-24SEO MCQ 12 | 1/2557 | Page 17</t>
        </is>
      </c>
      <c r="C15" s="10" t="n"/>
      <c r="D15" s="10" t="inlineStr">
        <is>
          <t>Differential Scanning Calorimetry (DSC)</t>
        </is>
      </c>
      <c r="E15" s="10" t="inlineStr">
        <is>
          <t>UV-Vis Spectrophotometry at lambda max</t>
        </is>
      </c>
      <c r="F15" s="10" t="inlineStr">
        <is>
          <t>FTIR Spectroscopy (Attenuated Total Reflection)</t>
        </is>
      </c>
      <c r="G15" s="10" t="inlineStr">
        <is>
          <t>Proton NMR (1H-NMR) Spectroscopy</t>
        </is>
      </c>
      <c r="H15" s="10" t="inlineStr">
        <is>
          <t>Carbon-13 NMR (13C-NMR) Spectroscopy</t>
        </is>
      </c>
      <c r="I15" s="12" t="inlineStr">
        <is>
          <t>1</t>
        </is>
      </c>
      <c r="J15" s="10"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UV-Vis Spectrophotometry at lambda max ไม่ถูกต้องตามหลักการ Analytical Chemistry สำหรับวิธีทดสอบนี้
• ข้อ ค. (FTIR Spectroscopy (Attenuated Total Reflection)): IR (Infrared) spectroscopy วิเคราะห์ functional groups จาก stretching/bending vibrations C=O ~1700 cm-1, O-H ~3200-3550 cm-1
• ข้อ ง. (Proton NMR (1H-NMR) Spectroscopy): NMR spectroscopy วิเคราะห์โครงสร้างโมเลกุลจาก chemical shift (δ ppm), multiplicity, coupling constant (J Hz)
• ข้อ จ. (Carbon-13 NMR (13C-NMR) Spectroscopy): NMR spectroscopy วิเคราะห์โครงสร้างโมเลกุลจาก chemical shift (δ ppm), multiplicity, coupling constant (J Hz)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UV-Vis Spectroscopy</t>
        </is>
      </c>
      <c r="M15" s="10" t="inlineStr">
        <is>
          <t>Product</t>
        </is>
      </c>
      <c r="N15" s="10" t="inlineStr">
        <is>
          <t>ข้อ 20 (PLE_CC1_2557.md)</t>
        </is>
      </c>
      <c r="O15" s="10" t="inlineStr">
        <is>
          <t>ข้อสอบจริง</t>
        </is>
      </c>
      <c r="P15" s="10" t="inlineStr">
        <is>
          <t>ปี 2557</t>
        </is>
      </c>
      <c r="Q15" s="10" t="n"/>
    </row>
    <row r="16" ht="409.6" customHeight="1" s="49">
      <c r="A16" s="12" t="inlineStr">
        <is>
          <t>14</t>
        </is>
      </c>
      <c r="B16" s="10" t="inlineStr">
        <is>
          <t>โครงสร้างของยาในข้อใด สามารถใช้ specific rotation เพื_x001E_อระบุเอกลักษณ์ของยาได้ (1) (2) (3) (4) (5)</t>
        </is>
      </c>
      <c r="C16" s="10" t="n"/>
      <c r="D16" s="10" t="inlineStr">
        <is>
          <t>Proton NMR (1H-NMR) Spectroscopy</t>
        </is>
      </c>
      <c r="E16" s="10" t="inlineStr">
        <is>
          <t>Carbon-13 NMR (13C-NMR) Spectroscopy</t>
        </is>
      </c>
      <c r="F16" s="10" t="inlineStr">
        <is>
          <t>Electrospray Ionization Mass Spectrometry (ESI-MS)</t>
        </is>
      </c>
      <c r="G16" s="10" t="inlineStr">
        <is>
          <t>Optical Rotation via Polarimeter</t>
        </is>
      </c>
      <c r="H16" s="10" t="inlineStr">
        <is>
          <t>Refractive Index via Abbe Refractometer</t>
        </is>
      </c>
      <c r="I16" s="12" t="inlineStr">
        <is>
          <t>1</t>
        </is>
      </c>
      <c r="J16" s="10" t="inlineStr">
        <is>
          <t>✅ คำตอบที่ถูกต้อง: ข้อ ก. Proton NMR (1H-NMR) Spectroscopy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ไม่ตรงกับข้อบ่งใช้หรือกลไกการออกฤทธิ์ที่ถูกต้องตาม Thai Pharmacopoeia 2021 / USP &lt;197&gt;
• ข้อ ง. (Optical Rotation via Polarimeter): Optical Rotation via Polarimeter ไม่ตรงกับข้อบ่งใช้หรือกลไกการออกฤทธิ์ที่ถูกต้องตาม Thai Pharmacopoeia 2021 / USP &lt;197&gt;
• ข้อ จ. (Refractive Index via Abbe Refractometer): Refractive Index via Abbe Refractometer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Polarimetry</t>
        </is>
      </c>
      <c r="M16" s="10" t="inlineStr">
        <is>
          <t>Product</t>
        </is>
      </c>
      <c r="N16" s="10" t="inlineStr">
        <is>
          <t>ข้อ 21 (PLE_CC1_2557.md)</t>
        </is>
      </c>
      <c r="O16" s="10" t="inlineStr">
        <is>
          <t>ข้อสอบจริง</t>
        </is>
      </c>
      <c r="P16" s="10" t="inlineStr">
        <is>
          <t>ปี 2557</t>
        </is>
      </c>
      <c r="Q16" s="10" t="n"/>
    </row>
    <row r="17" ht="409.6" customHeight="1" s="49">
      <c r="A17" s="12" t="inlineStr">
        <is>
          <t>15</t>
        </is>
      </c>
      <c r="B17" s="10"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 t="n"/>
      <c r="D17" s="10" t="inlineStr">
        <is>
          <t>Optical Rotation via Polarimeter</t>
        </is>
      </c>
      <c r="E17" s="10" t="inlineStr">
        <is>
          <t>Refractive Index via Abbe Refractometer</t>
        </is>
      </c>
      <c r="F17" s="10" t="inlineStr">
        <is>
          <t>Fluorescence Spectrophotometry</t>
        </is>
      </c>
      <c r="G17" s="10" t="inlineStr">
        <is>
          <t>Atomic Absorption Spectrophotometry (AAS)</t>
        </is>
      </c>
      <c r="H17" s="10" t="inlineStr">
        <is>
          <t>Differential Scanning Calorimetry (DSC)</t>
        </is>
      </c>
      <c r="I17" s="12" t="inlineStr">
        <is>
          <t>1</t>
        </is>
      </c>
      <c r="J17" s="10" t="inlineStr">
        <is>
          <t>✅ คำตอบที่ถูกต้อง: ข้อ ก. Optical Rotation via Polarimeter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Optical Rotation via Polarimeter 💡 คำอธิบายและเหตุผลทางเภสัชกรรม:
💡 คำอธิบายและเหตุผลทางเภสัชกรรม:
การเลือก Optical Rotation via Polarimeter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(Refractive Index via Abbe Refractometer): Refractive Index via Abbe Refractometer ไม่ตรงกับข้อบ่งใช้หรือกลไกการออกฤทธิ์ที่ถูกต้องตาม Thai Pharmacopoeia 2021 / USP &lt;197&gt;
• ข้อ ค. (Fluorescence Spectrophotometry): Fluorescence Spectrophotometry ไม่ตรงกับข้อบ่งใช้หรือกลไกการออกฤทธิ์ที่ถูกต้องตาม Thai Pharmacopoeia 2021 / USP &lt;197&gt;
• ข้อ ง. (Atomic Absorption Spectrophotometry (AAS)): Atomic Absorption Spectrophotometry (AAS) ไม่ตรงกับข้อบ่งใช้หรือกลไกการออกฤทธิ์ที่ถูกต้องตาม Thai Pharmacopoeia 2021 / USP &lt;197&gt;
• ข้อ จ. (Differential Scanning Calorimetry (DSC)): Differential Scanning Calorimetry (DSC)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Polarimetry</t>
        </is>
      </c>
      <c r="M17" s="10" t="inlineStr">
        <is>
          <t>Product</t>
        </is>
      </c>
      <c r="N17" s="10" t="inlineStr">
        <is>
          <t>ข้อ 65 (PLE_CC1_2557.md)</t>
        </is>
      </c>
      <c r="O17" s="10" t="inlineStr">
        <is>
          <t>ข้อสอบจริง</t>
        </is>
      </c>
      <c r="P17" s="10" t="inlineStr">
        <is>
          <t>ปี 2557</t>
        </is>
      </c>
      <c r="Q17" s="10" t="n"/>
    </row>
    <row r="18" ht="409.6" customHeight="1" s="49">
      <c r="A18" s="12" t="inlineStr">
        <is>
          <t>16</t>
        </is>
      </c>
      <c r="B18" s="10" t="inlineStr">
        <is>
          <t>ยาที่มี Polymoph ต่างกันจะมีคุณสมบัติที่แตกต่างกัน ยกเว้น ข้อใด</t>
        </is>
      </c>
      <c r="C18" s="10" t="n"/>
      <c r="D18" s="10" t="inlineStr">
        <is>
          <t>ความคงตัว</t>
        </is>
      </c>
      <c r="E18" s="10" t="inlineStr">
        <is>
          <t>ค่าการละลาย</t>
        </is>
      </c>
      <c r="F18" s="10" t="inlineStr">
        <is>
          <t>ประสิทธิภาพในการรักษา</t>
        </is>
      </c>
      <c r="G18" s="10" t="inlineStr">
        <is>
          <t>ค่าคงที่การดูดกลืนแสง</t>
        </is>
      </c>
      <c r="H18" s="10" t="inlineStr">
        <is>
          <t>การหักเหของแสง คณะเภสัชศาสตร์</t>
        </is>
      </c>
      <c r="I18" s="12" t="inlineStr">
        <is>
          <t>1</t>
        </is>
      </c>
      <c r="J18" s="10"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ค่าการละลาย ไม่ถูกต้องตามหลักการ Analytical Chemistry สำหรับวิธีทดสอบนี้
• ข้อ ค. (ประสิทธิภาพในการรักษา): ประสิทธิภาพในการรักษา ไม่ถูกต้องตามหลักการ Analytical Chemistry สำหรับวิธีทดสอบนี้
• ข้อ ง. (ค่าคงที่การดูดกลืนแสง): ค่าคงที่การดูดกลืนแสง ไม่ถูกต้องตามหลักการ Analytical Chemistry สำหรับวิธีทดสอบนี้
• ข้อ จ. (การหักเหของแสง คณะเภสัชศาสตร์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UV-Vis Spectroscopy</t>
        </is>
      </c>
      <c r="M18" s="10" t="inlineStr">
        <is>
          <t>Product</t>
        </is>
      </c>
      <c r="N18" s="10" t="inlineStr">
        <is>
          <t>ข้อ 89 (PLE_CC1_2555 Day 1.md)</t>
        </is>
      </c>
      <c r="O18" s="10" t="inlineStr">
        <is>
          <t>ข้อสอบจริง</t>
        </is>
      </c>
      <c r="P18" s="10" t="inlineStr">
        <is>
          <t>ปี 2555</t>
        </is>
      </c>
      <c r="Q18" s="10" t="n"/>
    </row>
    <row r="19" ht="409.6" customHeight="1" s="49">
      <c r="A19" s="12" t="inlineStr">
        <is>
          <t>17</t>
        </is>
      </c>
      <c r="B19" s="10" t="inlineStr">
        <is>
          <t>Specific rotation by polarimeter</t>
        </is>
      </c>
      <c r="C19" s="10" t="n"/>
      <c r="D19" s="10" t="inlineStr">
        <is>
          <t>FTIR Spectroscopy (Attenuated Total Reflection)</t>
        </is>
      </c>
      <c r="E19" s="10" t="inlineStr">
        <is>
          <t>Proton NMR (1H-NMR) Spectroscopy</t>
        </is>
      </c>
      <c r="F19" s="10" t="inlineStr">
        <is>
          <t>Carbon-13 NMR (13C-NMR) Spectroscopy</t>
        </is>
      </c>
      <c r="G19" s="10" t="inlineStr">
        <is>
          <t>Electrospray Ionization Mass Spectrometry (ESI-MS)</t>
        </is>
      </c>
      <c r="H19" s="10" t="inlineStr">
        <is>
          <t>Optical Rotation via Polarimeter</t>
        </is>
      </c>
      <c r="I19" s="12" t="inlineStr">
        <is>
          <t>1</t>
        </is>
      </c>
      <c r="J19" s="10" t="inlineStr">
        <is>
          <t>✅ คำตอบที่ถูกต้อง: ข้อ ก. FTIR Spectroscopy (Attenuated Total Reflection)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(Proton NMR (1H-NMR) Spectroscopy): NMR spectroscopy วิเคราะห์โครงสร้างโมเลกุลจาก chemical shift (δ ppm), multiplicity, coupling constant (J Hz)
• ข้อ ค. (Carbon-13 NMR (13C-NMR) Spectroscopy): NMR spectroscopy วิเคราะห์โครงสร้างโมเลกุลจาก chemical shift (δ ppm), multiplicity, coupling constant (J Hz)
• ข้อ ง. (Electrospray Ionization Mass Spectrometry (ESI-MS)): Electrospray Ionization Mass Spectrometry (ESI-MS) ไม่ตรงกับข้อบ่งใช้หรือกลไกการออกฤทธิ์ที่ถูกต้องตาม Thai Pharmacopoeia 2021 / USP &lt;197&gt;
• ข้อ จ. (Optical Rotation via Polarimeter): Optical Rotation via Polarimeter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Polarimetry</t>
        </is>
      </c>
      <c r="M19" s="10" t="inlineStr">
        <is>
          <t>Product</t>
        </is>
      </c>
      <c r="N19" s="10" t="inlineStr">
        <is>
          <t>ข้อ 3 (PLE_CC1_2555 Day 2.md)</t>
        </is>
      </c>
      <c r="O19" s="10" t="inlineStr">
        <is>
          <t>ข้อสอบจริง</t>
        </is>
      </c>
      <c r="P19" s="10" t="inlineStr">
        <is>
          <t>ปี 2555</t>
        </is>
      </c>
      <c r="Q19" s="10" t="n"/>
    </row>
    <row r="20" ht="409.6" customHeight="1" s="49">
      <c r="A20" s="12" t="inlineStr">
        <is>
          <t>18</t>
        </is>
      </c>
      <c r="B20" s="10" t="inlineStr">
        <is>
          <t>Spectrofluorometry</t>
        </is>
      </c>
      <c r="C20" s="10" t="n"/>
      <c r="D20" s="10" t="inlineStr">
        <is>
          <t>Electrospray Ionization Mass Spectrometry (ESI-MS)</t>
        </is>
      </c>
      <c r="E20" s="10" t="inlineStr">
        <is>
          <t>Optical Rotation via Polarimeter</t>
        </is>
      </c>
      <c r="F20" s="10" t="inlineStr">
        <is>
          <t>Refractive Index via Abbe Refractometer</t>
        </is>
      </c>
      <c r="G20" s="10" t="inlineStr">
        <is>
          <t>Fluorescence Spectrophotometry</t>
        </is>
      </c>
      <c r="H20" s="10" t="inlineStr">
        <is>
          <t>Atomic Absorption Spectrophotometry (AAS)</t>
        </is>
      </c>
      <c r="I20" s="12" t="inlineStr">
        <is>
          <t>1</t>
        </is>
      </c>
      <c r="J20" s="10"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UV-Vis Spectroscopy</t>
        </is>
      </c>
      <c r="M20" s="10" t="inlineStr">
        <is>
          <t>Product</t>
        </is>
      </c>
      <c r="N20" s="10" t="inlineStr">
        <is>
          <t>ข้อ 3 (PLE_CC1_2555 Day 2.md)</t>
        </is>
      </c>
      <c r="O20" s="10" t="inlineStr">
        <is>
          <t>ข้อสอบจริง</t>
        </is>
      </c>
      <c r="P20" s="10" t="inlineStr">
        <is>
          <t>ปี 2555</t>
        </is>
      </c>
      <c r="Q20" s="10" t="n"/>
    </row>
    <row r="21" ht="409.6" customHeight="1" s="49">
      <c r="A21" s="12" t="inlineStr">
        <is>
          <t>19</t>
        </is>
      </c>
      <c r="B21" s="10"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 t="n"/>
      <c r="D21" s="10" t="inlineStr">
        <is>
          <t>X-ray Powder Diffraction (XRPD) และ Differential Scanning Calorimetry (DSC)</t>
        </is>
      </c>
      <c r="E21" s="10" t="inlineStr">
        <is>
          <t>Mass Spectrometry (MS)</t>
        </is>
      </c>
      <c r="F21" s="10" t="inlineStr">
        <is>
          <t>Refractometry</t>
        </is>
      </c>
      <c r="G21" s="10" t="inlineStr">
        <is>
          <t>Polarimetry</t>
        </is>
      </c>
      <c r="H21" s="10" t="inlineStr">
        <is>
          <t>Gas Chromatography (GC)</t>
        </is>
      </c>
      <c r="I21" s="12" t="inlineStr">
        <is>
          <t>1</t>
        </is>
      </c>
      <c r="J21" s="10"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 t="inlineStr">
        <is>
          <t>Solid-State Characterization &amp; Thermal Analysis</t>
        </is>
      </c>
      <c r="L21" s="10" t="inlineStr">
        <is>
          <t>ข้อสอบจริง PLE CC 1 (Polymorphism &amp; Solid-state)</t>
        </is>
      </c>
      <c r="M21" s="10" t="inlineStr">
        <is>
          <t>Product</t>
        </is>
      </c>
      <c r="N21" s="10" t="inlineStr">
        <is>
          <t>ข้อ 19 (PLE_CC1_2554 SET2.md)</t>
        </is>
      </c>
      <c r="O21" s="10" t="inlineStr">
        <is>
          <t>ข้อสอบจริง</t>
        </is>
      </c>
      <c r="P21" s="10" t="inlineStr">
        <is>
          <t>ปี 2554</t>
        </is>
      </c>
      <c r="Q21" s="10" t="n"/>
    </row>
    <row r="22" ht="409.6" customHeight="1" s="49">
      <c r="A22" s="12" t="inlineStr">
        <is>
          <t>20</t>
        </is>
      </c>
      <c r="B22" s="10"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 t="n"/>
      <c r="D22" s="10" t="inlineStr">
        <is>
          <t>a = A / (b × c)</t>
        </is>
      </c>
      <c r="E22" s="10" t="inlineStr">
        <is>
          <t>a = (A × b) / c</t>
        </is>
      </c>
      <c r="F22" s="10" t="inlineStr">
        <is>
          <t>a = (A × c) / b</t>
        </is>
      </c>
      <c r="G22" s="10" t="inlineStr">
        <is>
          <t>a = (b × c) / A</t>
        </is>
      </c>
      <c r="H22" s="10" t="inlineStr">
        <is>
          <t>a = A - (b × c)</t>
        </is>
      </c>
      <c r="I22" s="12" t="inlineStr">
        <is>
          <t>1</t>
        </is>
      </c>
      <c r="J22" s="10"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 t="inlineStr">
        <is>
          <t>UV-Vis Spectroscopy</t>
        </is>
      </c>
      <c r="L22" s="10" t="inlineStr">
        <is>
          <t>ข้อสอบจริง PLE CC 1 (Beer-Lambert Law)</t>
        </is>
      </c>
      <c r="M22" s="10" t="inlineStr">
        <is>
          <t>Product</t>
        </is>
      </c>
      <c r="N22" s="10" t="inlineStr">
        <is>
          <t>ข้อ 5 (PLE_CC1_2533.md)</t>
        </is>
      </c>
      <c r="O22" s="10" t="inlineStr">
        <is>
          <t>ข้อสอบจริง</t>
        </is>
      </c>
      <c r="P22" s="10" t="inlineStr">
        <is>
          <t>ปี 2533</t>
        </is>
      </c>
      <c r="Q22" s="10" t="n"/>
    </row>
    <row r="23" ht="409.6" customHeight="1" s="49">
      <c r="A23" s="12" t="inlineStr">
        <is>
          <t>21</t>
        </is>
      </c>
      <c r="B23" s="10" t="inlineStr">
        <is>
          <t>UV spectrophotometry</t>
        </is>
      </c>
      <c r="C23" s="10" t="n"/>
      <c r="D23" s="10" t="inlineStr">
        <is>
          <t>Carbon-13 NMR (13C-NMR) Spectroscopy</t>
        </is>
      </c>
      <c r="E23" s="10" t="inlineStr">
        <is>
          <t>Electrospray Ionization Mass Spectrometry (ESI-MS)</t>
        </is>
      </c>
      <c r="F23" s="10" t="inlineStr">
        <is>
          <t>Optical Rotation via Polarimeter</t>
        </is>
      </c>
      <c r="G23" s="10" t="inlineStr">
        <is>
          <t>Refractive Index via Abbe Refractometer</t>
        </is>
      </c>
      <c r="H23" s="10" t="inlineStr">
        <is>
          <t>Fluorescence Spectrophotometry</t>
        </is>
      </c>
      <c r="I23" s="12" t="inlineStr">
        <is>
          <t>1</t>
        </is>
      </c>
      <c r="J23" s="10"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UV-Vis Spectroscopy</t>
        </is>
      </c>
      <c r="M23" s="10" t="inlineStr">
        <is>
          <t>Product</t>
        </is>
      </c>
      <c r="N23" s="10" t="inlineStr">
        <is>
          <t>ข้อ 4 (PLE_CC1_2533.md)</t>
        </is>
      </c>
      <c r="O23" s="10" t="inlineStr">
        <is>
          <t>ข้อสอบจริง</t>
        </is>
      </c>
      <c r="P23" s="10" t="inlineStr">
        <is>
          <t>ปี 2533</t>
        </is>
      </c>
      <c r="Q23" s="10" t="n"/>
    </row>
    <row r="24" ht="409.6" customHeight="1" s="49">
      <c r="A24" s="12" t="inlineStr">
        <is>
          <t>22</t>
        </is>
      </c>
      <c r="B24" s="10" t="inlineStr">
        <is>
          <t>โครงสร้างของยาใด สามารถใช้ specific rotation เพื่อระบุเอกลักษณ์ (identification) ได้</t>
        </is>
      </c>
      <c r="C24" s="10" t="n"/>
      <c r="D24" s="10" t="inlineStr">
        <is>
          <t>Pyrazinamide</t>
        </is>
      </c>
      <c r="E24" s="10" t="inlineStr">
        <is>
          <t>Para-aminosalicylic acid</t>
        </is>
      </c>
      <c r="F24" s="10" t="inlineStr">
        <is>
          <t>Ethionamide</t>
        </is>
      </c>
      <c r="G24" s="10" t="inlineStr">
        <is>
          <t>Streptomycin 69 โรคติดเชื้อ</t>
        </is>
      </c>
      <c r="H24" s="10" t="inlineStr">
        <is>
          <t>Ethambutol</t>
        </is>
      </c>
      <c r="I24" s="12" t="inlineStr">
        <is>
          <t>1</t>
        </is>
      </c>
      <c r="J24" s="10" t="inlineStr">
        <is>
          <t>✅ คำตอบที่ถูกต้อง: ข้อ ก. Pyrazinamide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Pyrazinamide 💡 คำอธิบายและเหตุผลทางเภสัชกรรม:
💡 คำอธิบายและเหตุผลทางเภสัชกรรม:
ห้องน้ า ปฏิเสธอาการคันที่อวัยวะเพศ หรือตกขาว ผู้ป่วยไม่เคยมีอาการเช่นนี้มาก่อน ปฏิเสธโรคประจำตัวและ
 เป็น Anti-TB agent ที่มี sterilizing effect สูงใน macrophage เสี่ยงต่อ hyperuricemia (ปวดข้อเก๊าท์) และ severe hepatotoxicity สูงสุดในกลุ่มยาวัณโรค
USP/NF, British Pharmacopoeia (BP) และ Remington: The Science and Practice of Pharmacy (หัวข้อ Polarimetry)
🔍 ข้ออื่นผิดเพราะอะไร:
• ข้อ ข. (Para-aminosalicylic acid): Para-aminosalicylic acid ไม่ตรงกับข้อบ่งใช้หรือกลไกการออกฤทธิ์ที่ถูกต้องตาม Thai Pharmacopoeia 2021 / USP &lt;197&gt;
• ข้อ ค. (Ethionamide): Ethionamide ไม่ตรงกับข้อบ่งใช้หรือกลไกการออกฤทธิ์ที่ถูกต้องตาม Thai Pharmacopoeia 2021 / USP &lt;197&gt;
• ข้อ ง. (Streptomycin 69 โรคติดเชื้อ ฝ่ายวิชาการ สโมสรนิสิตเภสัชศาสตร์ จุฬาลงกรณ์
• ข้อ จ. (Ethambutol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 เป็น Anti-TB agent ยับยั้ง arabinosyl transferase มี ADR เด่นคือ optic neuritis (มองเห็นสีเขียว-แดงผิดปกติ ตาพร่า) ขับออกทางไตจึงต้องปรับ dose ใน CKD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Polarimetry</t>
        </is>
      </c>
      <c r="M24" s="10" t="inlineStr">
        <is>
          <t>Product</t>
        </is>
      </c>
      <c r="N24" s="10" t="inlineStr">
        <is>
          <t>ข้อ 16 (PLE_CC1_Practice_Exam.md)</t>
        </is>
      </c>
      <c r="O24" s="10" t="inlineStr">
        <is>
          <t>Mock</t>
        </is>
      </c>
      <c r="P24" s="10" t="inlineStr">
        <is>
          <t>Mock สภาเภสัชฯ Practice</t>
        </is>
      </c>
      <c r="Q24" s="10" t="n"/>
    </row>
    <row r="25" ht="409.6" customHeight="1" s="49">
      <c r="A25" s="12" t="inlineStr">
        <is>
          <t>23</t>
        </is>
      </c>
      <c r="B25" s="10" t="inlineStr">
        <is>
          <t>ข้อใดไม่ใช่กลไกการดื้อยาของ Oxytetracyclin</t>
        </is>
      </c>
      <c r="C25" s="10" t="n"/>
      <c r="D25" s="10" t="inlineStr">
        <is>
          <t>สร้างเอนไซม์มาทำลายยา</t>
        </is>
      </c>
      <c r="E25" s="10" t="inlineStr">
        <is>
          <t>ยับยั้งเอนไซม์ peptidyl transferase</t>
        </is>
      </c>
      <c r="F25" s="10" t="inlineStr">
        <is>
          <t>ขับยาออกนอกเซลล์โดยกระบวนการ active transport</t>
        </is>
      </c>
      <c r="G25" s="10" t="inlineStr">
        <is>
          <t>เปลี่ยนโครงสร้างของไรโบโซม ทำให้ยาจับไม่ได้</t>
        </is>
      </c>
      <c r="H25" s="10" t="inlineStr">
        <is>
          <t>ลดการผ่านเข้าเซลล์ของยา</t>
        </is>
      </c>
      <c r="I25" s="12" t="inlineStr">
        <is>
          <t>1</t>
        </is>
      </c>
      <c r="J25" s="10"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UV-Vis Spectroscopy</t>
        </is>
      </c>
      <c r="M25" s="10" t="inlineStr">
        <is>
          <t>Product</t>
        </is>
      </c>
      <c r="N25" s="10" t="inlineStr">
        <is>
          <t>ข้อ 13 (PLE_CC1_Practice_Exam.md)</t>
        </is>
      </c>
      <c r="O25" s="10" t="inlineStr">
        <is>
          <t>Mock</t>
        </is>
      </c>
      <c r="P25" s="10" t="inlineStr">
        <is>
          <t>Mock สภาเภสัชฯ Practice</t>
        </is>
      </c>
      <c r="Q25" s="10" t="n"/>
    </row>
    <row r="26" ht="409.6" customHeight="1" s="49">
      <c r="A26" s="12" t="inlineStr">
        <is>
          <t>24</t>
        </is>
      </c>
      <c r="B26" s="10" t="inlineStr">
        <is>
          <t>Atomic spectroscopy</t>
        </is>
      </c>
      <c r="C26" s="10" t="n"/>
      <c r="D26" s="10" t="inlineStr">
        <is>
          <t>Proton NMR (1H-NMR) Spectroscopy</t>
        </is>
      </c>
      <c r="E26" s="10" t="inlineStr">
        <is>
          <t>Carbon-13 NMR (13C-NMR) Spectroscopy</t>
        </is>
      </c>
      <c r="F26" s="10" t="inlineStr">
        <is>
          <t>Electrospray Ionization Mass Spectrometry (ESI-MS)</t>
        </is>
      </c>
      <c r="G26" s="10" t="inlineStr">
        <is>
          <t>Optical Rotation via Polarimeter</t>
        </is>
      </c>
      <c r="H26" s="10" t="inlineStr">
        <is>
          <t>Refractive Index via Abbe Refractometer</t>
        </is>
      </c>
      <c r="I26" s="12" t="inlineStr">
        <is>
          <t>1</t>
        </is>
      </c>
      <c r="J26" s="10"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UV-Vis Spectroscopy</t>
        </is>
      </c>
      <c r="M26" s="10" t="inlineStr">
        <is>
          <t>Product</t>
        </is>
      </c>
      <c r="N26" s="10" t="inlineStr">
        <is>
          <t>ข้อ 3 (PLE_CC1_Key_Rx20_UBU.md)</t>
        </is>
      </c>
      <c r="O26" s="10" t="inlineStr">
        <is>
          <t>Mock</t>
        </is>
      </c>
      <c r="P26" s="10" t="inlineStr">
        <is>
          <t>Mock Rx20 UBU</t>
        </is>
      </c>
      <c r="Q26" s="10" t="n"/>
    </row>
    <row r="27" ht="409.6" customHeight="1" s="49">
      <c r="A27" s="35" t="n">
        <v>25</v>
      </c>
      <c r="B27" s="34" t="inlineStr">
        <is>
          <t>(ปี 2566, Day 2 ข้อ 87\) (เรื่อง: การ Validate In-house method ด้วย UV-Vis) ทดสอบ In-house method ของการหา assay ด้วยวิธี UV-Vis ไม่ต้อง validate หัวข้อใด</t>
        </is>
      </c>
      <c r="C27" s="35" t="n"/>
      <c r="D27" s="34" t="inlineStr">
        <is>
          <t>Specificity</t>
        </is>
      </c>
      <c r="E27" s="34" t="inlineStr">
        <is>
          <t>Accuracy</t>
        </is>
      </c>
      <c r="F27" s="34" t="inlineStr">
        <is>
          <t>Linearity</t>
        </is>
      </c>
      <c r="G27" s="34" t="inlineStr">
        <is>
          <t>Precision</t>
        </is>
      </c>
      <c r="H27" s="34" t="inlineStr">
        <is>
          <t>Limit of detection</t>
        </is>
      </c>
      <c r="I27" s="35" t="n">
        <v>1</v>
      </c>
      <c r="J27" s="34" t="inlineStr">
        <is>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7" s="35" t="n"/>
      <c r="L27" s="34" t="inlineStr">
        <is>
          <t>Spectroscopy &amp; Optical Analysis</t>
        </is>
      </c>
      <c r="M27" s="35" t="inlineStr">
        <is>
          <t>Product</t>
        </is>
      </c>
      <c r="N27" s="34" t="inlineStr">
        <is>
          <t>ข้อสอบจริง Product ปี 2566 ข้อ 33</t>
        </is>
      </c>
      <c r="O27" s="35" t="inlineStr">
        <is>
          <t>ข้อสอบจริง</t>
        </is>
      </c>
      <c r="P27" s="35" t="inlineStr">
        <is>
          <t>ปี 2566</t>
        </is>
      </c>
    </row>
    <row r="28" ht="409.6" customHeight="1" s="49">
      <c r="A28" s="35" t="n">
        <v>26</v>
      </c>
      <c r="B28" s="34" t="inlineStr">
        <is>
          <t>(ปี 2566, Day 2 ข้อ 90\) (เรื่อง: เครื่องมือทดสอบ Elemental Impurity) จะทดสอบ Elemental impurity ใช้เครื่องมือไหน</t>
        </is>
      </c>
      <c r="C28" s="35" t="n"/>
      <c r="D28" s="34" t="inlineStr">
        <is>
          <t>Inductively-coupled plasma spectroscopy</t>
        </is>
      </c>
      <c r="E28" s="34" t="inlineStr">
        <is>
          <t>FT-IR spectroscopy</t>
        </is>
      </c>
      <c r="F28" s="34" t="inlineStr">
        <is>
          <t>UV-Vis spectroscopy</t>
        </is>
      </c>
      <c r="G28" s="34" t="inlineStr"/>
      <c r="H28" s="34" t="n"/>
      <c r="I28" s="35" t="n">
        <v>1</v>
      </c>
      <c r="J28" s="34" t="inlineStr">
        <is>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8" s="35" t="n"/>
      <c r="L28" s="34" t="inlineStr">
        <is>
          <t>Spectroscopy &amp; Optical Analysis</t>
        </is>
      </c>
      <c r="M28" s="35" t="inlineStr">
        <is>
          <t>Product</t>
        </is>
      </c>
      <c r="N28" s="34" t="inlineStr">
        <is>
          <t>ข้อสอบจริง Product ปี 2566 ข้อ 36</t>
        </is>
      </c>
      <c r="O28" s="35" t="inlineStr">
        <is>
          <t>ข้อสอบจริง</t>
        </is>
      </c>
      <c r="P28" s="35" t="inlineStr">
        <is>
          <t>ปี 2566</t>
        </is>
      </c>
    </row>
    <row r="29" ht="409.6" customHeight="1" s="49">
      <c r="A29" s="35" t="n">
        <v>27</v>
      </c>
      <c r="B29" s="34" t="inlineStr">
        <is>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is>
      </c>
      <c r="C29" s="35" t="n"/>
      <c r="D29" s="34" t="inlineStr">
        <is>
          <t>Air sampling test</t>
        </is>
      </c>
      <c r="E29" s="34" t="inlineStr">
        <is>
          <t>Glove print test</t>
        </is>
      </c>
      <c r="F29" s="34" t="inlineStr">
        <is>
          <t>Contact plate</t>
        </is>
      </c>
      <c r="G29" s="34" t="inlineStr">
        <is>
          <t>Settle plates</t>
        </is>
      </c>
      <c r="H29" s="34" t="inlineStr">
        <is>
          <t>Cleaning validation</t>
        </is>
      </c>
      <c r="I29" s="35" t="n">
        <v>3</v>
      </c>
      <c r="J29" s="34" t="inlineStr">
        <is>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9" s="35" t="n"/>
      <c r="L29" s="34" t="inlineStr">
        <is>
          <t>Spectroscopy &amp; Optical Analysis</t>
        </is>
      </c>
      <c r="M29" s="35" t="inlineStr">
        <is>
          <t>Product</t>
        </is>
      </c>
      <c r="N29" s="34" t="inlineStr">
        <is>
          <t>ข้อสอบจริง Product ปี 2566 ข้อ 42</t>
        </is>
      </c>
      <c r="O29" s="35" t="inlineStr">
        <is>
          <t>ข้อสอบจริง</t>
        </is>
      </c>
      <c r="P29" s="35" t="inlineStr">
        <is>
          <t>ปี 2566</t>
        </is>
      </c>
    </row>
    <row r="30" ht="409.6" customHeight="1" s="49">
      <c r="A30" s="35" t="n">
        <v>28</v>
      </c>
      <c r="B30" s="34" t="inlineStr">
        <is>
          <t>ชื่อยา imdur (ยี่ห้อ) ให้ส่วนประกอบยามา จำได้แค่มี magnesium stearate ข้อใดถูกต้อง</t>
        </is>
      </c>
      <c r="C30" s="35" t="n"/>
      <c r="D30" s="34" t="inlineStr">
        <is>
          <t>ระบบ matti ของยาสามารถหักแบ่งได้แต่ห้ามเคี้ยว</t>
        </is>
      </c>
      <c r="E30" s="34" t="inlineStr">
        <is>
          <t>ระบบ reservoir ของยาตัวนี้สามารถหักแบ่งและเคี้ยวได้</t>
        </is>
      </c>
      <c r="F30" s="34" t="inlineStr">
        <is>
          <t>กินพร้อมยาลดกรดได้</t>
        </is>
      </c>
      <c r="G30" s="34" t="inlineStr">
        <is>
          <t>Na stearate ทำหน้าที่คล้าย Mg stearate ในนี้</t>
        </is>
      </c>
      <c r="H30" s="34" t="inlineStr">
        <is>
          <t>[NEED_REVIEW]</t>
        </is>
      </c>
      <c r="I30" s="35" t="n">
        <v>1</v>
      </c>
      <c r="J30" s="34" t="inlineStr">
        <is>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0" s="35" t="n"/>
      <c r="L30" s="34" t="inlineStr">
        <is>
          <t>Spectroscopy &amp; Optical Analysis</t>
        </is>
      </c>
      <c r="M30" s="35" t="inlineStr">
        <is>
          <t>Product</t>
        </is>
      </c>
      <c r="N30" s="34" t="inlineStr">
        <is>
          <t>ข้อสอบจริง Product ปี 2565 ข้อ 9</t>
        </is>
      </c>
      <c r="O30" s="35" t="inlineStr">
        <is>
          <t>ข้อสอบจริง</t>
        </is>
      </c>
      <c r="P30" s="35" t="inlineStr">
        <is>
          <t>ปี 2565</t>
        </is>
      </c>
    </row>
    <row r="31" ht="409.6" customHeight="1" s="49">
      <c r="A31" s="35" t="n">
        <v>29</v>
      </c>
      <c r="B31" s="34" t="inlineStr">
        <is>
          <t>ให้กราฟ Infrared spectroscopy (IR) มา ถามว่าที่ wavelength 1699.34 แสดงถึงโครงสร้างอะไรของยา</t>
        </is>
      </c>
      <c r="C31" s="35" t="n"/>
      <c r="D31" s="34" t="inlineStr">
        <is>
          <t>OH</t>
        </is>
      </c>
      <c r="E31" s="34" t="inlineStr">
        <is>
          <t>C=O</t>
        </is>
      </c>
      <c r="F31" s="34" t="inlineStr">
        <is>
          <t>C-O</t>
        </is>
      </c>
      <c r="G31" s="34" t="inlineStr">
        <is>
          <t>sp3 stretching</t>
        </is>
      </c>
      <c r="H31" s="34" t="inlineStr">
        <is>
          <t>C-C</t>
        </is>
      </c>
      <c r="I31" s="35" t="n">
        <v>1</v>
      </c>
      <c r="J31" s="34" t="inlineStr">
        <is>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1" s="35" t="n"/>
      <c r="L31" s="34" t="inlineStr">
        <is>
          <t>Spectroscopy &amp; Optical Analysis</t>
        </is>
      </c>
      <c r="M31" s="35" t="inlineStr">
        <is>
          <t>Product</t>
        </is>
      </c>
      <c r="N31" s="34" t="inlineStr">
        <is>
          <t>ข้อสอบจริง Product ปี 2565 ข้อ 45</t>
        </is>
      </c>
      <c r="O31" s="35" t="inlineStr">
        <is>
          <t>ข้อสอบจริง</t>
        </is>
      </c>
      <c r="P31" s="35" t="inlineStr">
        <is>
          <t>ปี 2565</t>
        </is>
      </c>
    </row>
    <row r="32" ht="409.6" customHeight="1" s="49">
      <c r="A32" s="35" t="n">
        <v>30</v>
      </c>
      <c r="B32" s="34" t="inlineStr">
        <is>
          <t>ให้ monograph การทดสอบ dissolution มา แต่จำไม่ได้ว่าคือยาอะไร (น่าจะ tablet ทั่วไป) Apparatus: Apparatus 2 Tolerances: NLT 75% (Q) the labeled amount of .... ข้อใดถูกต้อง</t>
        </is>
      </c>
      <c r="C32" s="35" t="inlineStr">
        <is>
          <t>[แนบรูป: ข้อสอบ Product ปี 2565 รหัสรูปภาพ image15]</t>
        </is>
      </c>
      <c r="D32" s="34" t="inlineStr">
        <is>
          <t>เป็น reservoir device</t>
        </is>
      </c>
      <c r="E32" s="34" t="inlineStr">
        <is>
          <t>ปลดปล่อยยาได้นานขึ้น</t>
        </is>
      </c>
      <c r="F32" s="34" t="inlineStr">
        <is>
          <t>ชื่อระบบ monolithic</t>
        </is>
      </c>
      <c r="G32" s="34" t="inlineStr">
        <is>
          <t>ยากระจายใน matrix</t>
        </is>
      </c>
      <c r="H32" s="34" t="inlineStr">
        <is>
          <t>การปลดปล่อยยา ขึ้นกับ swelling และ erosion ของ polymer matrix</t>
        </is>
      </c>
      <c r="I32" s="35" t="n">
        <v>1</v>
      </c>
      <c r="J32" s="34" t="inlineStr">
        <is>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2" s="35" t="n"/>
      <c r="L32" s="34" t="inlineStr">
        <is>
          <t>Spectroscopy &amp; Optical Analysis</t>
        </is>
      </c>
      <c r="M32" s="35" t="inlineStr">
        <is>
          <t>Product</t>
        </is>
      </c>
      <c r="N32" s="34" t="inlineStr">
        <is>
          <t>ข้อสอบจริง Product ปี 2565 ข้อ 91</t>
        </is>
      </c>
      <c r="O32" s="35" t="inlineStr">
        <is>
          <t>ข้อสอบจริง</t>
        </is>
      </c>
      <c r="P32" s="35" t="inlineStr">
        <is>
          <t>ปี 2565</t>
        </is>
      </c>
    </row>
    <row r="33" ht="409.6" customHeight="1" s="49">
      <c r="A33" s="35" t="n">
        <v>31</v>
      </c>
      <c r="B33" s="34" t="inlineStr">
        <is>
          <t>ให้ monograph ยา griseofulvin มา Specific Rotation, \+354° to \+364° Specific rotation หาได้จากเครื่องมือใด</t>
        </is>
      </c>
      <c r="C33" s="35" t="n"/>
      <c r="D33" s="34" t="inlineStr">
        <is>
          <t>Monochromator  เป็นส่วนประกอบของเครื่องสเปกโตรโฟโตมิเตอร์ ใช้เลือกความยาวคลื่น</t>
        </is>
      </c>
      <c r="E33" s="34" t="inlineStr">
        <is>
          <t>Polarimeter</t>
        </is>
      </c>
      <c r="F33" s="34" t="inlineStr">
        <is>
          <t>Photometer  วัดความเข้มของแสง</t>
        </is>
      </c>
      <c r="G33" s="34" t="inlineStr">
        <is>
          <t>Spectrophotometer วัดการดูดกลืนแสง (Absorbance)</t>
        </is>
      </c>
      <c r="H33" s="34" t="inlineStr">
        <is>
          <t>Refractometer วัดดัชนีหักเหของแสง (Refractive index)</t>
        </is>
      </c>
      <c r="I33" s="35" t="n">
        <v>1</v>
      </c>
      <c r="J33" s="34" t="inlineStr">
        <is>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3" s="35" t="n"/>
      <c r="L33" s="34" t="inlineStr">
        <is>
          <t>Spectroscopy &amp; Optical Analysis</t>
        </is>
      </c>
      <c r="M33" s="35" t="inlineStr">
        <is>
          <t>Product</t>
        </is>
      </c>
      <c r="N33" s="34" t="inlineStr">
        <is>
          <t>ข้อสอบจริง Product ปี 2564 ข้อ 28</t>
        </is>
      </c>
      <c r="O33" s="35" t="inlineStr">
        <is>
          <t>ข้อสอบจริง</t>
        </is>
      </c>
      <c r="P33" s="35" t="inlineStr">
        <is>
          <t>ปี 2564</t>
        </is>
      </c>
    </row>
    <row r="34" ht="409.6" customHeight="1" s="49">
      <c r="A34" s="35" t="n">
        <v>32</v>
      </c>
      <c r="B34" s="34" t="inlineStr">
        <is>
          <t>ให้กราฟมาแล้วถามประมาณว่าปัจจัยอะไรที่ส่งผลให้ a, b, c ต่างกัน [แนบรูป: ข้อสอบ Product ปี 2564 รหัสรูปภาพ image78]</t>
        </is>
      </c>
      <c r="C34" s="35" t="inlineStr">
        <is>
          <t>[แนบรูป: ข้อสอบ Product ปี 2564 รหัสรูปภาพ image78]</t>
        </is>
      </c>
      <c r="D34" s="34" t="inlineStr">
        <is>
          <t>อุณหภูมิ</t>
        </is>
      </c>
      <c r="E34" s="34" t="inlineStr">
        <is>
          <t>ความเข้มข้น</t>
        </is>
      </c>
      <c r="F34" s="34" t="inlineStr">
        <is>
          <t>ความหนืด</t>
        </is>
      </c>
      <c r="G34" s="34" t="inlineStr">
        <is>
          <t>ค่าความเป็นกรด ด่าง</t>
        </is>
      </c>
      <c r="H34" s="34" t="inlineStr">
        <is>
          <t>ชนิดตัวทำละลาย</t>
        </is>
      </c>
      <c r="I34" s="35" t="n">
        <v>1</v>
      </c>
      <c r="J34" s="34" t="inlineStr">
        <is>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4" s="35" t="n"/>
      <c r="L34" s="34" t="inlineStr">
        <is>
          <t>Spectroscopy &amp; Optical Analysis</t>
        </is>
      </c>
      <c r="M34" s="35" t="inlineStr">
        <is>
          <t>Product</t>
        </is>
      </c>
      <c r="N34" s="34" t="inlineStr">
        <is>
          <t>ข้อสอบจริง Product ปี 2564 ข้อ 53</t>
        </is>
      </c>
      <c r="O34" s="35" t="inlineStr">
        <is>
          <t>ข้อสอบจริง</t>
        </is>
      </c>
      <c r="P34" s="35" t="inlineStr">
        <is>
          <t>ปี 2564</t>
        </is>
      </c>
    </row>
    <row r="35" ht="409.6" customHeight="1" s="49">
      <c r="A35" s="35" t="n">
        <v>33</v>
      </c>
      <c r="B35" s="34" t="inlineStr">
        <is>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is>
      </c>
      <c r="C35" s="35" t="inlineStr">
        <is>
          <t>[แนบรูป: ข้อสอบ Product ปี 2564 รหัสรูปภาพ image79]</t>
        </is>
      </c>
      <c r="D35" s="34" t="inlineStr">
        <is>
          <t>120%</t>
        </is>
      </c>
      <c r="E35" s="34" t="inlineStr">
        <is>
          <t>110%</t>
        </is>
      </c>
      <c r="F35" s="34" t="inlineStr">
        <is>
          <t>100%</t>
        </is>
      </c>
      <c r="G35" s="34" t="inlineStr">
        <is>
          <t>90%</t>
        </is>
      </c>
      <c r="H35" s="34" t="inlineStr">
        <is>
          <t>80%</t>
        </is>
      </c>
      <c r="I35" s="35" t="n">
        <v>1</v>
      </c>
      <c r="J35" s="34" t="inlineStr">
        <is>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5" s="35" t="n"/>
      <c r="L35" s="34" t="inlineStr">
        <is>
          <t>Spectroscopy &amp; Optical Analysis</t>
        </is>
      </c>
      <c r="M35" s="35" t="inlineStr">
        <is>
          <t>Product</t>
        </is>
      </c>
      <c r="N35" s="34" t="inlineStr">
        <is>
          <t>ข้อสอบจริง Product ปี 2564 ข้อ 63</t>
        </is>
      </c>
      <c r="O35" s="35" t="inlineStr">
        <is>
          <t>ข้อสอบจริง</t>
        </is>
      </c>
      <c r="P35" s="35" t="inlineStr">
        <is>
          <t>ปี 2564</t>
        </is>
      </c>
    </row>
    <row r="36" ht="409.6" customHeight="1" s="49">
      <c r="A36" s="35" t="n">
        <v>34</v>
      </c>
      <c r="B36" s="34" t="inlineStr">
        <is>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is>
      </c>
      <c r="C36" s="35" t="inlineStr">
        <is>
          <t>[แนบรูป: ข้อสอบ Product ปี 2564 รหัสรูปภาพ image82]</t>
        </is>
      </c>
      <c r="D36" s="34" t="inlineStr">
        <is>
          <t>A</t>
        </is>
      </c>
      <c r="E36" s="34" t="inlineStr">
        <is>
          <t>B</t>
        </is>
      </c>
      <c r="F36" s="34" t="inlineStr">
        <is>
          <t>A และ B</t>
        </is>
      </c>
      <c r="G36" s="34" t="inlineStr">
        <is>
          <t>B และ C</t>
        </is>
      </c>
      <c r="H36" s="34" t="inlineStr">
        <is>
          <t>A และ C</t>
        </is>
      </c>
      <c r="I36" s="35" t="n">
        <v>1</v>
      </c>
      <c r="J36" s="34" t="inlineStr">
        <is>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6" s="35" t="n"/>
      <c r="L36" s="34" t="inlineStr">
        <is>
          <t>Spectroscopy &amp; Optical Analysis</t>
        </is>
      </c>
      <c r="M36" s="35" t="inlineStr">
        <is>
          <t>Product</t>
        </is>
      </c>
      <c r="N36" s="34" t="inlineStr">
        <is>
          <t>ข้อสอบจริง Product ปี 2564 ข้อ 87</t>
        </is>
      </c>
      <c r="O36" s="35" t="inlineStr">
        <is>
          <t>ข้อสอบจริง</t>
        </is>
      </c>
      <c r="P36" s="35" t="inlineStr">
        <is>
          <t>ปี 2564</t>
        </is>
      </c>
    </row>
    <row r="37" ht="409.6" customHeight="1" s="49">
      <c r="A37" s="35" t="n">
        <v>35</v>
      </c>
      <c r="B37" s="34" t="inlineStr">
        <is>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is>
      </c>
      <c r="C37" s="35" t="n"/>
      <c r="D37" s="34" t="inlineStr">
        <is>
          <t>มี Preservatives ❌ ผิด เพราะ Sterile Water for Injection ต้อง ปราศจากสารกันเสีย ถ้ามี preservative จะเป็น Bacteriostatic Water for Injection</t>
        </is>
      </c>
      <c r="E37" s="34" t="inlineStr">
        <is>
          <t>ใช้ได้หลายครั้ง ❌ โดยทั่วไปเป็น single-dose container เปิดแล้วควรใช้ทันที</t>
        </is>
      </c>
      <c r="F37" s="34" t="inlineStr">
        <is>
          <t>ได้จากน้ำกลั่นที่ทำให้ปราศจากเชื้อ ✅ ถูกต้อง WFI สามารถผลิตจากกระบวนการเช่น distillation แล้วทำให้ sterile</t>
        </is>
      </c>
      <c r="G37" s="34" t="inlineStr">
        <is>
          <t>ใช้ภาชนะเป็น glass type III ❌ ไม่ใช่ข้อกำหนดจำเพาะ ภาชนะสำหรับยาฉีดมักใช้ Type I glass (borosilicate) สำหรับความปลอดภัยสูง</t>
        </is>
      </c>
      <c r="H37" s="34" t="inlineStr">
        <is>
          <t>Osmolarity 308 ❌ Sterile water ไม่มี electrolytes → ไม่เป็น isotonic Osmolarity ≈ 0 mOsm/L ค่า \~308 mOsm/L คือสารละลาย isotonic เช่น 0.9% NaCl</t>
        </is>
      </c>
      <c r="I37" s="35" t="n">
        <v>1</v>
      </c>
      <c r="J37" s="34" t="inlineStr">
        <is>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7" s="35" t="n"/>
      <c r="L37" s="34" t="inlineStr">
        <is>
          <t>Spectroscopy &amp; Optical Analysis</t>
        </is>
      </c>
      <c r="M37" s="35" t="inlineStr">
        <is>
          <t>Product</t>
        </is>
      </c>
      <c r="N37" s="34" t="inlineStr">
        <is>
          <t>ข้อสอบจริง Product ปี 2564 ข้อ 96</t>
        </is>
      </c>
      <c r="O37" s="35" t="inlineStr">
        <is>
          <t>ข้อสอบจริง</t>
        </is>
      </c>
      <c r="P37" s="35" t="inlineStr">
        <is>
          <t>ปี 2564</t>
        </is>
      </c>
    </row>
    <row r="38" ht="409.6" customHeight="1" s="49">
      <c r="A38" s="35" t="n">
        <v>36</v>
      </c>
      <c r="B38" s="34" t="inlineStr">
        <is>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is>
      </c>
      <c r="C38" s="35" t="inlineStr">
        <is>
          <t>[แนบรูป: ข้อสอบ Product ปี 2564 รหัสรูปภาพ image86]</t>
        </is>
      </c>
      <c r="D38" s="34" t="inlineStr">
        <is>
          <t>90.4%</t>
        </is>
      </c>
      <c r="E38" s="34" t="inlineStr">
        <is>
          <t>94.7%</t>
        </is>
      </c>
      <c r="F38" s="34" t="inlineStr">
        <is>
          <t>95.7%</t>
        </is>
      </c>
      <c r="G38" s="34" t="inlineStr">
        <is>
          <t>98.9%</t>
        </is>
      </c>
      <c r="H38" s="34" t="inlineStr">
        <is>
          <t>105.6%</t>
        </is>
      </c>
      <c r="I38" s="35" t="n">
        <v>1</v>
      </c>
      <c r="J38" s="34" t="inlineStr">
        <is>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8" s="35" t="n"/>
      <c r="L38" s="34" t="inlineStr">
        <is>
          <t>Spectroscopy &amp; Optical Analysis</t>
        </is>
      </c>
      <c r="M38" s="35" t="inlineStr">
        <is>
          <t>Product</t>
        </is>
      </c>
      <c r="N38" s="34" t="inlineStr">
        <is>
          <t>ข้อสอบจริง Product ปี 2564 ข้อ 102</t>
        </is>
      </c>
      <c r="O38" s="35" t="inlineStr">
        <is>
          <t>ข้อสอบจริง</t>
        </is>
      </c>
      <c r="P38" s="35" t="inlineStr">
        <is>
          <t>ปี 2564</t>
        </is>
      </c>
    </row>
    <row r="39" ht="409.6" customHeight="1" s="49">
      <c r="A39" s="35" t="n">
        <v>37</v>
      </c>
      <c r="B39" s="34" t="inlineStr">
        <is>
          <t>ระบบแผ่นแปะที่เป็นระบบ reservoir จะปลดปล่อยยาด้วยปฏิกิริยาลำดับใด</t>
        </is>
      </c>
      <c r="C39" s="35" t="n"/>
      <c r="D39" s="34" t="inlineStr">
        <is>
          <t>Zero order</t>
        </is>
      </c>
      <c r="E39" s="34" t="inlineStr">
        <is>
          <t>First order</t>
        </is>
      </c>
      <c r="F39" s="34" t="inlineStr">
        <is>
          <t>Pseudo first orders</t>
        </is>
      </c>
      <c r="G39" s="34" t="inlineStr">
        <is>
          <t>Second order</t>
        </is>
      </c>
      <c r="H39" s="34" t="inlineStr">
        <is>
          <t>Pseudo zero order</t>
        </is>
      </c>
      <c r="I39" s="35" t="n">
        <v>1</v>
      </c>
      <c r="J39" s="34" t="inlineStr">
        <is>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9" s="35" t="n"/>
      <c r="L39" s="34" t="inlineStr">
        <is>
          <t>Spectroscopy &amp; Optical Analysis</t>
        </is>
      </c>
      <c r="M39" s="35" t="inlineStr">
        <is>
          <t>Product</t>
        </is>
      </c>
      <c r="N39" s="34" t="inlineStr">
        <is>
          <t>ข้อสอบจริง Product ปี 2564 ข้อ 119</t>
        </is>
      </c>
      <c r="O39" s="35" t="inlineStr">
        <is>
          <t>ข้อสอบจริง</t>
        </is>
      </c>
      <c r="P39" s="35" t="inlineStr">
        <is>
          <t>ปี 2564</t>
        </is>
      </c>
    </row>
    <row r="40" ht="409.6" customHeight="1" s="49">
      <c r="A40" s="35" t="n">
        <v>38</v>
      </c>
      <c r="B40" s="34" t="inlineStr">
        <is>
          <t>ควรทำตำรับรูปแบบใดเตรียมยาสำหรับเด็กซึ่งเป็นผงที่ไม่ละลายน้ำ</t>
        </is>
      </c>
      <c r="C40" s="35" t="n"/>
      <c r="D40" s="34" t="inlineStr">
        <is>
          <t>Elixir ❌ ใช้กับยาที่ละลายในน้ำ/แอลกอฮอล์</t>
        </is>
      </c>
      <c r="E40" s="34" t="inlineStr">
        <is>
          <t>Solution ❌ ต้องละลายน้ำได้</t>
        </is>
      </c>
      <c r="F40" s="34" t="inlineStr">
        <is>
          <t>Tablets ❌ เด็ก 4 ขวบรับประทานยาลำบาก</t>
        </is>
      </c>
      <c r="G40" s="34" t="inlineStr">
        <is>
          <t>Capsule ❌ เด็กกลืนยาก และไม่เหมาะกับการปรับขนาดยา</t>
        </is>
      </c>
      <c r="H40" s="34" t="inlineStr">
        <is>
          <t>Suspension ✅ เหมาะกับยาที่ไม่ละลายน้ำและใช้ในเด็ก</t>
        </is>
      </c>
      <c r="I40" s="35" t="n">
        <v>1</v>
      </c>
      <c r="J40" s="34" t="inlineStr">
        <is>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0" s="35" t="n"/>
      <c r="L40" s="34" t="inlineStr">
        <is>
          <t>Spectroscopy &amp; Optical Analysis</t>
        </is>
      </c>
      <c r="M40" s="35" t="inlineStr">
        <is>
          <t>Product</t>
        </is>
      </c>
      <c r="N40" s="34" t="inlineStr">
        <is>
          <t>ข้อสอบจริง Product ปี 2564 ข้อ 120</t>
        </is>
      </c>
      <c r="O40" s="35" t="inlineStr">
        <is>
          <t>ข้อสอบจริง</t>
        </is>
      </c>
      <c r="P40" s="35" t="inlineStr">
        <is>
          <t>ปี 2564</t>
        </is>
      </c>
    </row>
    <row r="41" ht="409.6" customHeight="1" s="49">
      <c r="A41" s="35" t="n">
        <v>39</v>
      </c>
      <c r="B41" s="34" t="inlineStr">
        <is>
          <t>Donepezil 5 mg คุณสมบัติ good flowability stable in acid แต่ hydrolysis ใน alkaline และ neutral solution ได้ degradation products ควรเตรียมยาด้วยวิธีอะไร</t>
        </is>
      </c>
      <c r="C41" s="35" t="n"/>
      <c r="D41" s="34" t="inlineStr">
        <is>
          <t>Dry granulation ❌ ใช้เมื่อ flow/compressibility ไม่ดี แต่ไม่จำเป็น</t>
        </is>
      </c>
      <c r="E41" s="34" t="inlineStr">
        <is>
          <t>Wet granulation \+ starch paste ❌ มีน้ำ → เสี่ยง hydrolysis</t>
        </is>
      </c>
      <c r="F41" s="34" t="inlineStr">
        <is>
          <t>Direct compression ✅ ไม่ใช้น้ำและเหมาะกับผงที่ไหลดี</t>
        </is>
      </c>
      <c r="G41" s="34" t="inlineStr">
        <is>
          <t>Wet or dry granulation ❌ wet granulation ไม่เหมาะ</t>
        </is>
      </c>
      <c r="H41" s="34" t="inlineStr">
        <is>
          <t>Direct compression or dry granulation with starch binder ❌ starch binder ไม่จำเป็น และอาจมีปัญหาเรื่องความชื้น</t>
        </is>
      </c>
      <c r="I41" s="35" t="n">
        <v>1</v>
      </c>
      <c r="J41" s="34" t="inlineStr">
        <is>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1" s="35" t="n"/>
      <c r="L41" s="34" t="inlineStr">
        <is>
          <t>Spectroscopy &amp; Optical Analysis</t>
        </is>
      </c>
      <c r="M41" s="35" t="inlineStr">
        <is>
          <t>Product</t>
        </is>
      </c>
      <c r="N41" s="34" t="inlineStr">
        <is>
          <t>ข้อสอบจริง Product ปี 2564 ข้อ 131</t>
        </is>
      </c>
      <c r="O41" s="35" t="inlineStr">
        <is>
          <t>ข้อสอบจริง</t>
        </is>
      </c>
      <c r="P41" s="35" t="inlineStr">
        <is>
          <t>ปี 2564</t>
        </is>
      </c>
    </row>
    <row r="42" ht="409.6" customHeight="1" s="49">
      <c r="A42" s="35" t="n">
        <v>40</v>
      </c>
      <c r="B42" s="34" t="inlineStr">
        <is>
          <t>จาก IR spectrum ตำแหน่ง 1685.16 cm⁻¹ คือหมู่พันธะใด [แนบรูป: ข้อสอบ Product ปี 2564 รหัสรูปภาพ image88]</t>
        </is>
      </c>
      <c r="C42" s="35" t="inlineStr">
        <is>
          <t>[แนบรูป: ข้อสอบ Product ปี 2564 รหัสรูปภาพ image88]</t>
        </is>
      </c>
      <c r="D42" s="34" t="inlineStr">
        <is>
          <t>-C=O</t>
        </is>
      </c>
      <c r="E42" s="34" t="inlineStr">
        <is>
          <t>-C=C-</t>
        </is>
      </c>
      <c r="F42" s="34" t="inlineStr">
        <is>
          <t>-SH</t>
        </is>
      </c>
      <c r="G42" s="34" t="inlineStr">
        <is>
          <t>-OH</t>
        </is>
      </c>
      <c r="H42" s="34" t="inlineStr">
        <is>
          <t>-H</t>
        </is>
      </c>
      <c r="I42" s="35" t="n">
        <v>1</v>
      </c>
      <c r="J42" s="34" t="inlineStr">
        <is>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2" s="35" t="n"/>
      <c r="L42" s="34" t="inlineStr">
        <is>
          <t>Spectroscopy &amp; Optical Analysis</t>
        </is>
      </c>
      <c r="M42" s="35" t="inlineStr">
        <is>
          <t>Product</t>
        </is>
      </c>
      <c r="N42" s="34" t="inlineStr">
        <is>
          <t>ข้อสอบจริง Product ปี 2564 ข้อ 150</t>
        </is>
      </c>
      <c r="O42" s="35" t="inlineStr">
        <is>
          <t>ข้อสอบจริง</t>
        </is>
      </c>
      <c r="P42" s="35" t="inlineStr">
        <is>
          <t>ปี 2564</t>
        </is>
      </c>
    </row>
    <row r="43" ht="409.6" customHeight="1" s="49">
      <c r="A43" s="35" t="n">
        <v>41</v>
      </c>
      <c r="B43" s="34" t="inlineStr">
        <is>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is>
      </c>
      <c r="C43" s="35" t="n"/>
      <c r="D43" s="34" t="inlineStr">
        <is>
          <t>ใช้ basket apparatus</t>
        </is>
      </c>
      <c r="E43" s="34" t="inlineStr">
        <is>
          <t>เป็นการทดสอบหัวข้อ dissolution</t>
        </is>
      </c>
      <c r="F43" s="34" t="inlineStr">
        <is>
          <t>เป็นการทดสอบหัวข้อ disintegration</t>
        </is>
      </c>
      <c r="G43" s="34" t="inlineStr">
        <is>
          <t>เป็นการทดสอบหัวข้อ uniformity of dosage unit</t>
        </is>
      </c>
      <c r="H43" s="34" t="inlineStr">
        <is>
          <t>ต้องมีตัวยาละลายไม่น้อยกว่า 75% ของปริมาณยาที่ระบุบนฉลาก</t>
        </is>
      </c>
      <c r="I43" s="35" t="n">
        <v>1</v>
      </c>
      <c r="J43" s="34" t="inlineStr">
        <is>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3" s="35" t="n"/>
      <c r="L43" s="34" t="inlineStr">
        <is>
          <t>Spectroscopy &amp; Optical Analysis</t>
        </is>
      </c>
      <c r="M43" s="35" t="inlineStr">
        <is>
          <t>Product</t>
        </is>
      </c>
      <c r="N43" s="34" t="inlineStr">
        <is>
          <t>ข้อสอบจริง Product ปี 2564 ข้อ 151</t>
        </is>
      </c>
      <c r="O43" s="35" t="inlineStr">
        <is>
          <t>ข้อสอบจริง</t>
        </is>
      </c>
      <c r="P43" s="35" t="inlineStr">
        <is>
          <t>ปี 2564</t>
        </is>
      </c>
    </row>
    <row r="44" ht="409.6" customHeight="1" s="49">
      <c r="A44" s="35" t="n">
        <v>42</v>
      </c>
      <c r="B44" s="34" t="inlineStr">
        <is>
          <t>จากโครงสร้างยา rifampicin ควรใช้เครื่องมือใดในการหาปริมาณยา [แนบรูป: ข้อสอบ Product ปี 2564 รหัสรูปภาพ image92]</t>
        </is>
      </c>
      <c r="C44" s="35" t="inlineStr">
        <is>
          <t>[แนบรูป: ข้อสอบ Product ปี 2564 รหัสรูปภาพ image92]</t>
        </is>
      </c>
      <c r="D44" s="34" t="inlineStr">
        <is>
          <t>UV-visible spectrophotometer</t>
        </is>
      </c>
      <c r="E44" s="34" t="inlineStr">
        <is>
          <t>Infrared spectroscope</t>
        </is>
      </c>
      <c r="F44" s="34" t="inlineStr">
        <is>
          <t>Mass spectroscope</t>
        </is>
      </c>
      <c r="G44" s="34" t="inlineStr">
        <is>
          <t>Refractometer</t>
        </is>
      </c>
      <c r="H44" s="34" t="inlineStr">
        <is>
          <t>Polarimeter</t>
        </is>
      </c>
      <c r="I44" s="35" t="n">
        <v>1</v>
      </c>
      <c r="J44" s="34" t="inlineStr">
        <is>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4" s="35" t="n"/>
      <c r="L44" s="34" t="inlineStr">
        <is>
          <t>Spectroscopy &amp; Optical Analysis</t>
        </is>
      </c>
      <c r="M44" s="35" t="inlineStr">
        <is>
          <t>Product</t>
        </is>
      </c>
      <c r="N44" s="34" t="inlineStr">
        <is>
          <t>ข้อสอบจริง Product ปี 2564 ข้อ 160</t>
        </is>
      </c>
      <c r="O44" s="35" t="inlineStr">
        <is>
          <t>ข้อสอบจริง</t>
        </is>
      </c>
      <c r="P44" s="35" t="inlineStr">
        <is>
          <t>ปี 2564</t>
        </is>
      </c>
    </row>
    <row r="45" ht="409.6" customHeight="1" s="49">
      <c r="A45" s="35" t="n">
        <v>43</v>
      </c>
      <c r="B45" s="34" t="inlineStr">
        <is>
          <t>ให้กราฟดังกล่าวให้ข้อมูลใด [แนบรูป: ข้อสอบ Product ปี 2564 รหัสรูปภาพ image93]</t>
        </is>
      </c>
      <c r="C45" s="35" t="inlineStr">
        <is>
          <t>[แนบรูป: ข้อสอบ Product ปี 2564 รหัสรูปภาพ image93]</t>
        </is>
      </c>
      <c r="D45" s="34" t="inlineStr">
        <is>
          <t>หมู่ฟังก์ชัน</t>
        </is>
      </c>
      <c r="E45" s="34" t="inlineStr">
        <is>
          <t>มวลโมเลกุล</t>
        </is>
      </c>
      <c r="F45" s="34" t="inlineStr">
        <is>
          <t>จำนวนโปรตอน</t>
        </is>
      </c>
      <c r="G45" s="34" t="inlineStr">
        <is>
          <t>จำนวนอิเล็กตรอน</t>
        </is>
      </c>
      <c r="H45" s="34" t="inlineStr">
        <is>
          <t>องค์ประกอบของธาตุ</t>
        </is>
      </c>
      <c r="I45" s="35" t="n">
        <v>1</v>
      </c>
      <c r="J45" s="34" t="inlineStr">
        <is>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5" s="35" t="n"/>
      <c r="L45" s="34" t="inlineStr">
        <is>
          <t>Spectroscopy &amp; Optical Analysis</t>
        </is>
      </c>
      <c r="M45" s="35" t="inlineStr">
        <is>
          <t>Product</t>
        </is>
      </c>
      <c r="N45" s="34" t="inlineStr">
        <is>
          <t>ข้อสอบจริง Product ปี 2564 ข้อ 169</t>
        </is>
      </c>
      <c r="O45" s="35" t="inlineStr">
        <is>
          <t>ข้อสอบจริง</t>
        </is>
      </c>
      <c r="P45" s="35" t="inlineStr">
        <is>
          <t>ปี 2564</t>
        </is>
      </c>
    </row>
    <row r="46" ht="409.6" customHeight="1" s="49">
      <c r="A46" s="35" t="n">
        <v>44</v>
      </c>
      <c r="B46" s="34" t="inlineStr">
        <is>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is>
      </c>
      <c r="C46" s="35" t="n"/>
      <c r="D46" s="34" t="inlineStr">
        <is>
          <t>90.4%</t>
        </is>
      </c>
      <c r="E46" s="34" t="inlineStr">
        <is>
          <t>94.7%</t>
        </is>
      </c>
      <c r="F46" s="34" t="inlineStr">
        <is>
          <t>95.7%</t>
        </is>
      </c>
      <c r="G46" s="34" t="inlineStr">
        <is>
          <t>98.9%</t>
        </is>
      </c>
      <c r="H46" s="34" t="inlineStr">
        <is>
          <t>105.6%</t>
        </is>
      </c>
      <c r="I46" s="35" t="n">
        <v>4</v>
      </c>
      <c r="J46" s="34" t="inlineStr">
        <is>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6" s="35" t="n"/>
      <c r="L46" s="34" t="inlineStr">
        <is>
          <t>Spectroscopy &amp; Optical Analysis</t>
        </is>
      </c>
      <c r="M46" s="35" t="inlineStr">
        <is>
          <t>Product</t>
        </is>
      </c>
      <c r="N46" s="34" t="inlineStr">
        <is>
          <t>ข้อสอบจริง Product ปี 2563 ข้อ 2</t>
        </is>
      </c>
      <c r="O46" s="35" t="inlineStr">
        <is>
          <t>ข้อสอบจริง</t>
        </is>
      </c>
      <c r="P46" s="35" t="inlineStr">
        <is>
          <t>ปี 2563</t>
        </is>
      </c>
    </row>
    <row r="47" ht="409.6" customHeight="1" s="49">
      <c r="A47" s="35" t="n">
        <v>45</v>
      </c>
      <c r="B47" s="34" t="inlineStr">
        <is>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is>
      </c>
      <c r="C47" s="35" t="n"/>
      <c r="D47" s="34" t="inlineStr">
        <is>
          <t>ผ่านเกณฑ์ตามที่กำหนด</t>
        </is>
      </c>
      <c r="E47" s="34" t="inlineStr">
        <is>
          <t>ไม่ผ่าน เพราะมีการปนเปื้อนเชื้อรา</t>
        </is>
      </c>
      <c r="F47" s="34" t="inlineStr">
        <is>
          <t>ไม่ผ่าน เพราะมีการปนเปื้อนเชื้อแบคทีเรีย</t>
        </is>
      </c>
      <c r="G47" s="34" t="inlineStr">
        <is>
          <t>ไม่ผ่าน เพราะปริมาณความชื้นไม่อยู่ในช่วงที่กำหนด</t>
        </is>
      </c>
      <c r="H47" s="34" t="inlineStr">
        <is>
          <t>ไม่ผ่าน เพราะการวิเคราะห์ปริมาณสารสำคัญไม่อยู่ในช่วงที่กำหนด</t>
        </is>
      </c>
      <c r="I47" s="35" t="n">
        <v>4</v>
      </c>
      <c r="J47" s="34" t="inlineStr">
        <is>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7" s="35" t="n"/>
      <c r="L47" s="34" t="inlineStr">
        <is>
          <t>Spectroscopy &amp; Optical Analysis</t>
        </is>
      </c>
      <c r="M47" s="35" t="inlineStr">
        <is>
          <t>Product</t>
        </is>
      </c>
      <c r="N47" s="34" t="inlineStr">
        <is>
          <t>ข้อสอบจริง Product ปี 2563 ข้อ 7</t>
        </is>
      </c>
      <c r="O47" s="35" t="inlineStr">
        <is>
          <t>ข้อสอบจริง</t>
        </is>
      </c>
      <c r="P47" s="35" t="inlineStr">
        <is>
          <t>ปี 2563</t>
        </is>
      </c>
    </row>
    <row r="48" ht="409.6" customHeight="1" s="49">
      <c r="A48" s="35" t="n">
        <v>46</v>
      </c>
      <c r="B48" s="34" t="inlineStr">
        <is>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is>
      </c>
      <c r="C48" s="35" t="n"/>
      <c r="D48" s="34" t="inlineStr">
        <is>
          <t>Sucrose – sweetening agent</t>
        </is>
      </c>
      <c r="E48" s="34" t="inlineStr">
        <is>
          <t>Titanium dioxide – opacifier</t>
        </is>
      </c>
      <c r="F48" s="34" t="inlineStr">
        <is>
          <t>Lactose monohydrate – film former</t>
        </is>
      </c>
      <c r="G48" s="34" t="inlineStr">
        <is>
          <t>Calcium hydrogen phosphate dehydrate – film former</t>
        </is>
      </c>
      <c r="H48" s="34" t="inlineStr">
        <is>
          <t>Maize starch – opacifier |</t>
        </is>
      </c>
      <c r="I48" s="35" t="n">
        <v>1</v>
      </c>
      <c r="J48" s="34" t="inlineStr">
        <is>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8" s="35" t="n"/>
      <c r="L48" s="34" t="inlineStr">
        <is>
          <t>Spectroscopy &amp; Optical Analysis</t>
        </is>
      </c>
      <c r="M48" s="35" t="inlineStr">
        <is>
          <t>Product</t>
        </is>
      </c>
      <c r="N48" s="34" t="inlineStr">
        <is>
          <t>ข้อสอบจริง Product ปี 2562 ข้อ 3</t>
        </is>
      </c>
      <c r="O48" s="35" t="inlineStr">
        <is>
          <t>ข้อสอบจริง</t>
        </is>
      </c>
      <c r="P48" s="35" t="inlineStr">
        <is>
          <t>ปี 2562</t>
        </is>
      </c>
    </row>
    <row r="49" ht="409.6" customHeight="1" s="49">
      <c r="A49" s="35" t="n">
        <v>47</v>
      </c>
      <c r="B49" s="34" t="inlineStr">
        <is>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is>
      </c>
      <c r="C49" s="35" t="n"/>
      <c r="D49" s="34" t="inlineStr">
        <is>
          <t>Acacia</t>
        </is>
      </c>
      <c r="E49" s="34" t="inlineStr">
        <is>
          <t>Carbomer</t>
        </is>
      </c>
      <c r="F49" s="34" t="inlineStr">
        <is>
          <t>Sodium alginate</t>
        </is>
      </c>
      <c r="G49" s="34" t="inlineStr">
        <is>
          <t>Methylcellulose</t>
        </is>
      </c>
      <c r="H49" s="34" t="inlineStr">
        <is>
          <t>Sodium carboxymethycellulose |</t>
        </is>
      </c>
      <c r="I49" s="35" t="n">
        <v>1</v>
      </c>
      <c r="J49" s="34" t="inlineStr">
        <is>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9" s="35" t="n"/>
      <c r="L49" s="34" t="inlineStr">
        <is>
          <t>Spectroscopy &amp; Optical Analysis</t>
        </is>
      </c>
      <c r="M49" s="35" t="inlineStr">
        <is>
          <t>Product</t>
        </is>
      </c>
      <c r="N49" s="34" t="inlineStr">
        <is>
          <t>ข้อสอบจริง Product ปี 2562 ข้อ 4</t>
        </is>
      </c>
      <c r="O49" s="35" t="inlineStr">
        <is>
          <t>ข้อสอบจริง</t>
        </is>
      </c>
      <c r="P49" s="35" t="inlineStr">
        <is>
          <t>ปี 2562</t>
        </is>
      </c>
    </row>
    <row r="50" ht="409.6" customHeight="1" s="49">
      <c r="A50" s="35" t="n">
        <v>48</v>
      </c>
      <c r="B50" s="34" t="inlineStr">
        <is>
          <t>จากโครงสร้างของยา griseofulvin การตรวจสอบคุณภาพใด ทำให้ได้ลักษณะเฉพาะที่ออกฤทธิ์</t>
        </is>
      </c>
      <c r="C50" s="35" t="n"/>
      <c r="D50" s="34" t="inlineStr">
        <is>
          <t>H¹-NMR</t>
        </is>
      </c>
      <c r="E50" s="34" t="inlineStr">
        <is>
          <t>Polarimeter</t>
        </is>
      </c>
      <c r="F50" s="34" t="inlineStr">
        <is>
          <t>Reflectometer</t>
        </is>
      </c>
      <c r="G50" s="34" t="inlineStr">
        <is>
          <t>Infrared spectroscope</t>
        </is>
      </c>
      <c r="H50" s="34" t="inlineStr">
        <is>
          <t>UV-visible spectrophotometer</t>
        </is>
      </c>
      <c r="I50" s="35" t="n">
        <v>1</v>
      </c>
      <c r="J50" s="34" t="inlineStr">
        <is>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0" s="35" t="n"/>
      <c r="L50" s="34" t="inlineStr">
        <is>
          <t>Spectroscopy &amp; Optical Analysis</t>
        </is>
      </c>
      <c r="M50" s="35" t="inlineStr">
        <is>
          <t>Product</t>
        </is>
      </c>
      <c r="N50" s="34" t="inlineStr">
        <is>
          <t>ข้อสอบจริง Product ปี 2561 ข้อ 11</t>
        </is>
      </c>
      <c r="O50" s="35" t="inlineStr">
        <is>
          <t>ข้อสอบจริง</t>
        </is>
      </c>
      <c r="P50" s="35" t="inlineStr">
        <is>
          <t>ปี 2561</t>
        </is>
      </c>
    </row>
    <row r="51" ht="409.6" customHeight="1" s="49">
      <c r="A51" s="35" t="n">
        <v>49</v>
      </c>
      <c r="B51" s="34" t="inlineStr">
        <is>
          <t>แผ่นแปะ มีรูปแบบ ดังภาพ เป็นระบบนำส่งยาแบบใด [แนบรูป: ข้อสอบ Product ปี 2561 รหัสรูปภาพ image104]</t>
        </is>
      </c>
      <c r="C51" s="35" t="inlineStr">
        <is>
          <t>[แนบรูป: ข้อสอบ Product ปี 2561 รหัสรูปภาพ image104]</t>
        </is>
      </c>
      <c r="D51" s="34" t="inlineStr">
        <is>
          <t>Reservoir system</t>
        </is>
      </c>
      <c r="E51" s="34" t="inlineStr">
        <is>
          <t>Microreservoir system</t>
        </is>
      </c>
      <c r="F51" s="34" t="inlineStr">
        <is>
          <t>Polyplastic type system</t>
        </is>
      </c>
      <c r="G51" s="34" t="inlineStr">
        <is>
          <t>Matrix dispersion system</t>
        </is>
      </c>
      <c r="H51" s="34" t="inlineStr">
        <is>
          <t>Peripheral adhesive design</t>
        </is>
      </c>
      <c r="I51" s="35" t="n">
        <v>1</v>
      </c>
      <c r="J51" s="34" t="inlineStr">
        <is>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1" s="35" t="n"/>
      <c r="L51" s="34" t="inlineStr">
        <is>
          <t>Spectroscopy &amp; Optical Analysis</t>
        </is>
      </c>
      <c r="M51" s="35" t="inlineStr">
        <is>
          <t>Product</t>
        </is>
      </c>
      <c r="N51" s="34" t="inlineStr">
        <is>
          <t>ข้อสอบจริง Product ปี 2561 ข้อ 12</t>
        </is>
      </c>
      <c r="O51" s="35" t="inlineStr">
        <is>
          <t>ข้อสอบจริง</t>
        </is>
      </c>
      <c r="P51" s="35" t="inlineStr">
        <is>
          <t>ปี 2561</t>
        </is>
      </c>
    </row>
    <row r="52" ht="409.6" customHeight="1" s="49">
      <c r="A52" s="35" t="n">
        <v>50</v>
      </c>
      <c r="B52" s="34" t="inlineStr">
        <is>
          <t>จากรูปข้อ 59 ตัวยาจะถูกบรรจุอยู่ในส่วนใด</t>
        </is>
      </c>
      <c r="C52" s="35" t="n"/>
      <c r="D52" s="34" t="inlineStr">
        <is>
          <t>Liner</t>
        </is>
      </c>
      <c r="E52" s="34" t="inlineStr">
        <is>
          <t>Reservoir</t>
        </is>
      </c>
      <c r="F52" s="34" t="inlineStr">
        <is>
          <t>Membrane</t>
        </is>
      </c>
      <c r="G52" s="34" t="inlineStr">
        <is>
          <t>Backing layer</t>
        </is>
      </c>
      <c r="H52" s="34" t="inlineStr">
        <is>
          <t>Adhesive layer</t>
        </is>
      </c>
      <c r="I52" s="35" t="n">
        <v>1</v>
      </c>
      <c r="J52" s="34" t="inlineStr">
        <is>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2" s="35" t="n"/>
      <c r="L52" s="34" t="inlineStr">
        <is>
          <t>Spectroscopy &amp; Optical Analysis</t>
        </is>
      </c>
      <c r="M52" s="35" t="inlineStr">
        <is>
          <t>Product</t>
        </is>
      </c>
      <c r="N52" s="34" t="inlineStr">
        <is>
          <t>ข้อสอบจริง Product ปี 2561 ข้อ 13</t>
        </is>
      </c>
      <c r="O52" s="35" t="inlineStr">
        <is>
          <t>ข้อสอบจริง</t>
        </is>
      </c>
      <c r="P52" s="35" t="inlineStr">
        <is>
          <t>ปี 2561</t>
        </is>
      </c>
    </row>
    <row r="53" ht="409.6" customHeight="1" s="49">
      <c r="A53" s="35" t="n">
        <v>51</v>
      </c>
      <c r="B53" s="34" t="inlineStr">
        <is>
          <t>ให้ข้อมูลการละลายยามาถามว่าควรทำตำรับรูปแบบใด</t>
        </is>
      </c>
      <c r="C53" s="35" t="n"/>
      <c r="D53" s="34" t="inlineStr">
        <is>
          <t>Elixir</t>
        </is>
      </c>
      <c r="E53" s="34" t="inlineStr">
        <is>
          <t>Solution</t>
        </is>
      </c>
      <c r="F53" s="34" t="inlineStr">
        <is>
          <t>Tablets</t>
        </is>
      </c>
      <c r="G53" s="34" t="inlineStr">
        <is>
          <t>Capsule</t>
        </is>
      </c>
      <c r="H53" s="34" t="inlineStr">
        <is>
          <t>Suspension</t>
        </is>
      </c>
      <c r="I53" s="35" t="n">
        <v>1</v>
      </c>
      <c r="J53" s="34" t="inlineStr">
        <is>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3" s="35" t="n"/>
      <c r="L53" s="34" t="inlineStr">
        <is>
          <t>Spectroscopy &amp; Optical Analysis</t>
        </is>
      </c>
      <c r="M53" s="35" t="inlineStr">
        <is>
          <t>Product</t>
        </is>
      </c>
      <c r="N53" s="34" t="inlineStr">
        <is>
          <t>ข้อสอบจริง Product ปี 2561 ข้อ 15</t>
        </is>
      </c>
      <c r="O53" s="35" t="inlineStr">
        <is>
          <t>ข้อสอบจริง</t>
        </is>
      </c>
      <c r="P53" s="35" t="inlineStr">
        <is>
          <t>ปี 2561</t>
        </is>
      </c>
    </row>
    <row r="54" ht="409.6" customHeight="1" s="49">
      <c r="A54" s="35" t="n">
        <v>52</v>
      </c>
      <c r="B54" s="34" t="inlineStr">
        <is>
          <t>การ plot กราฟ IR จะต้องมีองค์ประกอบอะไรบ้าง</t>
        </is>
      </c>
      <c r="C54" s="35" t="n"/>
      <c r="D54" s="34" t="inlineStr">
        <is>
          <t>Absorbance กับ time</t>
        </is>
      </c>
      <c r="E54" s="34" t="inlineStr">
        <is>
          <t>Absorbance กับ wavelengths</t>
        </is>
      </c>
      <c r="F54" s="34" t="inlineStr">
        <is>
          <t>Absorbance กับ wavenumber</t>
        </is>
      </c>
      <c r="G54" s="34" t="inlineStr">
        <is>
          <t>Transmittance กับ time</t>
        </is>
      </c>
      <c r="H54" s="34" t="inlineStr">
        <is>
          <t>Transmittance กับ wavenumber</t>
        </is>
      </c>
      <c r="I54" s="35" t="n">
        <v>1</v>
      </c>
      <c r="J54" s="34" t="inlineStr">
        <is>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4" s="35" t="n"/>
      <c r="L54" s="34" t="inlineStr">
        <is>
          <t>Spectroscopy &amp; Optical Analysis</t>
        </is>
      </c>
      <c r="M54" s="35" t="inlineStr">
        <is>
          <t>Product</t>
        </is>
      </c>
      <c r="N54" s="34" t="inlineStr">
        <is>
          <t>ข้อสอบจริง Product ปี 2561 ข้อ 22</t>
        </is>
      </c>
      <c r="O54" s="35" t="inlineStr">
        <is>
          <t>ข้อสอบจริง</t>
        </is>
      </c>
      <c r="P54" s="35" t="inlineStr">
        <is>
          <t>ปี 2561</t>
        </is>
      </c>
    </row>
    <row r="55" ht="409.6" customHeight="1" s="49">
      <c r="A55" s="35" t="n">
        <v>53</v>
      </c>
      <c r="B55" s="34" t="inlineStr">
        <is>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t>
        </is>
      </c>
      <c r="C55" s="35" t="inlineStr">
        <is>
          <t>[แนบรูป: ข้อสอบ Product ปี 2561 รหัสรูปภาพ image110]</t>
        </is>
      </c>
      <c r="D55" s="34" t="inlineStr">
        <is>
          <t>NMR</t>
        </is>
      </c>
      <c r="E55" s="34" t="inlineStr">
        <is>
          <t>Refractometer</t>
        </is>
      </c>
      <c r="F55" s="34" t="inlineStr">
        <is>
          <t>X-ray diffraction</t>
        </is>
      </c>
      <c r="G55" s="34" t="inlineStr">
        <is>
          <t>Infrared spectroscope</t>
        </is>
      </c>
      <c r="H55" s="34" t="inlineStr">
        <is>
          <t>UV-visible spectrophotometer</t>
        </is>
      </c>
      <c r="I55" s="35" t="n">
        <v>1</v>
      </c>
      <c r="J55" s="34" t="inlineStr">
        <is>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5" s="35" t="n"/>
      <c r="L55" s="34" t="inlineStr">
        <is>
          <t>Spectroscopy &amp; Optical Analysis</t>
        </is>
      </c>
      <c r="M55" s="35" t="inlineStr">
        <is>
          <t>Product</t>
        </is>
      </c>
      <c r="N55" s="34" t="inlineStr">
        <is>
          <t>ข้อสอบจริง Product ปี 2561 ข้อ 47</t>
        </is>
      </c>
      <c r="O55" s="35" t="inlineStr">
        <is>
          <t>ข้อสอบจริง</t>
        </is>
      </c>
      <c r="P55" s="35" t="inlineStr">
        <is>
          <t>ปี 2561</t>
        </is>
      </c>
    </row>
    <row r="56" ht="409.6" customHeight="1" s="49">
      <c r="A56" s="35" t="n">
        <v>54</v>
      </c>
      <c r="B56" s="34" t="inlineStr">
        <is>
          <t>ข้อมูลความคงตัว furosemide ยาละลายในด่าง (จากกราฟ Log P vs pH) จากข้อมูลควรเตรียมยารูปแบบใด [แนบรูป: ข้อสอบ Product ปี 2561 รหัสรูปภาพ image111]</t>
        </is>
      </c>
      <c r="C56" s="35" t="inlineStr">
        <is>
          <t>[แนบรูป: ข้อสอบ Product ปี 2561 รหัสรูปภาพ image111]</t>
        </is>
      </c>
      <c r="D56" s="34" t="inlineStr">
        <is>
          <t>Syrup pH 4</t>
        </is>
      </c>
      <c r="E56" s="34" t="inlineStr">
        <is>
          <t>Elixir buffer ด่าง</t>
        </is>
      </c>
      <c r="F56" s="34" t="inlineStr">
        <is>
          <t>Elixir buffer กรด</t>
        </is>
      </c>
      <c r="G56" s="34" t="inlineStr">
        <is>
          <t>Syrup buffer กรด</t>
        </is>
      </c>
      <c r="H56" s="34" t="inlineStr">
        <is>
          <t>Syrup buffer ด่าง</t>
        </is>
      </c>
      <c r="I56" s="35" t="n">
        <v>1</v>
      </c>
      <c r="J56" s="34" t="inlineStr">
        <is>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6" s="35" t="n"/>
      <c r="L56" s="34" t="inlineStr">
        <is>
          <t>Spectroscopy &amp; Optical Analysis</t>
        </is>
      </c>
      <c r="M56" s="35" t="inlineStr">
        <is>
          <t>Product</t>
        </is>
      </c>
      <c r="N56" s="34" t="inlineStr">
        <is>
          <t>ข้อสอบจริง Product ปี 2561 ข้อ 58</t>
        </is>
      </c>
      <c r="O56" s="35" t="inlineStr">
        <is>
          <t>ข้อสอบจริง</t>
        </is>
      </c>
      <c r="P56" s="35" t="inlineStr">
        <is>
          <t>ปี 2561</t>
        </is>
      </c>
    </row>
    <row r="57" ht="409.6" customHeight="1" s="49">
      <c r="A57" s="35" t="n">
        <v>55</v>
      </c>
      <c r="B57" s="34" t="inlineStr">
        <is>
          <t>ข้อใดถูกเกี่ยวกับ morphine extended tablets</t>
        </is>
      </c>
      <c r="C57" s="35" t="n"/>
      <c r="D57" s="34" t="inlineStr">
        <is>
          <t>Reservoir ใช้ CAP เคลือบ</t>
        </is>
      </c>
      <c r="E57" s="34" t="inlineStr">
        <is>
          <t>ปลดปล่อยที่ลำไส้เล็กส่วนต้น</t>
        </is>
      </c>
      <c r="F57" s="34" t="inlineStr">
        <is>
          <t>Reservoir ใช้ HPMC เคลือบ</t>
        </is>
      </c>
      <c r="G57" s="34" t="inlineStr">
        <is>
          <t>Monolithic wax ต้องพองตัวและละลายได้</t>
        </is>
      </c>
      <c r="H57" s="34" t="inlineStr">
        <is>
          <t>Monolithic ใช้ polymer เป็น hydrophilic หรือ hydrophobic polymer</t>
        </is>
      </c>
      <c r="I57" s="35" t="n">
        <v>1</v>
      </c>
      <c r="J57" s="34" t="inlineStr">
        <is>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7" s="35" t="n"/>
      <c r="L57" s="34" t="inlineStr">
        <is>
          <t>Spectroscopy &amp; Optical Analysis</t>
        </is>
      </c>
      <c r="M57" s="35" t="inlineStr">
        <is>
          <t>Product</t>
        </is>
      </c>
      <c r="N57" s="34" t="inlineStr">
        <is>
          <t>ข้อสอบจริง Product ปี 2561 ข้อ 104</t>
        </is>
      </c>
      <c r="O57" s="35" t="inlineStr">
        <is>
          <t>ข้อสอบจริง</t>
        </is>
      </c>
      <c r="P57" s="35" t="inlineStr">
        <is>
          <t>ปี 2561</t>
        </is>
      </c>
    </row>
    <row r="58" ht="409.6" customHeight="1" s="49">
      <c r="A58" s="35" t="n">
        <v>56</v>
      </c>
      <c r="B58" s="34" t="inlineStr">
        <is>
          <t>ยารูปแบบ reservoir ออกฤทธิ์แบบใด</t>
        </is>
      </c>
      <c r="C58" s="35" t="n"/>
      <c r="D58" s="34" t="inlineStr">
        <is>
          <t>Zero order</t>
        </is>
      </c>
      <c r="E58" s="34" t="inlineStr">
        <is>
          <t>First order</t>
        </is>
      </c>
      <c r="F58" s="34" t="inlineStr">
        <is>
          <t>Second order</t>
        </is>
      </c>
      <c r="G58" s="34" t="inlineStr">
        <is>
          <t>Pseudo first order</t>
        </is>
      </c>
      <c r="H58" s="34" t="inlineStr">
        <is>
          <t>Flib-flob</t>
        </is>
      </c>
      <c r="I58" s="35" t="n">
        <v>1</v>
      </c>
      <c r="J58" s="34" t="inlineStr">
        <is>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8" s="35" t="n"/>
      <c r="L58" s="34" t="inlineStr">
        <is>
          <t>Spectroscopy &amp; Optical Analysis</t>
        </is>
      </c>
      <c r="M58" s="35" t="inlineStr">
        <is>
          <t>Product</t>
        </is>
      </c>
      <c r="N58" s="34" t="inlineStr">
        <is>
          <t>ข้อสอบจริง Product ปี 2559 ข้อ 2</t>
        </is>
      </c>
      <c r="O58" s="35" t="inlineStr">
        <is>
          <t>ข้อสอบจริง</t>
        </is>
      </c>
      <c r="P58" s="35" t="inlineStr">
        <is>
          <t>ปี 2559</t>
        </is>
      </c>
    </row>
    <row r="59" ht="409.6" customHeight="1" s="49">
      <c r="A59" s="35" t="n">
        <v>57</v>
      </c>
      <c r="B59" s="34" t="inlineStr">
        <is>
          <t>ยา extended release โดยตัวยาผสมกับ…และกระจายตัวอย่างสม่ำเสมอเป็นระบบแบบใด</t>
        </is>
      </c>
      <c r="C59" s="35" t="n"/>
      <c r="D59" s="34" t="inlineStr">
        <is>
          <t>Mechanical pump</t>
        </is>
      </c>
      <c r="E59" s="34" t="inlineStr">
        <is>
          <t>Membrane reservoir</t>
        </is>
      </c>
      <c r="F59" s="34" t="inlineStr">
        <is>
          <t>Matrix system</t>
        </is>
      </c>
      <c r="G59" s="34" t="inlineStr">
        <is>
          <t>Osmotic system</t>
        </is>
      </c>
      <c r="H59" s="34" t="inlineStr">
        <is>
          <t>Hydro..........</t>
        </is>
      </c>
      <c r="I59" s="35" t="n">
        <v>1</v>
      </c>
      <c r="J59" s="34"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9" s="35" t="n"/>
      <c r="L59" s="34" t="inlineStr">
        <is>
          <t>Spectroscopy &amp; Optical Analysis</t>
        </is>
      </c>
      <c r="M59" s="35" t="inlineStr">
        <is>
          <t>Product</t>
        </is>
      </c>
      <c r="N59" s="34" t="inlineStr">
        <is>
          <t>ข้อสอบจริง Product ปี 2559 ข้อ 6</t>
        </is>
      </c>
      <c r="O59" s="35" t="inlineStr">
        <is>
          <t>ข้อสอบจริง</t>
        </is>
      </c>
      <c r="P59" s="35" t="inlineStr">
        <is>
          <t>ปี 2559</t>
        </is>
      </c>
    </row>
    <row r="60" ht="409.6" customHeight="1" s="49">
      <c r="A60" s="35" t="n">
        <v>58</v>
      </c>
      <c r="B60" s="34" t="inlineStr">
        <is>
          <t>ใน certificate of analysis จำเป็นต้องมีหัวข้อใดของยา levocetirizine</t>
        </is>
      </c>
      <c r="C60" s="35" t="n"/>
      <c r="D60" s="34" t="inlineStr">
        <is>
          <t>Impurity</t>
        </is>
      </c>
      <c r="E60" s="34" t="inlineStr">
        <is>
          <t>Assay</t>
        </is>
      </c>
      <c r="F60" s="34" t="inlineStr">
        <is>
          <t>Residue of ignition</t>
        </is>
      </c>
      <c r="G60" s="34" t="inlineStr">
        <is>
          <t>Specific rotation</t>
        </is>
      </c>
      <c r="H60" s="34" t="inlineStr">
        <is>
          <t>Residue of solvent</t>
        </is>
      </c>
      <c r="I60" s="35" t="n">
        <v>1</v>
      </c>
      <c r="J60" s="34" t="inlineStr">
        <is>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0" s="35" t="n"/>
      <c r="L60" s="34" t="inlineStr">
        <is>
          <t>Spectroscopy &amp; Optical Analysis</t>
        </is>
      </c>
      <c r="M60" s="35" t="inlineStr">
        <is>
          <t>Product</t>
        </is>
      </c>
      <c r="N60" s="34" t="inlineStr">
        <is>
          <t>ข้อสอบจริง Product ปี 2559 ข้อ 22</t>
        </is>
      </c>
      <c r="O60" s="35" t="inlineStr">
        <is>
          <t>ข้อสอบจริง</t>
        </is>
      </c>
      <c r="P60" s="35" t="inlineStr">
        <is>
          <t>ปี 2559</t>
        </is>
      </c>
    </row>
    <row r="61" ht="409.6" customHeight="1" s="49">
      <c r="A61" s="35" t="n">
        <v>59</v>
      </c>
      <c r="B61" s="34" t="inlineStr">
        <is>
          <t>ยา extended release โดยนำตัวยาที่ออกฤทธิ์ผสมกับสารช่วยและกระจายตัวอย่างสม่ำเสมอเป็นระบบแบบใด</t>
        </is>
      </c>
      <c r="C61" s="35" t="n"/>
      <c r="D61" s="34" t="inlineStr">
        <is>
          <t>Mechanical pump</t>
        </is>
      </c>
      <c r="E61" s="34" t="inlineStr">
        <is>
          <t>Membrane reservoir</t>
        </is>
      </c>
      <c r="F61" s="34" t="inlineStr">
        <is>
          <t>Matrix system</t>
        </is>
      </c>
      <c r="G61" s="34" t="inlineStr">
        <is>
          <t>Osmotic system</t>
        </is>
      </c>
      <c r="H61" s="34" t="inlineStr">
        <is>
          <t>Hydrodynamic system</t>
        </is>
      </c>
      <c r="I61" s="35" t="n">
        <v>1</v>
      </c>
      <c r="J61" s="34"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1" s="35" t="n"/>
      <c r="L61" s="34" t="inlineStr">
        <is>
          <t>Spectroscopy &amp; Optical Analysis</t>
        </is>
      </c>
      <c r="M61" s="35" t="inlineStr">
        <is>
          <t>Product</t>
        </is>
      </c>
      <c r="N61" s="34" t="inlineStr">
        <is>
          <t>ข้อสอบจริง Product ปี 2559 ข้อ 6</t>
        </is>
      </c>
      <c r="O61" s="35" t="inlineStr">
        <is>
          <t>ข้อสอบจริง</t>
        </is>
      </c>
      <c r="P61" s="35" t="inlineStr">
        <is>
          <t>ปี 2559</t>
        </is>
      </c>
    </row>
    <row r="62" ht="409.6" customHeight="1" s="49">
      <c r="A62" s="35" t="n">
        <v>60</v>
      </c>
      <c r="B62" s="34" t="inlineStr">
        <is>
          <t>ข้อใดถูกเกี่ยวกับยาเตรียมเคมีบำบัด</t>
        </is>
      </c>
      <c r="C62" s="35" t="n"/>
      <c r="D62" s="34" t="inlineStr">
        <is>
          <t>ห้องเตรียมควรเป็น positive pressure</t>
        </is>
      </c>
      <c r="E62" s="34" t="inlineStr">
        <is>
          <t>ลมเป่าควรเป็นแนว vertical</t>
        </is>
      </c>
      <c r="F62" s="34" t="inlineStr">
        <is>
          <t>ชุดคลุมปฏิบัติงานเมื่อใช้แล้วสามารถนำกลับมาใช้ได้จนกว่าใยผ้าจะเสื่อม</t>
        </is>
      </c>
      <c r="G62" s="34" t="inlineStr">
        <is>
          <t>ภาชนะบรรจุควรทำความสะอาดด้วย alcohol 90%</t>
        </is>
      </c>
      <c r="H62" s="34" t="inlineStr">
        <is>
          <t>การเตรียมใน laminar air flow มีความปลอดภัยมากกว่าการเตรียมใน isolator</t>
        </is>
      </c>
      <c r="I62" s="35" t="n">
        <v>1</v>
      </c>
      <c r="J62" s="34" t="inlineStr">
        <is>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2" s="35" t="n"/>
      <c r="L62" s="34" t="inlineStr">
        <is>
          <t>Spectroscopy &amp; Optical Analysis</t>
        </is>
      </c>
      <c r="M62" s="35" t="inlineStr">
        <is>
          <t>Product</t>
        </is>
      </c>
      <c r="N62" s="34" t="inlineStr">
        <is>
          <t>ข้อสอบจริง Product ปี 2559 ข้อ 12</t>
        </is>
      </c>
      <c r="O62" s="35" t="inlineStr">
        <is>
          <t>ข้อสอบจริง</t>
        </is>
      </c>
      <c r="P62" s="35" t="inlineStr">
        <is>
          <t>ปี 2559</t>
        </is>
      </c>
    </row>
    <row r="63" ht="409.6" customHeight="1" s="49">
      <c r="A63" s="35" t="n">
        <v>61</v>
      </c>
      <c r="B63" s="34" t="inlineStr">
        <is>
          <t>ยา lopinavir/ritonavir oral solution เก็บไว้ที่อุณหภูมิ 5◦C ก่อนจำหน่ายให้กับผู้ป่วย จะมี shelf-life นานเท่าใด</t>
        </is>
      </c>
      <c r="C63" s="35" t="n"/>
      <c r="D63" s="34" t="inlineStr">
        <is>
          <t>12 เดือน</t>
        </is>
      </c>
      <c r="E63" s="34" t="inlineStr">
        <is>
          <t>18 เดือน</t>
        </is>
      </c>
      <c r="F63" s="34" t="inlineStr">
        <is>
          <t>24 เดือน</t>
        </is>
      </c>
      <c r="G63" s="34" t="inlineStr">
        <is>
          <t>30 เดือน</t>
        </is>
      </c>
      <c r="H63" s="34" t="inlineStr">
        <is>
          <t>36 เดือน</t>
        </is>
      </c>
      <c r="I63" s="35" t="n">
        <v>1</v>
      </c>
      <c r="J63" s="34" t="inlineStr">
        <is>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3" s="35" t="n"/>
      <c r="L63" s="34" t="inlineStr">
        <is>
          <t>Spectroscopy &amp; Optical Analysis</t>
        </is>
      </c>
      <c r="M63" s="35" t="inlineStr">
        <is>
          <t>Product</t>
        </is>
      </c>
      <c r="N63" s="34" t="inlineStr">
        <is>
          <t>ข้อสอบจริง Product ปี 2559 ข้อ 3</t>
        </is>
      </c>
      <c r="O63" s="35" t="inlineStr">
        <is>
          <t>ข้อสอบจริง</t>
        </is>
      </c>
      <c r="P63" s="35" t="inlineStr">
        <is>
          <t>ปี 2559</t>
        </is>
      </c>
    </row>
    <row r="64" ht="409.6" customHeight="1" s="49">
      <c r="A64" s="35" t="n">
        <v>62</v>
      </c>
      <c r="B64" s="34" t="inlineStr">
        <is>
          <t>การพัฒนาระบบนำส่งยาโดยการนำ polymer มาเคลือบ pellet แล้วมาตอกอัดเป็นเม็ด เรียกว่าระบบนำส่งยาแบบใด</t>
        </is>
      </c>
      <c r="C64" s="35" t="n"/>
      <c r="D64" s="34" t="inlineStr">
        <is>
          <t>Polymer membrane permeation controlled DDS</t>
        </is>
      </c>
      <c r="E64" s="34" t="inlineStr">
        <is>
          <t>Polymer matrix diffusion controlled DDS</t>
        </is>
      </c>
      <c r="F64" s="34" t="inlineStr">
        <is>
          <t>Microreservoir partition controlled DDS</t>
        </is>
      </c>
      <c r="G64" s="34" t="inlineStr">
        <is>
          <t>Osmotic pressure activated DDS</t>
        </is>
      </c>
      <c r="H64" s="34" t="inlineStr">
        <is>
          <t>Hydrodynamic pressure activated DDS</t>
        </is>
      </c>
      <c r="I64" s="35" t="n">
        <v>1</v>
      </c>
      <c r="J64" s="34" t="inlineStr">
        <is>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4" s="35" t="n"/>
      <c r="L64" s="34" t="inlineStr">
        <is>
          <t>Spectroscopy &amp; Optical Analysis</t>
        </is>
      </c>
      <c r="M64" s="35" t="inlineStr">
        <is>
          <t>Product</t>
        </is>
      </c>
      <c r="N64" s="34" t="inlineStr">
        <is>
          <t>ข้อสอบจริง Product ปี 2559 ข้อ 8</t>
        </is>
      </c>
      <c r="O64" s="35" t="inlineStr">
        <is>
          <t>ข้อสอบจริง</t>
        </is>
      </c>
      <c r="P64" s="35" t="inlineStr">
        <is>
          <t>ปี 2559</t>
        </is>
      </c>
    </row>
    <row r="65" ht="409.6" customHeight="1" s="49">
      <c r="A65" s="35" t="n">
        <v>63</v>
      </c>
      <c r="B65" s="34" t="inlineStr">
        <is>
          <t>วิธีการทำให้ผลิตภัณฑ์วัคซีนปราศจากเชื้อ (Sterilization) ในอุตสาหกรรมยาข้อใดถูกต้อง?</t>
        </is>
      </c>
      <c r="C65" s="35" t="n"/>
      <c r="D65" s="34" t="inlineStr">
        <is>
          <t>กระบวนการผลิตแบบปลอดเชื้อ (Aseptic processing / Aseptic technique)</t>
        </is>
      </c>
      <c r="E65" s="34" t="inlineStr">
        <is>
          <t>การนึ่งฆ่าเชื้อด้วยความร้อนชื้น (Autoclave)</t>
        </is>
      </c>
      <c r="F65" s="34" t="inlineStr">
        <is>
          <t>การอบฆ่าเชื้อด้วยความร้อนแห้ง (Hot air oven)</t>
        </is>
      </c>
      <c r="G65" s="34" t="inlineStr">
        <is>
          <t>การฉายรังสีแกมมา (Gamma radiation)</t>
        </is>
      </c>
      <c r="H65" s="34" t="inlineStr">
        <is>
          <t>การรมก๊าซเอทิลีนออกไซด์ (Ethylene oxide gas)</t>
        </is>
      </c>
      <c r="I65" s="35" t="n">
        <v>1</v>
      </c>
      <c r="J65" s="34" t="inlineStr">
        <is>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5" s="35" t="n"/>
      <c r="L65" s="34" t="inlineStr">
        <is>
          <t>Spectroscopy &amp; Optical Analysis</t>
        </is>
      </c>
      <c r="M65" s="35" t="inlineStr">
        <is>
          <t>Product</t>
        </is>
      </c>
      <c r="N65" s="34" t="inlineStr">
        <is>
          <t>ข้อสอบจริง Product ปี 2558 ข้อ 9</t>
        </is>
      </c>
      <c r="O65" s="35" t="inlineStr">
        <is>
          <t>ข้อสอบจริง</t>
        </is>
      </c>
      <c r="P65" s="35" t="inlineStr">
        <is>
          <t>ปี 2558</t>
        </is>
      </c>
    </row>
    <row r="66" ht="409.6" customHeight="1" s="49">
      <c r="A66" s="35" t="n">
        <v>64</v>
      </c>
      <c r="B66" s="34" t="inlineStr">
        <is>
          <t>หัวข้อการควบคุมคุณภาพหรือทดสอบผลิตภัณฑ์ยาข้อใดต่อไปนี้ ไม่จำเป็น ต้องทำสำหรับยาเม็ด Calcium Carbonate (CaCO3)?</t>
        </is>
      </c>
      <c r="C66" s="35" t="n"/>
      <c r="D66" s="34" t="inlineStr">
        <is>
          <t>% Labeled Amount (% LA)</t>
        </is>
      </c>
      <c r="E66" s="34" t="inlineStr">
        <is>
          <t>Optical rotation (ค่าการหมุนแสงของสารเบนแสง)</t>
        </is>
      </c>
      <c r="F66" s="34" t="inlineStr">
        <is>
          <t>Weight variation</t>
        </is>
      </c>
      <c r="G66" s="34" t="inlineStr">
        <is>
          <t>Disintegration</t>
        </is>
      </c>
      <c r="H66" s="34" t="inlineStr">
        <is>
          <t>Dissolution</t>
        </is>
      </c>
      <c r="I66" s="35" t="n">
        <v>1</v>
      </c>
      <c r="J66" s="34" t="inlineStr">
        <is>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6" s="35" t="n"/>
      <c r="L66" s="34" t="inlineStr">
        <is>
          <t>Spectroscopy &amp; Optical Analysis</t>
        </is>
      </c>
      <c r="M66" s="35" t="inlineStr">
        <is>
          <t>Product</t>
        </is>
      </c>
      <c r="N66" s="34" t="inlineStr">
        <is>
          <t>ข้อสอบจริง Product ปี 2558 ข้อ 13</t>
        </is>
      </c>
      <c r="O66" s="35" t="inlineStr">
        <is>
          <t>ข้อสอบจริง</t>
        </is>
      </c>
      <c r="P66" s="35" t="inlineStr">
        <is>
          <t>ปี 2558</t>
        </is>
      </c>
    </row>
    <row r="67" ht="409.6" customHeight="1" s="49">
      <c r="A67" s="35" t="n">
        <v>65</v>
      </c>
      <c r="B67" s="34" t="inlineStr">
        <is>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is>
      </c>
      <c r="C67" s="35" t="n"/>
      <c r="D67" s="34" t="inlineStr">
        <is>
          <t>การกรองผ่านแผ่นกรองเมมเบรนขนาด 0.22 ไมครอน (Membrane filtration 0.22 µm)</t>
        </is>
      </c>
      <c r="E67" s="34" t="inlineStr">
        <is>
          <t>Terminal sterilization ด้วย Autoclave</t>
        </is>
      </c>
      <c r="F67" s="34" t="inlineStr">
        <is>
          <t>การฉายรังสีแกมมา (Gamma radiation)</t>
        </is>
      </c>
      <c r="G67" s="34" t="inlineStr">
        <is>
          <t>การอบฆ่าเชื้อด้วยลมร้อน (Hot air oven)</t>
        </is>
      </c>
      <c r="H67" s="34" t="inlineStr">
        <is>
          <t>การอบฆ่าเชื้อด้วยก๊าซเอทิลีนออกไซด์ (Ethylene oxide)</t>
        </is>
      </c>
      <c r="I67" s="35" t="n">
        <v>1</v>
      </c>
      <c r="J67" s="34" t="inlineStr">
        <is>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7" s="35" t="n"/>
      <c r="L67" s="34" t="inlineStr">
        <is>
          <t>Spectroscopy &amp; Optical Analysis</t>
        </is>
      </c>
      <c r="M67" s="35" t="inlineStr">
        <is>
          <t>Product</t>
        </is>
      </c>
      <c r="N67" s="34" t="inlineStr">
        <is>
          <t>ข้อสอบจริง Product ปี 2558 ข้อ 14</t>
        </is>
      </c>
      <c r="O67" s="35" t="inlineStr">
        <is>
          <t>ข้อสอบจริง</t>
        </is>
      </c>
      <c r="P67" s="35" t="inlineStr">
        <is>
          <t>ปี 2558</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126"/>
  <sheetViews>
    <sheetView workbookViewId="0">
      <pane ySplit="2" topLeftCell="A3" activePane="bottomLeft" state="frozen"/>
      <selection pane="bottomLeft" activeCell="B4" sqref="B4"/>
    </sheetView>
  </sheetViews>
  <sheetFormatPr baseColWidth="8" defaultColWidth="12.6640625" defaultRowHeight="15.75" customHeight="1"/>
  <cols>
    <col width="36.77734375" customWidth="1" style="49" min="2" max="2"/>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8" t="inlineStr">
        <is>
          <t>1</t>
        </is>
      </c>
      <c r="B3" s="2" t="inlineStr">
        <is>
          <t>ข้อใดกล่าวไม่ถูกต้องเกี่ยวกับการเรียกเก็บยาคืนตามเกณฑ์ของ GMP</t>
        </is>
      </c>
      <c r="C3" s="2" t="n"/>
      <c r="D3" s="2" t="inlineStr">
        <is>
          <t>มีแผนกเรียกเก็บยาคืน</t>
        </is>
      </c>
      <c r="E3" s="2" t="inlineStr">
        <is>
          <t>ยาที่มีปัญหาระดับ 1 ต้องเรียกคืนทันที</t>
        </is>
      </c>
      <c r="F3" s="2" t="inlineStr">
        <is>
          <t>ต้องเก็บสินค้าออกจากท้องตลาดได้เลยทันที</t>
        </is>
      </c>
      <c r="G3" s="2" t="inlineStr">
        <is>
          <t>ต้องรายงานองค์การอาหารและยาภายใน 15 วัน</t>
        </is>
      </c>
      <c r="H3" s="2" t="inlineStr">
        <is>
          <t>การเรียกเก็บยาคืนเป็นหน้าที่ของฝ่ายการตลาดและฝ่ายขาย</t>
        </is>
      </c>
      <c r="I3" s="8" t="inlineStr">
        <is>
          <t>5</t>
        </is>
      </c>
      <c r="J3" s="2"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2" t="n"/>
      <c r="L3" s="2" t="inlineStr">
        <is>
          <t>GMP Regulations</t>
        </is>
      </c>
      <c r="M3" s="2" t="inlineStr">
        <is>
          <t>Product</t>
        </is>
      </c>
      <c r="N3" s="2" t="inlineStr">
        <is>
          <t>ข้อสอบเก่า 2561 ข้อ 18</t>
        </is>
      </c>
      <c r="O3" s="2" t="inlineStr">
        <is>
          <t>ข้อสอบเก่า</t>
        </is>
      </c>
      <c r="P3" s="8" t="inlineStr">
        <is>
          <t>2561</t>
        </is>
      </c>
      <c r="Q3" s="2" t="n"/>
      <c r="R3" s="2" t="n"/>
      <c r="S3" s="2" t="n"/>
      <c r="T3" s="2" t="n"/>
      <c r="U3" s="2" t="n"/>
    </row>
    <row r="4" ht="13.2" customHeight="1" s="49">
      <c r="A4" s="8" t="inlineStr">
        <is>
          <t>2</t>
        </is>
      </c>
      <c r="B4" s="2"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2" t="n"/>
      <c r="D4" s="2" t="inlineStr">
        <is>
          <t>25°C ± 2°C / 60% ± 5% RH</t>
        </is>
      </c>
      <c r="E4" s="2" t="inlineStr">
        <is>
          <t>30°C ± 2°C / 65% ± 5% RH</t>
        </is>
      </c>
      <c r="F4" s="2" t="inlineStr">
        <is>
          <t>40°C ± 2°C / 75% ± 5% RH</t>
        </is>
      </c>
      <c r="G4" s="2" t="inlineStr">
        <is>
          <t>30°C ± 2°C / 75% ± 5% RH</t>
        </is>
      </c>
      <c r="H4" s="2" t="inlineStr">
        <is>
          <t>25°C ± 2°C / 75% ± 5% RH</t>
        </is>
      </c>
      <c r="I4" s="8" t="inlineStr">
        <is>
          <t>4</t>
        </is>
      </c>
      <c r="J4" s="2"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2" t="n"/>
      <c r="L4" s="2" t="inlineStr">
        <is>
          <t>Stability Testing</t>
        </is>
      </c>
      <c r="M4" s="2" t="inlineStr">
        <is>
          <t>Product</t>
        </is>
      </c>
      <c r="N4" s="2" t="inlineStr">
        <is>
          <t>ข้อสอบเก่า 2561 ข้อ 44</t>
        </is>
      </c>
      <c r="O4" s="2" t="inlineStr">
        <is>
          <t>ข้อสอบเก่า</t>
        </is>
      </c>
      <c r="P4" s="8" t="inlineStr">
        <is>
          <t>2561</t>
        </is>
      </c>
      <c r="Q4" s="2" t="n"/>
      <c r="R4" s="2" t="n"/>
      <c r="S4" s="2" t="n"/>
      <c r="T4" s="2" t="n"/>
      <c r="U4" s="2" t="n"/>
    </row>
    <row r="5" ht="13.2" customHeight="1" s="49">
      <c r="A5" s="8" t="inlineStr">
        <is>
          <t>3</t>
        </is>
      </c>
      <c r="B5" s="2" t="inlineStr">
        <is>
          <t>ข้อใดถูกต้องเกี่ยวกับการจัดเตรียมยาเคมีบำบัด (Cytotoxic preparation) เพื่อความปลอดภัยตามมาตรฐานสากล</t>
        </is>
      </c>
      <c r="C5" s="2" t="n"/>
      <c r="D5" s="2" t="inlineStr">
        <is>
          <t>ห้องเตรียมควรเป็น positive pressure เมื่อเทียบกับห้องภายนอก</t>
        </is>
      </c>
      <c r="E5" s="2" t="inlineStr">
        <is>
          <t>ลมเป่าควรเป็นแนว vertical ภายใน Biological Safety Cabinet</t>
        </is>
      </c>
      <c r="F5" s="2" t="inlineStr">
        <is>
          <t>ชุดคลุมปฏิบัติงานเมื่อใช้แล้วสามารถนำกลับมาใช้ซ้ำได้จนกว่าใยผ้าจะเสื่อม</t>
        </is>
      </c>
      <c r="G5" s="2" t="inlineStr">
        <is>
          <t>ภาชนะบรรจุควรทำความสะอาดด้วย alcohol 90%</t>
        </is>
      </c>
      <c r="H5" s="2" t="inlineStr">
        <is>
          <t>การเตรียมใน laminar air flow มีความปลอดภัยมากกว่าการเตรียมใน isolator</t>
        </is>
      </c>
      <c r="I5" s="8" t="inlineStr">
        <is>
          <t>2</t>
        </is>
      </c>
      <c r="J5" s="2"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2" t="n"/>
      <c r="L5" s="2" t="inlineStr">
        <is>
          <t>Sterile Compounding &amp; Safety</t>
        </is>
      </c>
      <c r="M5" s="2" t="inlineStr">
        <is>
          <t>Product</t>
        </is>
      </c>
      <c r="N5" s="2" t="inlineStr">
        <is>
          <t>ข้อสอบเตรียมสอบเภสัช</t>
        </is>
      </c>
      <c r="O5" s="2" t="inlineStr">
        <is>
          <t>แบบฝึกหัด</t>
        </is>
      </c>
      <c r="P5" s="2" t="inlineStr">
        <is>
          <t>RxCU</t>
        </is>
      </c>
      <c r="Q5" s="2" t="n"/>
      <c r="R5" s="2" t="n"/>
      <c r="S5" s="2" t="n"/>
      <c r="T5" s="2" t="n"/>
      <c r="U5" s="2" t="n"/>
    </row>
    <row r="6" ht="13.2" customHeight="1" s="49">
      <c r="A6" s="8" t="inlineStr">
        <is>
          <t>4</t>
        </is>
      </c>
      <c r="B6" s="2" t="inlineStr">
        <is>
          <t>จากโครงสร้างทางเคมี L-dopa ถูกเปลี่ยนเป็น dopamine ในร่างกายด้วยปฏิกิริยาใด</t>
        </is>
      </c>
      <c r="C6" s="2" t="n"/>
      <c r="D6" s="2" t="inlineStr">
        <is>
          <t>Decarboxylation</t>
        </is>
      </c>
      <c r="E6" s="2" t="inlineStr">
        <is>
          <t>Demethylation</t>
        </is>
      </c>
      <c r="F6" s="2" t="inlineStr">
        <is>
          <t>Deamination</t>
        </is>
      </c>
      <c r="G6" s="2" t="inlineStr">
        <is>
          <t>Hydrolysis</t>
        </is>
      </c>
      <c r="H6" s="2" t="inlineStr">
        <is>
          <t>Oxidation</t>
        </is>
      </c>
      <c r="I6" s="8" t="inlineStr">
        <is>
          <t>1</t>
        </is>
      </c>
      <c r="J6" s="2"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2" t="n"/>
      <c r="L6" s="2" t="inlineStr">
        <is>
          <t>Preformulation &amp; Medicinal Chemistry</t>
        </is>
      </c>
      <c r="M6" s="2" t="inlineStr">
        <is>
          <t>Product</t>
        </is>
      </c>
      <c r="N6" s="2" t="inlineStr">
        <is>
          <t>ข้อสอบเตรียมสอบเภสัช</t>
        </is>
      </c>
      <c r="O6" s="2" t="inlineStr">
        <is>
          <t>แบบฝึกหัด</t>
        </is>
      </c>
      <c r="P6" s="2" t="inlineStr">
        <is>
          <t>RxCU</t>
        </is>
      </c>
      <c r="Q6" s="2" t="n"/>
      <c r="R6" s="2" t="n"/>
      <c r="S6" s="2" t="n"/>
      <c r="T6" s="2" t="n"/>
      <c r="U6" s="2" t="n"/>
    </row>
    <row r="7" ht="13.2" customHeight="1" s="49">
      <c r="A7" s="8" t="inlineStr">
        <is>
          <t>5</t>
        </is>
      </c>
      <c r="B7" s="2"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2" t="n"/>
      <c r="D7" s="2" t="inlineStr">
        <is>
          <t>Accuracy</t>
        </is>
      </c>
      <c r="E7" s="2" t="inlineStr">
        <is>
          <t>Precision</t>
        </is>
      </c>
      <c r="F7" s="2" t="inlineStr">
        <is>
          <t>Specificity</t>
        </is>
      </c>
      <c r="G7" s="2" t="inlineStr">
        <is>
          <t>Limit of Detection (LOD)</t>
        </is>
      </c>
      <c r="H7" s="2" t="inlineStr">
        <is>
          <t>Limit of Quantitation (LOQ)</t>
        </is>
      </c>
      <c r="I7" s="8" t="inlineStr">
        <is>
          <t>4</t>
        </is>
      </c>
      <c r="J7" s="2"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2" t="n"/>
      <c r="L7" s="2" t="inlineStr">
        <is>
          <t>Method Validation &amp; Quality Control</t>
        </is>
      </c>
      <c r="M7" s="2" t="inlineStr">
        <is>
          <t>Product</t>
        </is>
      </c>
      <c r="N7" s="2" t="inlineStr">
        <is>
          <t>ข้อสอบเก่า 2562 / 2564</t>
        </is>
      </c>
      <c r="O7" s="2" t="inlineStr">
        <is>
          <t>ข้อสอบเก่า</t>
        </is>
      </c>
      <c r="P7" s="8" t="inlineStr">
        <is>
          <t>2562</t>
        </is>
      </c>
      <c r="Q7" s="2" t="n"/>
      <c r="R7" s="2" t="n"/>
      <c r="S7" s="2" t="n"/>
      <c r="T7" s="2" t="n"/>
      <c r="U7" s="2" t="n"/>
    </row>
    <row r="8" ht="13.2" customHeight="1" s="49">
      <c r="A8" s="8" t="inlineStr">
        <is>
          <t>6</t>
        </is>
      </c>
      <c r="B8" s="2"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2" t="n"/>
      <c r="D8" s="2" t="inlineStr">
        <is>
          <t>Wet granulation โดยใช้ starch paste เป็น binder</t>
        </is>
      </c>
      <c r="E8" s="2" t="inlineStr">
        <is>
          <t>Direct compression (การตอกตรง)</t>
        </is>
      </c>
      <c r="F8" s="2" t="inlineStr">
        <is>
          <t>Dry granulation ด้วยเครื่อง roller compactor</t>
        </is>
      </c>
      <c r="G8" s="2" t="inlineStr">
        <is>
          <t>Wet granulation ด้วย organic solvent</t>
        </is>
      </c>
      <c r="H8" s="2" t="inlineStr">
        <is>
          <t>Fluidized bed wet granulation</t>
        </is>
      </c>
      <c r="I8" s="8" t="inlineStr">
        <is>
          <t>2</t>
        </is>
      </c>
      <c r="J8" s="2"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2" t="n"/>
      <c r="L8" s="2" t="inlineStr">
        <is>
          <t>Preformulation &amp; Formulation Design</t>
        </is>
      </c>
      <c r="M8" s="2" t="inlineStr">
        <is>
          <t>Product</t>
        </is>
      </c>
      <c r="N8" s="2" t="inlineStr">
        <is>
          <t>ข้อสอบเก่า 2561 ข้อ 30 / 2564 ข้อ 131</t>
        </is>
      </c>
      <c r="O8" s="2" t="inlineStr">
        <is>
          <t>ข้อสอบเก่า</t>
        </is>
      </c>
      <c r="P8" s="8" t="inlineStr">
        <is>
          <t>2561</t>
        </is>
      </c>
      <c r="Q8" s="2" t="n"/>
      <c r="R8" s="2" t="n"/>
      <c r="S8" s="2" t="n"/>
      <c r="T8" s="2" t="n"/>
      <c r="U8" s="2" t="n"/>
    </row>
    <row r="9" ht="13.2" customHeight="1" s="49">
      <c r="A9" s="8" t="inlineStr">
        <is>
          <t>7</t>
        </is>
      </c>
      <c r="B9" s="2"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2" t="n"/>
      <c r="D9" s="2" t="inlineStr">
        <is>
          <t>Newtonian flow</t>
        </is>
      </c>
      <c r="E9" s="2" t="inlineStr">
        <is>
          <t>Dilatant flow</t>
        </is>
      </c>
      <c r="F9" s="2" t="inlineStr">
        <is>
          <t>Pseudoplastic flow</t>
        </is>
      </c>
      <c r="G9" s="2" t="inlineStr">
        <is>
          <t>Plastic flow</t>
        </is>
      </c>
      <c r="H9" s="2" t="inlineStr">
        <is>
          <t>Rheopectic flow</t>
        </is>
      </c>
      <c r="I9" s="8" t="inlineStr">
        <is>
          <t>3</t>
        </is>
      </c>
      <c r="J9" s="2"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2" t="n"/>
      <c r="L9" s="2" t="inlineStr">
        <is>
          <t>Preformulation &amp; Rheology</t>
        </is>
      </c>
      <c r="M9" s="2" t="inlineStr">
        <is>
          <t>Product</t>
        </is>
      </c>
      <c r="N9" s="2" t="inlineStr">
        <is>
          <t>ข้อสอบเตรียมสอบเภสัช</t>
        </is>
      </c>
      <c r="O9" s="2" t="inlineStr">
        <is>
          <t>แบบฝึกหัด</t>
        </is>
      </c>
      <c r="P9" s="2" t="inlineStr">
        <is>
          <t>RxCU</t>
        </is>
      </c>
      <c r="Q9" s="2" t="n"/>
      <c r="R9" s="2" t="n"/>
      <c r="S9" s="2" t="n"/>
      <c r="T9" s="2" t="n"/>
      <c r="U9" s="2" t="n"/>
    </row>
    <row r="10" ht="13.2" customHeight="1" s="49">
      <c r="A10" s="8" t="inlineStr">
        <is>
          <t>8</t>
        </is>
      </c>
      <c r="B10" s="2"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2" t="n"/>
      <c r="D10" s="2" t="inlineStr">
        <is>
          <t>Hydroxypropyl methylcellulose (HPMC)</t>
        </is>
      </c>
      <c r="E10" s="2" t="inlineStr">
        <is>
          <t>Ethyl cellulose (EC)</t>
        </is>
      </c>
      <c r="F10" s="2" t="inlineStr">
        <is>
          <t>Polyethylene glycol (PEG)</t>
        </is>
      </c>
      <c r="G10" s="2" t="inlineStr">
        <is>
          <t>Hydroxypropyl methylcellulose phthalate (HPMCP)</t>
        </is>
      </c>
      <c r="H10" s="2" t="inlineStr">
        <is>
          <t>Povidone (PVP)</t>
        </is>
      </c>
      <c r="I10" s="8" t="inlineStr">
        <is>
          <t>4</t>
        </is>
      </c>
      <c r="J10" s="2"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2" t="n"/>
      <c r="L10" s="2" t="inlineStr">
        <is>
          <t>Preformulation &amp; Polymer Coating</t>
        </is>
      </c>
      <c r="M10" s="2" t="inlineStr">
        <is>
          <t>Product</t>
        </is>
      </c>
      <c r="N10" s="2" t="inlineStr">
        <is>
          <t>ข้อสอบเก่า 2562 / 2566</t>
        </is>
      </c>
      <c r="O10" s="2" t="inlineStr">
        <is>
          <t>ข้อสอบเก่า</t>
        </is>
      </c>
      <c r="P10" s="8" t="inlineStr">
        <is>
          <t>2562</t>
        </is>
      </c>
      <c r="Q10" s="2" t="n"/>
      <c r="R10" s="2" t="n"/>
      <c r="S10" s="2" t="n"/>
      <c r="T10" s="2" t="n"/>
      <c r="U10" s="2" t="n"/>
    </row>
    <row r="11" ht="13.2" customHeight="1" s="49">
      <c r="A11" s="8" t="inlineStr">
        <is>
          <t>9</t>
        </is>
      </c>
      <c r="B11" s="2"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2" t="n"/>
      <c r="D11" s="2" t="inlineStr">
        <is>
          <t>Croscarmellose sodium</t>
        </is>
      </c>
      <c r="E11" s="2" t="inlineStr">
        <is>
          <t>Talcum</t>
        </is>
      </c>
      <c r="F11" s="2" t="inlineStr">
        <is>
          <t>Povidone K30</t>
        </is>
      </c>
      <c r="G11" s="2" t="inlineStr">
        <is>
          <t>Gelatin</t>
        </is>
      </c>
      <c r="H11" s="2" t="inlineStr">
        <is>
          <t>Methyl cellulose</t>
        </is>
      </c>
      <c r="I11" s="8" t="inlineStr">
        <is>
          <t>1</t>
        </is>
      </c>
      <c r="J11" s="2"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2" t="n"/>
      <c r="L11" s="2" t="inlineStr">
        <is>
          <t>Preformulation &amp; Excipients</t>
        </is>
      </c>
      <c r="M11" s="2" t="inlineStr">
        <is>
          <t>Product</t>
        </is>
      </c>
      <c r="N11" s="2" t="inlineStr">
        <is>
          <t>ข้อสอบเก่า 2561 ข้อ 108 / 2567 ข้อ 15</t>
        </is>
      </c>
      <c r="O11" s="2" t="inlineStr">
        <is>
          <t>ข้อสอบเก่า</t>
        </is>
      </c>
      <c r="P11" s="8" t="inlineStr">
        <is>
          <t>2561</t>
        </is>
      </c>
      <c r="Q11" s="2" t="n"/>
      <c r="R11" s="2" t="n"/>
      <c r="S11" s="2" t="n"/>
      <c r="T11" s="2" t="n"/>
      <c r="U11" s="2" t="n"/>
    </row>
    <row r="12" ht="13.2" customHeight="1" s="49">
      <c r="A12" s="8" t="inlineStr">
        <is>
          <t>10</t>
        </is>
      </c>
      <c r="B12" s="2"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2" t="n"/>
      <c r="D12" s="2" t="inlineStr">
        <is>
          <t>Grade A ทั้งในจุดสัมผัสยาและสภาพแวดล้อมพื้นหลัง</t>
        </is>
      </c>
      <c r="E12" s="2" t="inlineStr">
        <is>
          <t>Grade D สำหรับทั้งกระบวนการเตรียมและบรรจุ</t>
        </is>
      </c>
      <c r="F12" s="2" t="inlineStr">
        <is>
          <t>Grade C สำหรับทั้งกระบวนการเตรียมและบรรจุ</t>
        </is>
      </c>
      <c r="G12" s="2" t="inlineStr">
        <is>
          <t>Grade A ในจุดสัมผัสยา โดยมีสภาพแวดล้อมพื้นหลังเป็น Grade B</t>
        </is>
      </c>
      <c r="H12" s="2" t="inlineStr">
        <is>
          <t>Grade B ในจุดสัมผัสยา โดยมีสภาพแวดล้อมพื้นหลังเป็น Grade C</t>
        </is>
      </c>
      <c r="I12" s="8" t="inlineStr">
        <is>
          <t>4</t>
        </is>
      </c>
      <c r="J12" s="2"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2" t="n"/>
      <c r="L12" s="2" t="inlineStr">
        <is>
          <t>GMP PIC/S &amp; Sterile Manufacturing</t>
        </is>
      </c>
      <c r="M12" s="2" t="inlineStr">
        <is>
          <t>Product</t>
        </is>
      </c>
      <c r="N12" s="2" t="inlineStr">
        <is>
          <t>ข้อสอบเก่า 2566 Day 2 ข้อ 97</t>
        </is>
      </c>
      <c r="O12" s="2" t="inlineStr">
        <is>
          <t>ข้อสอบเก่า</t>
        </is>
      </c>
      <c r="P12" s="8" t="inlineStr">
        <is>
          <t>2566</t>
        </is>
      </c>
      <c r="Q12" s="2" t="n"/>
      <c r="R12" s="2" t="n"/>
      <c r="S12" s="2" t="n"/>
      <c r="T12" s="2" t="n"/>
      <c r="U12" s="2" t="n"/>
    </row>
    <row r="13" ht="13.2" customHeight="1" s="49">
      <c r="A13" s="8" t="inlineStr">
        <is>
          <t>11</t>
        </is>
      </c>
      <c r="B13" s="2"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2" t="n"/>
      <c r="D13" s="2" t="inlineStr">
        <is>
          <t>ผลิตในอาคารเดียวกันได้โดยใช้วิธีสลับรอบการผลิต (Campaign production)</t>
        </is>
      </c>
      <c r="E13" s="2" t="inlineStr">
        <is>
          <t>แยกอาคารผลิตแต่สามารถเชื่อมต่อระบบปรับอากาศ (HVAC) และระบบน้ำร่วมกันได้</t>
        </is>
      </c>
      <c r="F13" s="2" t="inlineStr">
        <is>
          <t>ต้องแยกอาคารผลิตและแยกระบบสาธารณูปโภค (HVAC/Water) โดยเด็ดขาด</t>
        </is>
      </c>
      <c r="G13" s="2" t="inlineStr">
        <is>
          <t>สามารถผลิตในห้องร่วมกับยาอื่นได้หากติดตั้ง HEPA filter ประจำเครื่องจักร</t>
        </is>
      </c>
      <c r="H13" s="2" t="inlineStr">
        <is>
          <t>ผลิตร่วมกับผลิตภัณฑ์อื่นได้หากผ่านการทดสอบ Cleaning validation อย่างเข้มงวด</t>
        </is>
      </c>
      <c r="I13" s="8" t="inlineStr">
        <is>
          <t>3</t>
        </is>
      </c>
      <c r="J13" s="2"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2" t="n"/>
      <c r="L13" s="2" t="inlineStr">
        <is>
          <t>GMP Facility Design &amp; Cross-Contamination</t>
        </is>
      </c>
      <c r="M13" s="2" t="inlineStr">
        <is>
          <t>Product</t>
        </is>
      </c>
      <c r="N13" s="2" t="inlineStr">
        <is>
          <t>ข้อสอบเก่า 2566 Day 2 ข้อ 76</t>
        </is>
      </c>
      <c r="O13" s="2" t="inlineStr">
        <is>
          <t>ข้อสอบเก่า</t>
        </is>
      </c>
      <c r="P13" s="8" t="inlineStr">
        <is>
          <t>2566</t>
        </is>
      </c>
      <c r="Q13" s="2" t="n"/>
      <c r="R13" s="2" t="n"/>
      <c r="S13" s="2" t="n"/>
      <c r="T13" s="2" t="n"/>
      <c r="U13" s="2" t="n"/>
    </row>
    <row r="14" ht="13.2" customHeight="1" s="49">
      <c r="A14" s="35" t="n">
        <v>12</v>
      </c>
      <c r="B14" s="34" t="inlineStr">
        <is>
          <t>จากตำรับน้ำตาเทียม (จำไม่ได้) หากไม่มี Hydroxypropyl-guar สามารถใช้สารในข้อใดทำน้าที่แทนได้</t>
        </is>
      </c>
      <c r="C14" s="35" t="n"/>
      <c r="D14" s="34" t="inlineStr">
        <is>
          <t>ethyl cellulose</t>
        </is>
      </c>
      <c r="E14" s="34" t="inlineStr">
        <is>
          <t>Cellulose acetate</t>
        </is>
      </c>
      <c r="F14" s="34" t="inlineStr">
        <is>
          <t>Polysorbate 80</t>
        </is>
      </c>
      <c r="G14" s="34" t="inlineStr">
        <is>
          <t>Sorbitol</t>
        </is>
      </c>
      <c r="H14" s="34" t="inlineStr">
        <is>
          <t>PVA</t>
        </is>
      </c>
      <c r="I14" s="35" t="n">
        <v>1</v>
      </c>
      <c r="J14" s="34" t="inlineStr">
        <is>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4" s="35" t="n"/>
      <c r="L14" s="34" t="inlineStr">
        <is>
          <t>Pharmaceutical Technology General</t>
        </is>
      </c>
      <c r="M14" s="35" t="inlineStr">
        <is>
          <t>Product</t>
        </is>
      </c>
      <c r="N14" s="34" t="inlineStr">
        <is>
          <t>ข้อสอบจริง Product ปี 2567 ข้อ 6</t>
        </is>
      </c>
      <c r="O14" s="35" t="inlineStr">
        <is>
          <t>ข้อสอบจริง</t>
        </is>
      </c>
      <c r="P14" s="35" t="inlineStr">
        <is>
          <t>ปี 2567</t>
        </is>
      </c>
      <c r="Q14" s="2" t="n"/>
      <c r="R14" s="2" t="n"/>
      <c r="S14" s="2" t="n"/>
      <c r="T14" s="2" t="n"/>
      <c r="U14" s="2" t="n"/>
    </row>
    <row r="15" ht="13.2" customHeight="1" s="49">
      <c r="A15" s="35" t="n">
        <v>13</v>
      </c>
      <c r="B15" s="34" t="inlineStr">
        <is>
          <t>Ferrous Sulfate \ 7H2O หาน้ำในตำรับต้องใช้วิธีทดสอบใด</t>
        </is>
      </c>
      <c r="C15" s="35" t="n"/>
      <c r="D15" s="34" t="inlineStr">
        <is>
          <t>KARL FISHER</t>
        </is>
      </c>
      <c r="E15" s="34" t="inlineStr">
        <is>
          <t>Loss on drying</t>
        </is>
      </c>
      <c r="F15" s="34" t="n"/>
      <c r="G15" s="34" t="n"/>
      <c r="H15" s="34" t="n"/>
      <c r="I15" s="35" t="n">
        <v>1</v>
      </c>
      <c r="J15" s="34" t="inlineStr">
        <is>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5" s="35" t="n"/>
      <c r="L15" s="34" t="inlineStr">
        <is>
          <t>Pharmaceutical Technology General</t>
        </is>
      </c>
      <c r="M15" s="35" t="inlineStr">
        <is>
          <t>Product</t>
        </is>
      </c>
      <c r="N15" s="34" t="inlineStr">
        <is>
          <t>ข้อสอบจริง Product ปี 2567 ข้อ 7</t>
        </is>
      </c>
      <c r="O15" s="35" t="inlineStr">
        <is>
          <t>ข้อสอบจริง</t>
        </is>
      </c>
      <c r="P15" s="35" t="inlineStr">
        <is>
          <t>ปี 2567</t>
        </is>
      </c>
      <c r="Q15" s="2" t="n"/>
      <c r="R15" s="2" t="n"/>
      <c r="S15" s="2" t="n"/>
      <c r="T15" s="2" t="n"/>
      <c r="U15" s="2" t="n"/>
    </row>
    <row r="16" ht="13.2" customHeight="1" s="49">
      <c r="A16" s="35" t="n">
        <v>14</v>
      </c>
      <c r="B16" s="34" t="inlineStr">
        <is>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t>
        </is>
      </c>
      <c r="C16" s="35" t="inlineStr">
        <is>
          <t>[แนบรูป: ข้อสอบ Product ปี 2567 รหัสรูปภาพ image2]</t>
        </is>
      </c>
      <c r="D16" s="34" t="inlineStr">
        <is>
          <t>3.59</t>
        </is>
      </c>
      <c r="E16" s="34" t="inlineStr">
        <is>
          <t>3.33</t>
        </is>
      </c>
      <c r="F16" s="34" t="inlineStr">
        <is>
          <t>0.28</t>
        </is>
      </c>
      <c r="G16" s="34" t="inlineStr">
        <is>
          <t>2.69</t>
        </is>
      </c>
      <c r="H16" s="34" t="inlineStr">
        <is>
          <t>0.3</t>
        </is>
      </c>
      <c r="I16" s="35" t="n">
        <v>1</v>
      </c>
      <c r="J16" s="34" t="inlineStr">
        <is>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6" s="35" t="n"/>
      <c r="L16" s="34" t="inlineStr">
        <is>
          <t>Pharmaceutical Technology General</t>
        </is>
      </c>
      <c r="M16" s="35" t="inlineStr">
        <is>
          <t>Product</t>
        </is>
      </c>
      <c r="N16" s="34" t="inlineStr">
        <is>
          <t>ข้อสอบจริง Product ปี 2567 ข้อ 9</t>
        </is>
      </c>
      <c r="O16" s="35" t="inlineStr">
        <is>
          <t>ข้อสอบจริง</t>
        </is>
      </c>
      <c r="P16" s="35" t="inlineStr">
        <is>
          <t>ปี 2567</t>
        </is>
      </c>
      <c r="Q16" s="2" t="n"/>
      <c r="R16" s="2" t="n"/>
      <c r="S16" s="2" t="n"/>
      <c r="T16" s="2" t="n"/>
      <c r="U16" s="2" t="n"/>
    </row>
    <row r="17" ht="13.2" customHeight="1" s="49">
      <c r="A17" s="35" t="n">
        <v>15</v>
      </c>
      <c r="B17" s="34" t="inlineStr">
        <is>
          <t>ข้อใดเป็นการเพิ่มความยืดหยุ่นใน nicotine gum</t>
        </is>
      </c>
      <c r="C17" s="35" t="n"/>
      <c r="D17" s="34" t="inlineStr">
        <is>
          <t>Sodium sulfate</t>
        </is>
      </c>
      <c r="E17" s="34" t="inlineStr">
        <is>
          <t>Glycerin</t>
        </is>
      </c>
      <c r="F17" s="34" t="inlineStr">
        <is>
          <t>Sorbitol</t>
        </is>
      </c>
      <c r="G17" s="34" t="inlineStr">
        <is>
          <t>Aspartame</t>
        </is>
      </c>
      <c r="H17" s="34" t="inlineStr">
        <is>
          <t>Polacrilex (cation exchange resin)</t>
        </is>
      </c>
      <c r="I17" s="35" t="n">
        <v>1</v>
      </c>
      <c r="J17" s="34" t="inlineStr">
        <is>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7" s="35" t="n"/>
      <c r="L17" s="34" t="inlineStr">
        <is>
          <t>Pharmaceutical Technology General</t>
        </is>
      </c>
      <c r="M17" s="35" t="inlineStr">
        <is>
          <t>Product</t>
        </is>
      </c>
      <c r="N17" s="34" t="inlineStr">
        <is>
          <t>ข้อสอบจริง Product ปี 2567 ข้อ 16</t>
        </is>
      </c>
      <c r="O17" s="35" t="inlineStr">
        <is>
          <t>ข้อสอบจริง</t>
        </is>
      </c>
      <c r="P17" s="35" t="inlineStr">
        <is>
          <t>ปี 2567</t>
        </is>
      </c>
      <c r="Q17" s="2" t="n"/>
      <c r="R17" s="2" t="n"/>
      <c r="S17" s="2" t="n"/>
      <c r="T17" s="2" t="n"/>
      <c r="U17" s="2" t="n"/>
    </row>
    <row r="18" ht="409.6" customHeight="1" s="49">
      <c r="A18" s="35" t="n">
        <v>16</v>
      </c>
      <c r="B18" s="34" t="inlineStr">
        <is>
          <t>แพทย์สอบถามเกี่ยกับการใช้ยา methimazole ในหญิงตั้งครรภ์ ถ้าไปสืบค้นโดยใช้ Micromedex, comp ถามว่าเป็นแหล่งข้อมูลแบบใด</t>
        </is>
      </c>
      <c r="C18" s="35" t="n"/>
      <c r="D18" s="34" t="inlineStr">
        <is>
          <t>Secondary resources</t>
        </is>
      </c>
      <c r="E18" s="34" t="inlineStr">
        <is>
          <t>Primary resources</t>
        </is>
      </c>
      <c r="F18" s="34" t="inlineStr">
        <is>
          <t>Secondary และ tertiary</t>
        </is>
      </c>
      <c r="G18" s="34" t="inlineStr">
        <is>
          <t>Tertiary resources</t>
        </is>
      </c>
      <c r="H18" s="34" t="inlineStr">
        <is>
          <t>Primary และ secondary</t>
        </is>
      </c>
      <c r="I18" s="35" t="n">
        <v>1</v>
      </c>
      <c r="J18" s="34" t="inlineStr">
        <is>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8" s="35" t="n"/>
      <c r="L18" s="34" t="inlineStr">
        <is>
          <t>Pharmaceutical Technology General</t>
        </is>
      </c>
      <c r="M18" s="35" t="inlineStr">
        <is>
          <t>Product</t>
        </is>
      </c>
      <c r="N18" s="34" t="inlineStr">
        <is>
          <t>ข้อสอบจริง Product ปี 2567 ข้อ 20</t>
        </is>
      </c>
      <c r="O18" s="35" t="inlineStr">
        <is>
          <t>ข้อสอบจริง</t>
        </is>
      </c>
      <c r="P18" s="35" t="inlineStr">
        <is>
          <t>ปี 2567</t>
        </is>
      </c>
    </row>
    <row r="19" ht="409.6" customHeight="1" s="49">
      <c r="A19" s="35" t="n">
        <v>17</v>
      </c>
      <c r="B19" s="34" t="inlineStr">
        <is>
          <t>ถ้าอยากป้องกันไม่ให้ความชื้นออกจากผิว (occlusive) ต้องเติมสารใด</t>
        </is>
      </c>
      <c r="C19" s="35" t="n"/>
      <c r="D19" s="34" t="inlineStr">
        <is>
          <t>Glycerin</t>
        </is>
      </c>
      <c r="E19" s="34" t="inlineStr">
        <is>
          <t>Sorbitol</t>
        </is>
      </c>
      <c r="F19" s="34" t="inlineStr">
        <is>
          <t>White paraffin</t>
        </is>
      </c>
      <c r="G19" s="34" t="inlineStr">
        <is>
          <t>hyaluronic acid</t>
        </is>
      </c>
      <c r="H19" s="34" t="inlineStr">
        <is>
          <t>niacinamide</t>
        </is>
      </c>
      <c r="I19" s="35" t="n">
        <v>1</v>
      </c>
      <c r="J19" s="34" t="inlineStr">
        <is>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9" s="35" t="n"/>
      <c r="L19" s="34" t="inlineStr">
        <is>
          <t>Pharmaceutical Technology General</t>
        </is>
      </c>
      <c r="M19" s="35" t="inlineStr">
        <is>
          <t>Product</t>
        </is>
      </c>
      <c r="N19" s="34" t="inlineStr">
        <is>
          <t>ข้อสอบจริง Product ปี 2567 ข้อ 26</t>
        </is>
      </c>
      <c r="O19" s="35" t="inlineStr">
        <is>
          <t>ข้อสอบจริง</t>
        </is>
      </c>
      <c r="P19" s="35" t="inlineStr">
        <is>
          <t>ปี 2567</t>
        </is>
      </c>
    </row>
    <row r="20" ht="409.6" customHeight="1" s="49">
      <c r="A20" s="35" t="n">
        <v>18</v>
      </c>
      <c r="B20" s="34" t="inlineStr">
        <is>
          <t>หากต้องการให้ยาปลดปล่อยทันทีในกระเพาะอาารและลำไส้เล็ก (Immediate release) ต้องใช้สารในข้อใดเป็นสารเคลือบ</t>
        </is>
      </c>
      <c r="C20" s="35" t="n"/>
      <c r="D20" s="34" t="inlineStr">
        <is>
          <t>Cellulose acetate</t>
        </is>
      </c>
      <c r="E20" s="34" t="inlineStr">
        <is>
          <t>Phthalate</t>
        </is>
      </c>
      <c r="F20" s="34" t="inlineStr">
        <is>
          <t>Shellac</t>
        </is>
      </c>
      <c r="G20" s="34" t="inlineStr">
        <is>
          <t>ethyl cellulose</t>
        </is>
      </c>
      <c r="H20" s="34" t="inlineStr">
        <is>
          <t>PVA</t>
        </is>
      </c>
      <c r="I20" s="35" t="n">
        <v>1</v>
      </c>
      <c r="J20" s="34" t="inlineStr">
        <is>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0" s="35" t="n"/>
      <c r="L20" s="34" t="inlineStr">
        <is>
          <t>Pharmaceutical Technology General</t>
        </is>
      </c>
      <c r="M20" s="35" t="inlineStr">
        <is>
          <t>Product</t>
        </is>
      </c>
      <c r="N20" s="34" t="inlineStr">
        <is>
          <t>ข้อสอบจริง Product ปี 2567 ข้อ 28</t>
        </is>
      </c>
      <c r="O20" s="35" t="inlineStr">
        <is>
          <t>ข้อสอบจริง</t>
        </is>
      </c>
      <c r="P20" s="35" t="inlineStr">
        <is>
          <t>ปี 2567</t>
        </is>
      </c>
    </row>
    <row r="21" ht="409.6" customHeight="1" s="49">
      <c r="A21" s="35" t="n">
        <v>19</v>
      </c>
      <c r="B21" s="34" t="inlineStr">
        <is>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is>
      </c>
      <c r="C21" s="35" t="n"/>
      <c r="D21" s="34" t="inlineStr">
        <is>
          <t>สามารถขายได้ ไม่ผิดกฎมาย ผิดจรรยาบรรณ</t>
        </is>
      </c>
      <c r="E21" s="34" t="inlineStr">
        <is>
          <t>ไม่สามารถขายได้ ผิดกฎมาย ผิดจรรยาบรรณ</t>
        </is>
      </c>
      <c r="F21" s="34" t="inlineStr">
        <is>
          <t>สามารถขายได้ ไม่ผิดกฎมาย ไม่ผิดจรรยาบรรณ</t>
        </is>
      </c>
      <c r="G21" s="34" t="inlineStr">
        <is>
          <t>ไม่สามารถขายได้ ผิดกฎมาย ไม่ผิดจรรยาบรรณ</t>
        </is>
      </c>
      <c r="H21" s="34" t="inlineStr">
        <is>
          <t>ไม่สามารถขายได้ ไม่ผิดกฎมาย ผิดจรรยาบรรณ # ข้อสอบจริง PLE CC 1 (Product) ปี 2567 # --- #</t>
        </is>
      </c>
      <c r="I21" s="35" t="n">
        <v>1</v>
      </c>
      <c r="J21" s="34" t="inlineStr">
        <is>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1" s="35" t="n"/>
      <c r="L21" s="34" t="inlineStr">
        <is>
          <t>Pharmaceutical Technology General</t>
        </is>
      </c>
      <c r="M21" s="35" t="inlineStr">
        <is>
          <t>Product</t>
        </is>
      </c>
      <c r="N21" s="34" t="inlineStr">
        <is>
          <t>ข้อสอบจริง Product ปี 2567 ข้อ 38</t>
        </is>
      </c>
      <c r="O21" s="35" t="inlineStr">
        <is>
          <t>ข้อสอบจริง</t>
        </is>
      </c>
      <c r="P21" s="35" t="inlineStr">
        <is>
          <t>ปี 2567</t>
        </is>
      </c>
    </row>
    <row r="22" ht="409.6" customHeight="1" s="49">
      <c r="A22" s="35" t="n">
        <v>20</v>
      </c>
      <c r="B22" s="34" t="inlineStr">
        <is>
          <t>(ปี 2566, Day 2 ข้อ 41\) (เรื่อง: ยาที่ห้ามขายแบบ self-service) ยาใดห้ามขายในส่วนบริการตนเองในร้านยา</t>
        </is>
      </c>
      <c r="C22" s="35" t="n"/>
      <c r="D22" s="34" t="inlineStr">
        <is>
          <t>Niclosamide</t>
        </is>
      </c>
      <c r="E22" s="34" t="inlineStr">
        <is>
          <t>CPM</t>
        </is>
      </c>
      <c r="F22" s="34" t="inlineStr">
        <is>
          <t>Paracetamol</t>
        </is>
      </c>
      <c r="G22" s="34" t="n"/>
      <c r="H22" s="34" t="n"/>
      <c r="I22" s="35" t="n">
        <v>1</v>
      </c>
      <c r="J22" s="34" t="inlineStr">
        <is>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2" s="35" t="n"/>
      <c r="L22" s="34" t="inlineStr">
        <is>
          <t>Pharmaceutical Technology General</t>
        </is>
      </c>
      <c r="M22" s="35" t="inlineStr">
        <is>
          <t>Product</t>
        </is>
      </c>
      <c r="N22" s="34" t="inlineStr">
        <is>
          <t>ข้อสอบจริง Product ปี 2566 ข้อ 14</t>
        </is>
      </c>
      <c r="O22" s="35" t="inlineStr">
        <is>
          <t>ข้อสอบจริง</t>
        </is>
      </c>
      <c r="P22" s="35" t="inlineStr">
        <is>
          <t>ปี 2566</t>
        </is>
      </c>
    </row>
    <row r="23" ht="409.6" customHeight="1" s="49">
      <c r="A23" s="35" t="n">
        <v>21</v>
      </c>
      <c r="B23" s="34" t="inlineStr">
        <is>
          <t>(ปี 2566, Day 2 ข้อ 44\) (เรื่อง: บรรจุภัณฑ์ Albendazole ที่ไวความชื้นมาก) บรรจุภัณฑ์ของ albendazole ที่ไวต่อความชื้นมากๆ ควรเป็นอะไร</t>
        </is>
      </c>
      <c r="C23" s="35" t="n"/>
      <c r="D23" s="34" t="inlineStr">
        <is>
          <t>ขวดพลาสติกใส่ซองกันชื้น</t>
        </is>
      </c>
      <c r="E23" s="34" t="inlineStr">
        <is>
          <t>ขวดแก้วสีชาใส่ซองกันชื้น</t>
        </is>
      </c>
      <c r="F23" s="34" t="inlineStr">
        <is>
          <t>ขวดแก้วใส่ซองกันชื้น</t>
        </is>
      </c>
      <c r="G23" s="34" t="inlineStr">
        <is>
          <t>แผงด้านนึงเป็น aluminium foil อีกด้านใส เป็นPEมั้ง</t>
        </is>
      </c>
      <c r="H23" s="34" t="inlineStr">
        <is>
          <t>แผงทั้งสองด้านเป็น aluminium foil</t>
        </is>
      </c>
      <c r="I23" s="35" t="n">
        <v>1</v>
      </c>
      <c r="J23" s="34" t="inlineStr">
        <is>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3" s="35" t="n"/>
      <c r="L23" s="34" t="inlineStr">
        <is>
          <t>Preformulation &amp; Good Manufacturing Practice</t>
        </is>
      </c>
      <c r="M23" s="35" t="inlineStr">
        <is>
          <t>Product</t>
        </is>
      </c>
      <c r="N23" s="34" t="inlineStr">
        <is>
          <t>ข้อสอบจริง Product ปี 2566 ข้อ 16</t>
        </is>
      </c>
      <c r="O23" s="35" t="inlineStr">
        <is>
          <t>ข้อสอบจริง</t>
        </is>
      </c>
      <c r="P23" s="35" t="inlineStr">
        <is>
          <t>ปี 2566</t>
        </is>
      </c>
    </row>
    <row r="24" ht="409.6" customHeight="1" s="49">
      <c r="A24" s="35" t="n">
        <v>22</v>
      </c>
      <c r="B24" s="34" t="inlineStr">
        <is>
          <t>(ปี 2566, Day 2 ข้อ 49\) (เรื่อง: White Petrolatum เป็น Base ชนิดใด) ตำรับมี White petrolatum ถามว่าเป็น base ชนิดใด</t>
        </is>
      </c>
      <c r="C24" s="35" t="n"/>
      <c r="D24" s="34" t="inlineStr">
        <is>
          <t>Hydrophilic base</t>
        </is>
      </c>
      <c r="E24" s="34" t="inlineStr">
        <is>
          <t>Absorbtion base</t>
        </is>
      </c>
      <c r="F24" s="34" t="inlineStr">
        <is>
          <t>Oleaginous base</t>
        </is>
      </c>
      <c r="G24" s="34" t="n"/>
      <c r="H24" s="34" t="n"/>
      <c r="I24" s="35" t="n">
        <v>1</v>
      </c>
      <c r="J24" s="34" t="inlineStr">
        <is>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4" s="35" t="n"/>
      <c r="L24" s="34" t="inlineStr">
        <is>
          <t>Pharmaceutical Technology General</t>
        </is>
      </c>
      <c r="M24" s="35" t="inlineStr">
        <is>
          <t>Product</t>
        </is>
      </c>
      <c r="N24" s="34" t="inlineStr">
        <is>
          <t>ข้อสอบจริง Product ปี 2566 ข้อ 19</t>
        </is>
      </c>
      <c r="O24" s="35" t="inlineStr">
        <is>
          <t>ข้อสอบจริง</t>
        </is>
      </c>
      <c r="P24" s="35" t="inlineStr">
        <is>
          <t>ปี 2566</t>
        </is>
      </c>
    </row>
    <row r="25" ht="409.6" customHeight="1" s="49">
      <c r="A25" s="35" t="n">
        <v>23</v>
      </c>
      <c r="B25" s="34" t="inlineStr">
        <is>
          <t>(ปี 2566, Day 2 ข้อ 76\) (เรื่อง: PIC/S GMP - สถานที่ผลิต Penicillin) ถ้าสถานที่ผลิตยาหนึ่งมี Penicillin ต้องจัดการสถานที่อย่างไรตาม PIC/S GMP</t>
        </is>
      </c>
      <c r="C25" s="35" t="n"/>
      <c r="D25" s="34" t="inlineStr">
        <is>
          <t>ผลิตที่เดียวกะนได้</t>
        </is>
      </c>
      <c r="E25" s="34" t="inlineStr">
        <is>
          <t>แยกตึกแต่ใช้ utility ร่วมกันได้</t>
        </is>
      </c>
      <c r="F25" s="34" t="inlineStr">
        <is>
          <t>แยกตึกและแยก utility</t>
        </is>
      </c>
      <c r="G25" s="34" t="inlineStr">
        <is>
          <t>ตั้งสถานที่ให้ห่างกัน 10 โล</t>
        </is>
      </c>
      <c r="H25" s="34" t="n"/>
      <c r="I25" s="35" t="n">
        <v>1</v>
      </c>
      <c r="J25" s="34" t="inlineStr">
        <is>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5" s="35" t="n"/>
      <c r="L25" s="34" t="inlineStr">
        <is>
          <t>Preformulation &amp; Good Manufacturing Practice</t>
        </is>
      </c>
      <c r="M25" s="35" t="inlineStr">
        <is>
          <t>Product</t>
        </is>
      </c>
      <c r="N25" s="34" t="inlineStr">
        <is>
          <t>ข้อสอบจริง Product ปี 2566 ข้อ 26</t>
        </is>
      </c>
      <c r="O25" s="35" t="inlineStr">
        <is>
          <t>ข้อสอบจริง</t>
        </is>
      </c>
      <c r="P25" s="35" t="inlineStr">
        <is>
          <t>ปี 2566</t>
        </is>
      </c>
    </row>
    <row r="26" ht="409.6" customHeight="1" s="49">
      <c r="A26" s="35" t="n">
        <v>24</v>
      </c>
      <c r="B26" s="34" t="inlineStr">
        <is>
          <t>(ปี 2566, Day 2 ข้อ 77\) (เรื่อง: สารก่อฟิล์มในตำรับ) ให้สูตรตำรับมา ถามว่าข้อไหนเป็นสารก่อฟิล์ม</t>
        </is>
      </c>
      <c r="C26" s="35" t="n"/>
      <c r="D26" s="34" t="inlineStr">
        <is>
          <t>Hypromellose</t>
        </is>
      </c>
      <c r="E26" s="34" t="inlineStr">
        <is>
          <t>PEG</t>
        </is>
      </c>
      <c r="F26" s="34" t="n"/>
      <c r="G26" s="34" t="n"/>
      <c r="H26" s="34" t="n"/>
      <c r="I26" s="35" t="n">
        <v>1</v>
      </c>
      <c r="J26" s="34" t="inlineStr">
        <is>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6" s="35" t="n"/>
      <c r="L26" s="34" t="inlineStr">
        <is>
          <t>Pharmaceutical Technology General</t>
        </is>
      </c>
      <c r="M26" s="35" t="inlineStr">
        <is>
          <t>Product</t>
        </is>
      </c>
      <c r="N26" s="34" t="inlineStr">
        <is>
          <t>ข้อสอบจริง Product ปี 2566 ข้อ 27</t>
        </is>
      </c>
      <c r="O26" s="35" t="inlineStr">
        <is>
          <t>ข้อสอบจริง</t>
        </is>
      </c>
      <c r="P26" s="35" t="inlineStr">
        <is>
          <t>ปี 2566</t>
        </is>
      </c>
    </row>
    <row r="27" ht="409.6" customHeight="1" s="49">
      <c r="A27" s="35" t="n">
        <v>25</v>
      </c>
      <c r="B27" s="34" t="inlineStr">
        <is>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t>
        </is>
      </c>
      <c r="C27" s="35" t="n"/>
      <c r="D27" s="34" t="inlineStr">
        <is>
          <t>Benzyl alcohol</t>
        </is>
      </c>
      <c r="E27" s="34" t="inlineStr">
        <is>
          <t>-Cresol</t>
        </is>
      </c>
      <c r="F27" s="34" t="inlineStr">
        <is>
          <t>-caine</t>
        </is>
      </c>
      <c r="G27" s="34" t="n"/>
      <c r="H27" s="34" t="n"/>
      <c r="I27" s="35" t="n">
        <v>1</v>
      </c>
      <c r="J27" s="34" t="inlineStr">
        <is>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7" s="35" t="n"/>
      <c r="L27" s="34" t="inlineStr">
        <is>
          <t>Pharmaceutical Technology General</t>
        </is>
      </c>
      <c r="M27" s="35" t="inlineStr">
        <is>
          <t>Product</t>
        </is>
      </c>
      <c r="N27" s="34" t="inlineStr">
        <is>
          <t>ข้อสอบจริง Product ปี 2566 ข้อ 32</t>
        </is>
      </c>
      <c r="O27" s="35" t="inlineStr">
        <is>
          <t>ข้อสอบจริง</t>
        </is>
      </c>
      <c r="P27" s="35" t="inlineStr">
        <is>
          <t>ปี 2566</t>
        </is>
      </c>
    </row>
    <row r="28" ht="409.6" customHeight="1" s="49">
      <c r="A28" s="35" t="n">
        <v>26</v>
      </c>
      <c r="B28" s="34" t="inlineStr">
        <is>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is>
      </c>
      <c r="C28" s="35" t="n"/>
      <c r="D28" s="34" t="inlineStr">
        <is>
          <t>25 ± 2, 65%RH ± 5</t>
        </is>
      </c>
      <c r="E28" s="34" t="inlineStr">
        <is>
          <t>30 ± 2, 65%RH ± 5</t>
        </is>
      </c>
      <c r="F28" s="34" t="inlineStr">
        <is>
          <t>30 ± 2, 75%RH ± 5</t>
        </is>
      </c>
      <c r="G28" s="34" t="inlineStr">
        <is>
          <t>40 ± 2, 65%RH ± 5</t>
        </is>
      </c>
      <c r="H28" s="34" t="inlineStr">
        <is>
          <t>40 ± 2, 75%RH ± 5</t>
        </is>
      </c>
      <c r="I28" s="35" t="n">
        <v>4</v>
      </c>
      <c r="J28" s="34" t="inlineStr">
        <is>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8" s="35" t="n"/>
      <c r="L28" s="34" t="inlineStr">
        <is>
          <t>Preformulation &amp; Good Manufacturing Practice</t>
        </is>
      </c>
      <c r="M28" s="35" t="inlineStr">
        <is>
          <t>Product</t>
        </is>
      </c>
      <c r="N28" s="34" t="inlineStr">
        <is>
          <t>ข้อสอบจริง Product ปี 2566 ข้อ 40</t>
        </is>
      </c>
      <c r="O28" s="35" t="inlineStr">
        <is>
          <t>ข้อสอบจริง</t>
        </is>
      </c>
      <c r="P28" s="35" t="inlineStr">
        <is>
          <t>ปี 2566</t>
        </is>
      </c>
    </row>
    <row r="29" ht="409.6" customHeight="1" s="49">
      <c r="A29" s="35" t="n">
        <v>27</v>
      </c>
      <c r="B29" s="34" t="inlineStr">
        <is>
          <t>(ปี 2566, Day 2 ข้อ 99\) (เรื่อง: เครื่องผสมสำหรับยาไวแสง/ความชื้น/ความร้อน) ยาไวต่อแสง ความชื้น ความร้อนมากๆ ผสมด้วยเครื่องใดดี</t>
        </is>
      </c>
      <c r="C29" s="35" t="n"/>
      <c r="D29" s="34" t="inlineStr">
        <is>
          <t>High-shear mixer</t>
        </is>
      </c>
      <c r="E29" s="34" t="inlineStr">
        <is>
          <t>Planetary mixer</t>
        </is>
      </c>
      <c r="F29" s="34" t="inlineStr">
        <is>
          <t>Cubic mixer</t>
        </is>
      </c>
      <c r="G29" s="34" t="n"/>
      <c r="H29" s="34" t="n"/>
      <c r="I29" s="35" t="n">
        <v>3</v>
      </c>
      <c r="J29" s="34" t="inlineStr">
        <is>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9" s="35" t="n"/>
      <c r="L29" s="34" t="inlineStr">
        <is>
          <t>Pharmaceutical Technology General</t>
        </is>
      </c>
      <c r="M29" s="35" t="inlineStr">
        <is>
          <t>Product</t>
        </is>
      </c>
      <c r="N29" s="34" t="inlineStr">
        <is>
          <t>ข้อสอบจริง Product ปี 2566 ข้อ 43</t>
        </is>
      </c>
      <c r="O29" s="35" t="inlineStr">
        <is>
          <t>ข้อสอบจริง</t>
        </is>
      </c>
      <c r="P29" s="35" t="inlineStr">
        <is>
          <t>ปี 2566</t>
        </is>
      </c>
    </row>
    <row r="30" ht="409.6" customHeight="1" s="49">
      <c r="A30" s="35" t="n">
        <v>28</v>
      </c>
      <c r="B30" s="34" t="inlineStr">
        <is>
          <t>(ปี 2566, Day 2 ข้อ 100\) (เรื่อง: ความหมายของเลข PEG 400\) PEG 400 เลข 400 หมายถึงอะไร</t>
        </is>
      </c>
      <c r="C30" s="35" t="n"/>
      <c r="D30" s="34" t="inlineStr">
        <is>
          <t>MW</t>
        </is>
      </c>
      <c r="E30" s="34" t="inlineStr">
        <is>
          <t>จำนวน monomer</t>
        </is>
      </c>
      <c r="F30" s="34" t="n"/>
      <c r="G30" s="34" t="n"/>
      <c r="H30" s="34" t="n"/>
      <c r="I30" s="35" t="n">
        <v>1</v>
      </c>
      <c r="J30" s="34" t="inlineStr">
        <is>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0" s="35" t="n"/>
      <c r="L30" s="34" t="inlineStr">
        <is>
          <t>Pharmaceutical Technology General</t>
        </is>
      </c>
      <c r="M30" s="35" t="inlineStr">
        <is>
          <t>Product</t>
        </is>
      </c>
      <c r="N30" s="34" t="inlineStr">
        <is>
          <t>ข้อสอบจริง Product ปี 2566 ข้อ 44</t>
        </is>
      </c>
      <c r="O30" s="35" t="inlineStr">
        <is>
          <t>ข้อสอบจริง</t>
        </is>
      </c>
      <c r="P30" s="35" t="inlineStr">
        <is>
          <t>ปี 2566</t>
        </is>
      </c>
    </row>
    <row r="31" ht="409.6" customHeight="1" s="49">
      <c r="A31" s="35" t="n">
        <v>29</v>
      </c>
      <c r="B31" s="34" t="inlineStr">
        <is>
          <t>ถ้าจะทำตำรับยาน้ำ methimazole ข้อใดเป็น wetting agent ที่เหมาะสมที่สุด</t>
        </is>
      </c>
      <c r="C31" s="35" t="n"/>
      <c r="D31" s="34" t="inlineStr">
        <is>
          <t>Purified water</t>
        </is>
      </c>
      <c r="E31" s="34" t="inlineStr">
        <is>
          <t>Glycerin</t>
        </is>
      </c>
      <c r="F31" s="34" t="inlineStr">
        <is>
          <t>Mineral oil</t>
        </is>
      </c>
      <c r="G31" s="34" t="inlineStr">
        <is>
          <t>Benzyl alcohol</t>
        </is>
      </c>
      <c r="H31" s="34" t="inlineStr">
        <is>
          <t>Alcohol</t>
        </is>
      </c>
      <c r="I31" s="35" t="n">
        <v>1</v>
      </c>
      <c r="J31" s="34" t="inlineStr">
        <is>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1" s="35" t="n"/>
      <c r="L31" s="34" t="inlineStr">
        <is>
          <t>Pharmaceutical Technology General</t>
        </is>
      </c>
      <c r="M31" s="35" t="inlineStr">
        <is>
          <t>Product</t>
        </is>
      </c>
      <c r="N31" s="34" t="inlineStr">
        <is>
          <t>ข้อสอบจริง Product ปี 2565 ข้อ 26</t>
        </is>
      </c>
      <c r="O31" s="35" t="inlineStr">
        <is>
          <t>ข้อสอบจริง</t>
        </is>
      </c>
      <c r="P31" s="35" t="inlineStr">
        <is>
          <t>ปี 2565</t>
        </is>
      </c>
    </row>
    <row r="32" ht="409.6" customHeight="1" s="49">
      <c r="A32" s="35" t="n">
        <v>30</v>
      </c>
      <c r="B32" s="34" t="inlineStr">
        <is>
          <t>ขั้นตอนสุดท้ายของการรองรับรุ่นการผลิตของวัคซีนคืออะไร</t>
        </is>
      </c>
      <c r="C32" s="35" t="n"/>
      <c r="D32" s="34" t="inlineStr">
        <is>
          <t>ไม่ต้องมี ถ้าได้ขึ้นทะเบียนยา</t>
        </is>
      </c>
      <c r="E32" s="34" t="inlineStr">
        <is>
          <t>ต้องผ่านการตรวจสอบ QC ของบริษัทยา</t>
        </is>
      </c>
      <c r="F32" s="34" t="inlineStr">
        <is>
          <t>ต้องผ่านการตรวจสอบกรมควบคุมโรค</t>
        </is>
      </c>
      <c r="G32" s="34" t="inlineStr">
        <is>
          <t>ต้องผ่านการตรวจสอบอ.ย.</t>
        </is>
      </c>
      <c r="H32" s="34" t="inlineStr">
        <is>
          <t>ต้องผ่านการตรวจสอบชีววัตถุ ของกรมวิทยาศาสตร์การแพทย์</t>
        </is>
      </c>
      <c r="I32" s="35" t="n">
        <v>1</v>
      </c>
      <c r="J32" s="34" t="inlineStr">
        <is>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2" s="35" t="n"/>
      <c r="L32" s="34" t="inlineStr">
        <is>
          <t>Pharmaceutical Technology General</t>
        </is>
      </c>
      <c r="M32" s="35" t="inlineStr">
        <is>
          <t>Product</t>
        </is>
      </c>
      <c r="N32" s="34" t="inlineStr">
        <is>
          <t>ข้อสอบจริง Product ปี 2565 ข้อ 56</t>
        </is>
      </c>
      <c r="O32" s="35" t="inlineStr">
        <is>
          <t>ข้อสอบจริง</t>
        </is>
      </c>
      <c r="P32" s="35" t="inlineStr">
        <is>
          <t>ปี 2565</t>
        </is>
      </c>
    </row>
    <row r="33" ht="409.6" customHeight="1" s="49">
      <c r="A33" s="35" t="n">
        <v>31</v>
      </c>
      <c r="B33" s="34" t="inlineStr">
        <is>
          <t>สารช่วยในข้อใดช่วยให้ผงยา tiotropium bromide เปียกง่ายเมื่อผงยาสัมผัสกับของเหลวในทางเดินหายใจ</t>
        </is>
      </c>
      <c r="C33" s="35" t="n"/>
      <c r="D33" s="34" t="inlineStr">
        <is>
          <t>Lecithin</t>
        </is>
      </c>
      <c r="E33" s="34" t="inlineStr">
        <is>
          <t>citric acid</t>
        </is>
      </c>
      <c r="F33" s="34" t="inlineStr">
        <is>
          <t>Alginic acid</t>
        </is>
      </c>
      <c r="G33" s="34" t="inlineStr">
        <is>
          <t>Calcium stearate</t>
        </is>
      </c>
      <c r="H33" s="34" t="inlineStr">
        <is>
          <t>titanium oxide</t>
        </is>
      </c>
      <c r="I33" s="35" t="n">
        <v>1</v>
      </c>
      <c r="J33" s="34" t="inlineStr">
        <is>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3" s="35" t="n"/>
      <c r="L33" s="34" t="inlineStr">
        <is>
          <t>Pharmaceutical Technology General</t>
        </is>
      </c>
      <c r="M33" s="35" t="inlineStr">
        <is>
          <t>Product</t>
        </is>
      </c>
      <c r="N33" s="34" t="inlineStr">
        <is>
          <t>ข้อสอบจริง Product ปี 2565 ข้อ 63</t>
        </is>
      </c>
      <c r="O33" s="35" t="inlineStr">
        <is>
          <t>ข้อสอบจริง</t>
        </is>
      </c>
      <c r="P33" s="35" t="inlineStr">
        <is>
          <t>ปี 2565</t>
        </is>
      </c>
    </row>
    <row r="34" ht="409.6" customHeight="1" s="49">
      <c r="A34" s="35" t="n">
        <v>32</v>
      </c>
      <c r="B34" s="34" t="inlineStr">
        <is>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is>
      </c>
      <c r="C34" s="35" t="n"/>
      <c r="D34" s="34" t="inlineStr">
        <is>
          <t>ความแรงในการตอกน้อยเกินไป</t>
        </is>
      </c>
      <c r="E34" s="34" t="inlineStr">
        <is>
          <t>ความแรงในการตอกมากเกินไป</t>
        </is>
      </c>
      <c r="F34" s="34" t="inlineStr">
        <is>
          <t>สารยึดเกาะไม่สม่ำเสมอ</t>
        </is>
      </c>
      <c r="G34" s="34" t="inlineStr">
        <is>
          <t>สารช่วยไหลน้อยเกินไป</t>
        </is>
      </c>
      <c r="H34" s="34" t="inlineStr">
        <is>
          <t>ความเร็วในการตอกน้อยเกินไป</t>
        </is>
      </c>
      <c r="I34" s="35" t="n">
        <v>1</v>
      </c>
      <c r="J34" s="34" t="inlineStr">
        <is>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4" s="35" t="n"/>
      <c r="L34" s="34" t="inlineStr">
        <is>
          <t>Pharmaceutical Technology General</t>
        </is>
      </c>
      <c r="M34" s="35" t="inlineStr">
        <is>
          <t>Product</t>
        </is>
      </c>
      <c r="N34" s="34" t="inlineStr">
        <is>
          <t>ข้อสอบจริง Product ปี 2565 ข้อ 85</t>
        </is>
      </c>
      <c r="O34" s="35" t="inlineStr">
        <is>
          <t>ข้อสอบจริง</t>
        </is>
      </c>
      <c r="P34" s="35" t="inlineStr">
        <is>
          <t>ปี 2565</t>
        </is>
      </c>
    </row>
    <row r="35" ht="409.6" customHeight="1" s="49">
      <c r="A35" s="35" t="n">
        <v>33</v>
      </c>
      <c r="B35" s="34" t="inlineStr">
        <is>
          <t>ต้องการเตรียม D1OW 500 ml จาก DSW กับ D50W จะเตรียมอย่างไร</t>
        </is>
      </c>
      <c r="C35" s="35" t="n"/>
      <c r="D35" s="34" t="inlineStr">
        <is>
          <t>D5W 445 ml+ D50W 55ml</t>
        </is>
      </c>
      <c r="E35" s="34" t="inlineStr">
        <is>
          <t>D5W 495 ml+ D50W 5 ml</t>
        </is>
      </c>
      <c r="F35" s="34" t="inlineStr">
        <is>
          <t>[NEED_REVIEW]</t>
        </is>
      </c>
      <c r="G35" s="34" t="inlineStr">
        <is>
          <t>[NEED_REVIEW]</t>
        </is>
      </c>
      <c r="H35" s="34" t="inlineStr">
        <is>
          <t>[NEED_REVIEW]</t>
        </is>
      </c>
      <c r="I35" s="35" t="n">
        <v>1</v>
      </c>
      <c r="J35" s="34" t="inlineStr">
        <is>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5" s="35" t="n"/>
      <c r="L35" s="34" t="inlineStr">
        <is>
          <t>Pharmaceutical Technology General</t>
        </is>
      </c>
      <c r="M35" s="35" t="inlineStr">
        <is>
          <t>Product</t>
        </is>
      </c>
      <c r="N35" s="34" t="inlineStr">
        <is>
          <t>ข้อสอบจริง Product ปี 2565 ข้อ 90</t>
        </is>
      </c>
      <c r="O35" s="35" t="inlineStr">
        <is>
          <t>ข้อสอบจริง</t>
        </is>
      </c>
      <c r="P35" s="35" t="inlineStr">
        <is>
          <t>ปี 2565</t>
        </is>
      </c>
    </row>
    <row r="36" ht="409.6" customHeight="1" s="49">
      <c r="A36" s="35" t="n">
        <v>34</v>
      </c>
      <c r="B36" s="34" t="inlineStr">
        <is>
          <t>หัวข้อการทดสอบที่มีทดสอบเฉพาะการควบคุมคุณภาพแผ่นแปะ cutaneous patch ตาม USP คืออะไร Assay</t>
        </is>
      </c>
      <c r="C36" s="35" t="n"/>
      <c r="D36" s="34" t="n"/>
      <c r="E36" s="34" t="inlineStr">
        <is>
          <t>Identification</t>
        </is>
      </c>
      <c r="F36" s="34" t="inlineStr">
        <is>
          <t>Description</t>
        </is>
      </c>
      <c r="G36" s="34" t="n"/>
      <c r="H36" s="34" t="n"/>
      <c r="I36" s="35" t="n">
        <v>1</v>
      </c>
      <c r="J36" s="34" t="inlineStr">
        <is>
          <t>✅ คำตอบที่ถูกต้อง: ข้อ ก.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6" s="35" t="n"/>
      <c r="L36" s="34" t="inlineStr">
        <is>
          <t>Pharmaceutical Technology General</t>
        </is>
      </c>
      <c r="M36" s="35" t="inlineStr">
        <is>
          <t>Product</t>
        </is>
      </c>
      <c r="N36" s="34" t="inlineStr">
        <is>
          <t>ข้อสอบจริง Product ปี 2565 ข้อ 9</t>
        </is>
      </c>
      <c r="O36" s="35" t="inlineStr">
        <is>
          <t>ข้อสอบจริง</t>
        </is>
      </c>
      <c r="P36" s="35" t="inlineStr">
        <is>
          <t>ปี 2565</t>
        </is>
      </c>
    </row>
    <row r="37" ht="409.6" customHeight="1" s="49">
      <c r="A37" s="35" t="n">
        <v>35</v>
      </c>
      <c r="B37" s="34" t="inlineStr">
        <is>
          <t>อะไรใน sterile IV mixture set ที่เกิดปัญหามากที่สุดกับ nitroglycerin n. Polyethylene</t>
        </is>
      </c>
      <c r="C37" s="35" t="n"/>
      <c r="D37" s="34" t="n"/>
      <c r="E37" s="34" t="inlineStr">
        <is>
          <t>Polypropylene</t>
        </is>
      </c>
      <c r="F37" s="34" t="inlineStr">
        <is>
          <t>Teflon</t>
        </is>
      </c>
      <c r="G37" s="34" t="inlineStr">
        <is>
          <t>PVC</t>
        </is>
      </c>
      <c r="H37" s="34" t="inlineStr">
        <is>
          <t>Polystyrene</t>
        </is>
      </c>
      <c r="I37" s="35" t="n">
        <v>1</v>
      </c>
      <c r="J37" s="34" t="inlineStr">
        <is>
          <t>✅ คำตอบที่ถูกต้อง: ข้อ ก. 
💡 Background:
คำถามข้อสอบจริงใบประกอบวิชาชีพ PLE-CC 1 (Product) ปี 2565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7" s="35" t="n"/>
      <c r="L37" s="34" t="inlineStr">
        <is>
          <t>Pharmaceutical Technology General</t>
        </is>
      </c>
      <c r="M37" s="35" t="inlineStr">
        <is>
          <t>Product</t>
        </is>
      </c>
      <c r="N37" s="34" t="inlineStr">
        <is>
          <t>ข้อสอบจริง Product ปี 2565 ข้อ 27</t>
        </is>
      </c>
      <c r="O37" s="35" t="inlineStr">
        <is>
          <t>ข้อสอบจริง</t>
        </is>
      </c>
      <c r="P37" s="35" t="inlineStr">
        <is>
          <t>ปี 2565</t>
        </is>
      </c>
    </row>
    <row r="38" ht="409.6" customHeight="1" s="49">
      <c r="A38" s="35" t="n">
        <v>36</v>
      </c>
      <c r="B38" s="34" t="inlineStr">
        <is>
          <t>ยากลุ่ม PP's ออกฤทธิ์โดยไปจับกับ target ด้วยพันธะใด</t>
        </is>
      </c>
      <c r="C38" s="35" t="n"/>
      <c r="D38" s="34" t="inlineStr">
        <is>
          <t>lonic</t>
        </is>
      </c>
      <c r="E38" s="34" t="inlineStr">
        <is>
          <t>Disulfide bond</t>
        </is>
      </c>
      <c r="F38" s="34" t="inlineStr">
        <is>
          <t>H bond</t>
        </is>
      </c>
      <c r="G38" s="34" t="inlineStr">
        <is>
          <t>[NEED_REVIEW]</t>
        </is>
      </c>
      <c r="H38" s="34" t="inlineStr">
        <is>
          <t>[NEED_REVIEW]</t>
        </is>
      </c>
      <c r="I38" s="35" t="n">
        <v>1</v>
      </c>
      <c r="J38" s="34" t="inlineStr">
        <is>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8" s="35" t="n"/>
      <c r="L38" s="34" t="inlineStr">
        <is>
          <t>Pharmaceutical Technology General</t>
        </is>
      </c>
      <c r="M38" s="35" t="inlineStr">
        <is>
          <t>Product</t>
        </is>
      </c>
      <c r="N38" s="34" t="inlineStr">
        <is>
          <t>ข้อสอบจริง Product ปี 2565 ข้อ 30</t>
        </is>
      </c>
      <c r="O38" s="35" t="inlineStr">
        <is>
          <t>ข้อสอบจริง</t>
        </is>
      </c>
      <c r="P38" s="35" t="inlineStr">
        <is>
          <t>ปี 2565</t>
        </is>
      </c>
    </row>
    <row r="39" ht="409.6" customHeight="1" s="49">
      <c r="A39" s="35" t="n">
        <v>37</v>
      </c>
      <c r="B39" s="34" t="inlineStr">
        <is>
          <t>ถ้าจะทดสอบวงนี้ต้องใช้วิธีใดในการทดสอบ [แนบรูป: ข้อสอบ Product ปี 2565 รหัสรูปภาพ image21]</t>
        </is>
      </c>
      <c r="C39" s="35" t="inlineStr">
        <is>
          <t>[แนบรูป: ข้อสอบ Product ปี 2565 รหัสรูปภาพ image21]</t>
        </is>
      </c>
      <c r="D39" s="34" t="inlineStr">
        <is>
          <t>Liebermann-burchard</t>
        </is>
      </c>
      <c r="E39" s="34" t="inlineStr">
        <is>
          <t>Dragendorff</t>
        </is>
      </c>
      <c r="F39" s="34" t="inlineStr">
        <is>
          <t>Foam test</t>
        </is>
      </c>
      <c r="G39" s="34" t="inlineStr">
        <is>
          <t>[NEED_REVIEW]</t>
        </is>
      </c>
      <c r="H39" s="34" t="inlineStr">
        <is>
          <t>[NEED_REVIEW]</t>
        </is>
      </c>
      <c r="I39" s="35" t="n">
        <v>1</v>
      </c>
      <c r="J39" s="34" t="inlineStr">
        <is>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9" s="35" t="n"/>
      <c r="L39" s="34" t="inlineStr">
        <is>
          <t>Pharmaceutical Technology General</t>
        </is>
      </c>
      <c r="M39" s="35" t="inlineStr">
        <is>
          <t>Product</t>
        </is>
      </c>
      <c r="N39" s="34" t="inlineStr">
        <is>
          <t>ข้อสอบจริง Product ปี 2565 ข้อ 71</t>
        </is>
      </c>
      <c r="O39" s="35" t="inlineStr">
        <is>
          <t>ข้อสอบจริง</t>
        </is>
      </c>
      <c r="P39" s="35" t="inlineStr">
        <is>
          <t>ปี 2565</t>
        </is>
      </c>
    </row>
    <row r="40" ht="409.6" customHeight="1" s="49">
      <c r="A40" s="35" t="n">
        <v>38</v>
      </c>
      <c r="B40" s="34" t="inlineStr">
        <is>
          <t>จากกราฟ ข้อใดถูก [แนบรูป: ข้อสอบ Product ปี 2565 รหัสรูปภาพ image24]</t>
        </is>
      </c>
      <c r="C40" s="35" t="inlineStr">
        <is>
          <t>[แนบรูป: ข้อสอบ Product ปี 2565 รหัสรูปภาพ image24]</t>
        </is>
      </c>
      <c r="D40" s="34" t="inlineStr">
        <is>
          <t>เป็นกราฟของ solubility</t>
        </is>
      </c>
      <c r="E40" s="34" t="inlineStr">
        <is>
          <t>การสลายตัวแบบ zero order</t>
        </is>
      </c>
      <c r="F40" s="34" t="inlineStr">
        <is>
          <t>ที่ pH 4 มีการสลายตัวมากสุด</t>
        </is>
      </c>
      <c r="G40" s="34" t="inlineStr">
        <is>
          <t>การสลายตัวเมื่อ pH มากกว่า 4 อาศัย base catalyst</t>
        </is>
      </c>
      <c r="H40" s="34" t="inlineStr">
        <is>
          <t>[NEED_REVIEW]</t>
        </is>
      </c>
      <c r="I40" s="35" t="n">
        <v>1</v>
      </c>
      <c r="J40" s="34" t="inlineStr">
        <is>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0" s="35" t="n"/>
      <c r="L40" s="34" t="inlineStr">
        <is>
          <t>Pharmaceutical Technology General</t>
        </is>
      </c>
      <c r="M40" s="35" t="inlineStr">
        <is>
          <t>Product</t>
        </is>
      </c>
      <c r="N40" s="34" t="inlineStr">
        <is>
          <t>ข้อสอบจริง Product ปี 2565 ข้อ 74</t>
        </is>
      </c>
      <c r="O40" s="35" t="inlineStr">
        <is>
          <t>ข้อสอบจริง</t>
        </is>
      </c>
      <c r="P40" s="35" t="inlineStr">
        <is>
          <t>ปี 2565</t>
        </is>
      </c>
    </row>
    <row r="41" ht="409.6" customHeight="1" s="49">
      <c r="A41" s="35" t="n">
        <v>39</v>
      </c>
      <c r="B41" s="34" t="inlineStr">
        <is>
          <t>ให้สูตรตำรับ Aluminum hydroxide paste eq. to Aluminum hydroxide 4 g, glycerol,sorbitol, methyl hydroxybenzoate, propyl hydroxybenzoate purified water as. to 100 ml ข้อใดกล่าวถูกต้อง</t>
        </is>
      </c>
      <c r="C41" s="35" t="n"/>
      <c r="D41" s="34" t="inlineStr">
        <is>
          <t>ใช้ sorbitol กับ glycerol แทน เพราะมีความหวานมากกว่า</t>
        </is>
      </c>
      <c r="E41" s="34" t="inlineStr">
        <is>
          <t>ตำรับนี้ไม่มี flavoring agent</t>
        </is>
      </c>
      <c r="F41" s="34" t="inlineStr">
        <is>
          <t>Methyl cellulose เป็นสารให้ความหนืดที่ไม่มีประจุ</t>
        </is>
      </c>
      <c r="G41" s="34" t="inlineStr">
        <is>
          <t>methyl paraben และ propyl paraben เป็น antioxidants ป้องกันการเสื่อมสลาย</t>
        </is>
      </c>
      <c r="H41" s="34" t="inlineStr">
        <is>
          <t>[NEED_REVIEW]</t>
        </is>
      </c>
      <c r="I41" s="35" t="n">
        <v>1</v>
      </c>
      <c r="J41" s="34" t="inlineStr">
        <is>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1" s="35" t="n"/>
      <c r="L41" s="34" t="inlineStr">
        <is>
          <t>Pharmaceutical Technology General</t>
        </is>
      </c>
      <c r="M41" s="35" t="inlineStr">
        <is>
          <t>Product</t>
        </is>
      </c>
      <c r="N41" s="34" t="inlineStr">
        <is>
          <t>ข้อสอบจริง Product ปี 2565 ข้อ 79</t>
        </is>
      </c>
      <c r="O41" s="35" t="inlineStr">
        <is>
          <t>ข้อสอบจริง</t>
        </is>
      </c>
      <c r="P41" s="35" t="inlineStr">
        <is>
          <t>ปี 2565</t>
        </is>
      </c>
    </row>
    <row r="42" ht="409.6" customHeight="1" s="49">
      <c r="A42" s="35" t="n">
        <v>40</v>
      </c>
      <c r="B42" s="34" t="inlineStr">
        <is>
          <t>ตอบ ง. Cetearyl palmitate คำอธิบาย : เป็น Stiffening agent เมื่อลองพิจารณาข้ออื่น</t>
        </is>
      </c>
      <c r="C42" s="35" t="n"/>
      <c r="D42" s="34" t="inlineStr">
        <is>
          <t>glycerin = Humectant</t>
        </is>
      </c>
      <c r="E42" s="34" t="inlineStr">
        <is>
          <t>Propylene glycol = Co-solvent, humectant</t>
        </is>
      </c>
      <c r="F42" s="34" t="inlineStr">
        <is>
          <t>SLS = Surfactant</t>
        </is>
      </c>
      <c r="G42" s="34" t="inlineStr">
        <is>
          <t>Mineral oil = Emollient</t>
        </is>
      </c>
      <c r="H42" s="34" t="n"/>
      <c r="I42" s="35" t="n">
        <v>4</v>
      </c>
      <c r="J42" s="34" t="inlineStr">
        <is>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2" s="35" t="n"/>
      <c r="L42" s="34" t="inlineStr">
        <is>
          <t>Pharmaceutical Technology General</t>
        </is>
      </c>
      <c r="M42" s="35" t="inlineStr">
        <is>
          <t>Product</t>
        </is>
      </c>
      <c r="N42" s="34" t="inlineStr">
        <is>
          <t>ข้อสอบจริง Product ปี 2565 ข้อ 39</t>
        </is>
      </c>
      <c r="O42" s="35" t="inlineStr">
        <is>
          <t>ข้อสอบจริง</t>
        </is>
      </c>
      <c r="P42" s="35" t="inlineStr">
        <is>
          <t>ปี 2565</t>
        </is>
      </c>
    </row>
    <row r="43" ht="409.6" customHeight="1" s="49">
      <c r="A43" s="35" t="n">
        <v>41</v>
      </c>
      <c r="B43" s="34" t="inlineStr">
        <is>
          <t>หากผู้ป่วยได้รับยา aminophylline IV วัดระดับยาในเลือดได้ 68 mcg/ml ถ้า aminophylline มี half life 7 ชั่วโมง จะมีระดับยาเท่าไรเมื่อเวลาผ่านไป 28 ชั่วโมง</t>
        </is>
      </c>
      <c r="C43" s="35" t="inlineStr">
        <is>
          <t>[แนบรูป: ข้อสอบ Product ปี 2564 รหัสรูปภาพ image68]</t>
        </is>
      </c>
      <c r="D43" s="34" t="inlineStr">
        <is>
          <t>2.125</t>
        </is>
      </c>
      <c r="E43" s="34" t="inlineStr">
        <is>
          <t>4.25</t>
        </is>
      </c>
      <c r="F43" s="34" t="inlineStr">
        <is>
          <t>8.5</t>
        </is>
      </c>
      <c r="G43" s="34" t="inlineStr">
        <is>
          <t>17</t>
        </is>
      </c>
      <c r="H43" s="34" t="inlineStr">
        <is>
          <t>34</t>
        </is>
      </c>
      <c r="I43" s="35" t="n">
        <v>1</v>
      </c>
      <c r="J43" s="34" t="inlineStr">
        <is>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3" s="35" t="n"/>
      <c r="L43" s="34" t="inlineStr">
        <is>
          <t>Pharmaceutical Technology General</t>
        </is>
      </c>
      <c r="M43" s="35" t="inlineStr">
        <is>
          <t>Product</t>
        </is>
      </c>
      <c r="N43" s="34" t="inlineStr">
        <is>
          <t>ข้อสอบจริง Product ปี 2564 ข้อ 1</t>
        </is>
      </c>
      <c r="O43" s="35" t="inlineStr">
        <is>
          <t>ข้อสอบจริง</t>
        </is>
      </c>
      <c r="P43" s="35" t="inlineStr">
        <is>
          <t>ปี 2564</t>
        </is>
      </c>
    </row>
    <row r="44" ht="409.6" customHeight="1" s="49">
      <c r="A44" s="35" t="n">
        <v>42</v>
      </c>
      <c r="B44" s="34" t="inlineStr">
        <is>
          <t>เครื่องมือใดใช้ในการวัดขนาดอนุภาคของยาผง Dry powder for inhalation</t>
        </is>
      </c>
      <c r="C44" s="35" t="n"/>
      <c r="D44" s="34" t="inlineStr">
        <is>
          <t>Zn determination   ใช้วิเคราะห์ปริมาณธาตุสังกะสี ไม่เกี่ยวกับการวัดขนาดอนุภาค</t>
        </is>
      </c>
      <c r="E44" s="34" t="inlineStr">
        <is>
          <t>Cascade impactor</t>
        </is>
      </c>
      <c r="F44" s="34" t="inlineStr">
        <is>
          <t>Light microscopy  วัดขนาดหรือรูปร่างอนุภาคได้ แต่ไม่วัด aerodynamic particle size ซึ่งเป็นค่าที่สำคัญสำหรับยาสูดพ่น</t>
        </is>
      </c>
      <c r="G44" s="34" t="inlineStr">
        <is>
          <t>Scanning electron microscope (SEM)  ใช้ดูรูปร่างและพื้นผิวของอนุภาคที่กำลังขยายสูง แต่ไม่ใช้วัดการกระจายขนาดเชิงอากาศพลศาสตร์</t>
        </is>
      </c>
      <c r="H44" s="34" t="inlineStr">
        <is>
          <t>Meter valve  เป็นชิ้นส่วนของ Metered Dose Inhaler (MDI)</t>
        </is>
      </c>
      <c r="I44" s="35" t="n">
        <v>1</v>
      </c>
      <c r="J44" s="34" t="inlineStr">
        <is>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4" s="35" t="n"/>
      <c r="L44" s="34" t="inlineStr">
        <is>
          <t>Pharmaceutical Technology General</t>
        </is>
      </c>
      <c r="M44" s="35" t="inlineStr">
        <is>
          <t>Product</t>
        </is>
      </c>
      <c r="N44" s="34" t="inlineStr">
        <is>
          <t>ข้อสอบจริง Product ปี 2564 ข้อ 3</t>
        </is>
      </c>
      <c r="O44" s="35" t="inlineStr">
        <is>
          <t>ข้อสอบจริง</t>
        </is>
      </c>
      <c r="P44" s="35" t="inlineStr">
        <is>
          <t>ปี 2564</t>
        </is>
      </c>
    </row>
    <row r="45" ht="409.6" customHeight="1" s="49">
      <c r="A45" s="35" t="n">
        <v>43</v>
      </c>
      <c r="B45" s="34" t="inlineStr">
        <is>
          <t>สารในข้อใดใช้ทํา cavity ของ blister pack เพื่อป้องกันความชื้น</t>
        </is>
      </c>
      <c r="C45" s="35" t="n"/>
      <c r="D45" s="34" t="inlineStr">
        <is>
          <t>Polyvinyl Chloride (PVC)  ใช้ทำ blister pack ได้ แต่กันความชื้นไม่ดี</t>
        </is>
      </c>
      <c r="E45" s="34" t="inlineStr">
        <is>
          <t>Polypropylene (PP) ทนความร้อนดี แต่คุณสมบัติกันความชื้นไม่เด่นเท่า PCTFE</t>
        </is>
      </c>
      <c r="F45" s="34" t="inlineStr">
        <is>
          <t>Polyvinylidene Chloride (PVDC)  กันความชื้นดี และมักใช้ เคลือบบน PVC เพื่อเพิ่ม barrier แต่ไม่ใช่วัสดุหลักของ cavity ในคำถามนี้</t>
        </is>
      </c>
      <c r="G45" s="34" t="inlineStr">
        <is>
          <t>Polyethylene (PE)  ใช้ทำบรรจุภัณฑ์ทั่วไป ไม่ใช่วัสดุหลักสำหรับ blister ที่ต้องการป้องกันความชื้นสูง</t>
        </is>
      </c>
      <c r="H45" s="34" t="inlineStr">
        <is>
          <t>Polychlorotrifluoroethylene</t>
        </is>
      </c>
      <c r="I45" s="35" t="n">
        <v>1</v>
      </c>
      <c r="J45" s="34" t="inlineStr">
        <is>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45" s="35" t="n"/>
      <c r="L45" s="34" t="inlineStr">
        <is>
          <t>Preformulation &amp; Good Manufacturing Practice</t>
        </is>
      </c>
      <c r="M45" s="35" t="inlineStr">
        <is>
          <t>Product</t>
        </is>
      </c>
      <c r="N45" s="34" t="inlineStr">
        <is>
          <t>ข้อสอบจริง Product ปี 2564 ข้อ 9</t>
        </is>
      </c>
      <c r="O45" s="35" t="inlineStr">
        <is>
          <t>ข้อสอบจริง</t>
        </is>
      </c>
      <c r="P45" s="35" t="inlineStr">
        <is>
          <t>ปี 2564</t>
        </is>
      </c>
    </row>
    <row r="46" ht="409.6" customHeight="1" s="49">
      <c r="A46" s="35" t="n">
        <v>44</v>
      </c>
      <c r="B46" s="34" t="inlineStr">
        <is>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is>
      </c>
      <c r="C46" s="35" t="n"/>
      <c r="D46" s="34" t="inlineStr">
        <is>
          <t>A</t>
        </is>
      </c>
      <c r="E46" s="34" t="inlineStr">
        <is>
          <t>B</t>
        </is>
      </c>
      <c r="F46" s="34" t="inlineStr">
        <is>
          <t>C</t>
        </is>
      </c>
      <c r="G46" s="34" t="inlineStr">
        <is>
          <t>D</t>
        </is>
      </c>
      <c r="H46" s="34" t="inlineStr">
        <is>
          <t>E</t>
        </is>
      </c>
      <c r="I46" s="35" t="n">
        <v>1</v>
      </c>
      <c r="J46" s="34" t="inlineStr">
        <is>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6" s="35" t="n"/>
      <c r="L46" s="34" t="inlineStr">
        <is>
          <t>Pharmaceutical Technology General</t>
        </is>
      </c>
      <c r="M46" s="35" t="inlineStr">
        <is>
          <t>Product</t>
        </is>
      </c>
      <c r="N46" s="34" t="inlineStr">
        <is>
          <t>ข้อสอบจริง Product ปี 2564 ข้อ 13</t>
        </is>
      </c>
      <c r="O46" s="35" t="inlineStr">
        <is>
          <t>ข้อสอบจริง</t>
        </is>
      </c>
      <c r="P46" s="35" t="inlineStr">
        <is>
          <t>ปี 2564</t>
        </is>
      </c>
    </row>
    <row r="47" ht="409.6" customHeight="1" s="49">
      <c r="A47" s="35" t="n">
        <v>45</v>
      </c>
      <c r="B47" s="34" t="inlineStr">
        <is>
          <t>ให้สูตรตํารับมา ถามว่า Bentonite ทําหน้าที่อะไรในตํารับ</t>
        </is>
      </c>
      <c r="C47" s="35" t="n"/>
      <c r="D47" s="34" t="inlineStr">
        <is>
          <t>Suspending agent</t>
        </is>
      </c>
      <c r="E47" s="34" t="inlineStr">
        <is>
          <t>Chelating agent</t>
        </is>
      </c>
      <c r="F47" s="34" t="inlineStr">
        <is>
          <t>Adsorbent</t>
        </is>
      </c>
      <c r="G47" s="34" t="inlineStr">
        <is>
          <t>Emulsifier</t>
        </is>
      </c>
      <c r="H47" s="34" t="inlineStr">
        <is>
          <t>Antioxidant</t>
        </is>
      </c>
      <c r="I47" s="35" t="n">
        <v>1</v>
      </c>
      <c r="J47" s="34" t="inlineStr">
        <is>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7" s="35" t="n"/>
      <c r="L47" s="34" t="inlineStr">
        <is>
          <t>Pharmaceutical Technology General</t>
        </is>
      </c>
      <c r="M47" s="35" t="inlineStr">
        <is>
          <t>Product</t>
        </is>
      </c>
      <c r="N47" s="34" t="inlineStr">
        <is>
          <t>ข้อสอบจริง Product ปี 2564 ข้อ 26</t>
        </is>
      </c>
      <c r="O47" s="35" t="inlineStr">
        <is>
          <t>ข้อสอบจริง</t>
        </is>
      </c>
      <c r="P47" s="35" t="inlineStr">
        <is>
          <t>ปี 2564</t>
        </is>
      </c>
    </row>
    <row r="48" ht="409.6" customHeight="1" s="49">
      <c r="A48" s="35" t="n">
        <v>46</v>
      </c>
      <c r="B48" s="34" t="inlineStr">
        <is>
          <t>Nystatin 100,000 Unit/ml Sig. ½ tsp qid 4 days ผลิตภัณฑ์ในท้องตลาดพบว่า มี Nystatin 100,000 Unit/ml ปริมาตร 12 mL/ขวด ผู้ป่วยรายนี้ต้องใช้กี่ขวด</t>
        </is>
      </c>
      <c r="C48" s="35" t="n"/>
      <c r="D48" s="34" t="inlineStr">
        <is>
          <t>1 ขวด</t>
        </is>
      </c>
      <c r="E48" s="34" t="inlineStr">
        <is>
          <t>2 ขวด</t>
        </is>
      </c>
      <c r="F48" s="34" t="inlineStr">
        <is>
          <t>4 ขวด</t>
        </is>
      </c>
      <c r="G48" s="34" t="inlineStr">
        <is>
          <t>8 ขวด</t>
        </is>
      </c>
      <c r="H48" s="34" t="inlineStr">
        <is>
          <t>16 ขวด</t>
        </is>
      </c>
      <c r="I48" s="35" t="n">
        <v>1</v>
      </c>
      <c r="J48" s="34" t="inlineStr">
        <is>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8" s="35" t="n"/>
      <c r="L48" s="34" t="inlineStr">
        <is>
          <t>Pharmaceutical Technology General</t>
        </is>
      </c>
      <c r="M48" s="35" t="inlineStr">
        <is>
          <t>Product</t>
        </is>
      </c>
      <c r="N48" s="34" t="inlineStr">
        <is>
          <t>ข้อสอบจริง Product ปี 2564 ข้อ 27</t>
        </is>
      </c>
      <c r="O48" s="35" t="inlineStr">
        <is>
          <t>ข้อสอบจริง</t>
        </is>
      </c>
      <c r="P48" s="35" t="inlineStr">
        <is>
          <t>ปี 2564</t>
        </is>
      </c>
    </row>
    <row r="49" ht="409.6" customHeight="1" s="49">
      <c r="A49" s="35" t="n">
        <v>47</v>
      </c>
      <c r="B49" s="34" t="inlineStr">
        <is>
          <t>ต้องใช้ Terramycin กี่มิลลิกรัม</t>
        </is>
      </c>
      <c r="C49" s="35" t="n"/>
      <c r="D49" s="34" t="inlineStr">
        <is>
          <t>18 mg</t>
        </is>
      </c>
      <c r="E49" s="34" t="inlineStr">
        <is>
          <t>0.18 mg</t>
        </is>
      </c>
      <c r="F49" s="34" t="inlineStr">
        <is>
          <t>180 mg</t>
        </is>
      </c>
      <c r="G49" s="34" t="inlineStr">
        <is>
          <t>200 mg</t>
        </is>
      </c>
      <c r="H49" s="34" t="inlineStr">
        <is>
          <t>[NEED_REVIEW]</t>
        </is>
      </c>
      <c r="I49" s="35" t="n">
        <v>1</v>
      </c>
      <c r="J49" s="34" t="inlineStr">
        <is>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9" s="35" t="n"/>
      <c r="L49" s="34" t="inlineStr">
        <is>
          <t>Pharmaceutical Technology General</t>
        </is>
      </c>
      <c r="M49" s="35" t="inlineStr">
        <is>
          <t>Product</t>
        </is>
      </c>
      <c r="N49" s="34" t="inlineStr">
        <is>
          <t>ข้อสอบจริง Product ปี 2564 ข้อ 41</t>
        </is>
      </c>
      <c r="O49" s="35" t="inlineStr">
        <is>
          <t>ข้อสอบจริง</t>
        </is>
      </c>
      <c r="P49" s="35" t="inlineStr">
        <is>
          <t>ปี 2564</t>
        </is>
      </c>
    </row>
    <row r="50" ht="409.6" customHeight="1" s="49">
      <c r="A50" s="35" t="n">
        <v>48</v>
      </c>
      <c r="B50" s="34" t="inlineStr">
        <is>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is>
      </c>
      <c r="C50" s="35" t="n"/>
      <c r="D50" s="34" t="inlineStr">
        <is>
          <t>1.5 ml</t>
        </is>
      </c>
      <c r="E50" s="34" t="inlineStr">
        <is>
          <t>3 ml</t>
        </is>
      </c>
      <c r="F50" s="34" t="inlineStr">
        <is>
          <t>15 ml</t>
        </is>
      </c>
      <c r="G50" s="34" t="inlineStr">
        <is>
          <t>30 ml</t>
        </is>
      </c>
      <c r="H50" s="34" t="inlineStr">
        <is>
          <t>300 ml</t>
        </is>
      </c>
      <c r="I50" s="35" t="n">
        <v>1</v>
      </c>
      <c r="J50" s="34" t="inlineStr">
        <is>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0" s="35" t="n"/>
      <c r="L50" s="34" t="inlineStr">
        <is>
          <t>Pharmaceutical Technology General</t>
        </is>
      </c>
      <c r="M50" s="35" t="inlineStr">
        <is>
          <t>Product</t>
        </is>
      </c>
      <c r="N50" s="34" t="inlineStr">
        <is>
          <t>ข้อสอบจริง Product ปี 2564 ข้อ 43</t>
        </is>
      </c>
      <c r="O50" s="35" t="inlineStr">
        <is>
          <t>ข้อสอบจริง</t>
        </is>
      </c>
      <c r="P50" s="35" t="inlineStr">
        <is>
          <t>ปี 2564</t>
        </is>
      </c>
    </row>
    <row r="51" ht="409.6" customHeight="1" s="49">
      <c r="A51" s="35" t="n">
        <v>49</v>
      </c>
      <c r="B51" s="34" t="inlineStr">
        <is>
          <t>propellant ที่นิยมใน MDI</t>
        </is>
      </c>
      <c r="C51" s="35" t="inlineStr">
        <is>
          <t>[แนบรูป: ข้อสอบ Product ปี 2564 รหัสรูปภาพ image77]</t>
        </is>
      </c>
      <c r="D51" s="34" t="inlineStr">
        <is>
          <t>N2O</t>
        </is>
      </c>
      <c r="E51" s="34" t="inlineStr">
        <is>
          <t>Propane</t>
        </is>
      </c>
      <c r="F51" s="34" t="inlineStr">
        <is>
          <t>Hydrocarbon</t>
        </is>
      </c>
      <c r="G51" s="34" t="inlineStr">
        <is>
          <t>Hydrofluoroalkane</t>
        </is>
      </c>
      <c r="H51" s="34" t="inlineStr">
        <is>
          <t>Hydrofluorocarbon</t>
        </is>
      </c>
      <c r="I51" s="35" t="n">
        <v>1</v>
      </c>
      <c r="J51" s="34" t="inlineStr">
        <is>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1" s="35" t="n"/>
      <c r="L51" s="34" t="inlineStr">
        <is>
          <t>Pharmaceutical Technology General</t>
        </is>
      </c>
      <c r="M51" s="35" t="inlineStr">
        <is>
          <t>Product</t>
        </is>
      </c>
      <c r="N51" s="34" t="inlineStr">
        <is>
          <t>ข้อสอบจริง Product ปี 2564 ข้อ 48</t>
        </is>
      </c>
      <c r="O51" s="35" t="inlineStr">
        <is>
          <t>ข้อสอบจริง</t>
        </is>
      </c>
      <c r="P51" s="35" t="inlineStr">
        <is>
          <t>ปี 2564</t>
        </is>
      </c>
    </row>
    <row r="52" ht="409.6" customHeight="1" s="49">
      <c r="A52" s="35" t="n">
        <v>50</v>
      </c>
      <c r="B52" s="34" t="inlineStr">
        <is>
          <t>Ringer's ผสมกับ ceftriaxone จะเกิดอะไรขึ้น</t>
        </is>
      </c>
      <c r="C52" s="35" t="n"/>
      <c r="D52" s="34" t="inlineStr">
        <is>
          <t>ตกตะกอน</t>
        </is>
      </c>
      <c r="E52" s="34" t="inlineStr">
        <is>
          <t>pH เปลี่ยน</t>
        </is>
      </c>
      <c r="F52" s="34" t="inlineStr">
        <is>
          <t>เกิดกลิ่นไม่พึงประสงค์</t>
        </is>
      </c>
      <c r="G52" s="34" t="inlineStr">
        <is>
          <t>เกิดฟอง</t>
        </is>
      </c>
      <c r="H52" s="34" t="inlineStr">
        <is>
          <t>หนืดขึ้น</t>
        </is>
      </c>
      <c r="I52" s="35" t="n">
        <v>1</v>
      </c>
      <c r="J52" s="34" t="inlineStr">
        <is>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2" s="35" t="n"/>
      <c r="L52" s="34" t="inlineStr">
        <is>
          <t>Pharmaceutical Technology General</t>
        </is>
      </c>
      <c r="M52" s="35" t="inlineStr">
        <is>
          <t>Product</t>
        </is>
      </c>
      <c r="N52" s="34" t="inlineStr">
        <is>
          <t>ข้อสอบจริง Product ปี 2564 ข้อ 55</t>
        </is>
      </c>
      <c r="O52" s="35" t="inlineStr">
        <is>
          <t>ข้อสอบจริง</t>
        </is>
      </c>
      <c r="P52" s="35" t="inlineStr">
        <is>
          <t>ปี 2564</t>
        </is>
      </c>
    </row>
    <row r="53" ht="409.6" customHeight="1" s="49">
      <c r="A53" s="35" t="n">
        <v>51</v>
      </c>
      <c r="B53" s="34" t="inlineStr">
        <is>
          <t>ทำ calcium effervescent ข้อใดถูกต้อง</t>
        </is>
      </c>
      <c r="C53" s="35" t="n"/>
      <c r="D53" s="34" t="inlineStr">
        <is>
          <t>Moisture content ไมเกิน 50%</t>
        </is>
      </c>
      <c r="E53" s="34" t="inlineStr">
        <is>
          <t>มี sodium bicarb \+ ascorbic acid</t>
        </is>
      </c>
      <c r="F53" s="34" t="inlineStr">
        <is>
          <t>มี low key resisted content</t>
        </is>
      </c>
      <c r="G53" s="34" t="inlineStr">
        <is>
          <t>- ตอบ ไม่มีคำตอบ choice ไม่ครบ</t>
        </is>
      </c>
      <c r="H53" s="34" t="n"/>
      <c r="I53" s="35" t="n">
        <v>3</v>
      </c>
      <c r="J53" s="34" t="inlineStr">
        <is>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3" s="35" t="n"/>
      <c r="L53" s="34" t="inlineStr">
        <is>
          <t>Pharmaceutical Technology General</t>
        </is>
      </c>
      <c r="M53" s="35" t="inlineStr">
        <is>
          <t>Product</t>
        </is>
      </c>
      <c r="N53" s="34" t="inlineStr">
        <is>
          <t>ข้อสอบจริง Product ปี 2564 ข้อ 56</t>
        </is>
      </c>
      <c r="O53" s="35" t="inlineStr">
        <is>
          <t>ข้อสอบจริง</t>
        </is>
      </c>
      <c r="P53" s="35" t="inlineStr">
        <is>
          <t>ปี 2564</t>
        </is>
      </c>
    </row>
    <row r="54" ht="409.6" customHeight="1" s="49">
      <c r="A54" s="35" t="n">
        <v>52</v>
      </c>
      <c r="B54" s="34" t="inlineStr">
        <is>
          <t>จากสูตรตำรับนี้ bentonite ทำหน้าที่อะไร Calamine 15 g Zn oxide 5 g Bentonite 3 g Sodium citrate 0.3 g Glycerin 5 ml Purified water 100 ml</t>
        </is>
      </c>
      <c r="C54" s="35" t="n"/>
      <c r="D54" s="34" t="inlineStr">
        <is>
          <t>Suspending agent</t>
        </is>
      </c>
      <c r="E54" s="34" t="inlineStr">
        <is>
          <t>Antioxidant</t>
        </is>
      </c>
      <c r="F54" s="34" t="inlineStr">
        <is>
          <t>Chelating agent</t>
        </is>
      </c>
      <c r="G54" s="34" t="inlineStr">
        <is>
          <t>Coloring agent</t>
        </is>
      </c>
      <c r="H54" s="34" t="inlineStr">
        <is>
          <t>Emulsifying agent</t>
        </is>
      </c>
      <c r="I54" s="35" t="n">
        <v>1</v>
      </c>
      <c r="J54" s="34" t="inlineStr">
        <is>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4" s="35" t="n"/>
      <c r="L54" s="34" t="inlineStr">
        <is>
          <t>Pharmaceutical Technology General</t>
        </is>
      </c>
      <c r="M54" s="35" t="inlineStr">
        <is>
          <t>Product</t>
        </is>
      </c>
      <c r="N54" s="34" t="inlineStr">
        <is>
          <t>ข้อสอบจริง Product ปี 2564 ข้อ 60</t>
        </is>
      </c>
      <c r="O54" s="35" t="inlineStr">
        <is>
          <t>ข้อสอบจริง</t>
        </is>
      </c>
      <c r="P54" s="35" t="inlineStr">
        <is>
          <t>ปี 2564</t>
        </is>
      </c>
    </row>
    <row r="55" ht="409.6" customHeight="1" s="49">
      <c r="A55" s="35" t="n">
        <v>53</v>
      </c>
      <c r="B55" s="34" t="inlineStr">
        <is>
          <t>หากยาเคลือบมีปัญหา bridging of logo จะมีวิธีแก้ปัญหาอย่างไร</t>
        </is>
      </c>
      <c r="C55" s="35" t="n"/>
      <c r="D55" s="34" t="inlineStr">
        <is>
          <t>เพิ่ม talcum ❌ ช่วยลดการติด (anti-tacking) ไม่แก้ bridging</t>
        </is>
      </c>
      <c r="E55" s="34" t="inlineStr">
        <is>
          <t>ทำให้ตัวอักษรลึกขึ้น</t>
        </is>
      </c>
      <c r="F55" s="34" t="inlineStr">
        <is>
          <t>เพิ่ม plasticizer ❌ ช่วยให้ฟิล์มยืดหยุ่น ไม่ได้แก้ปัญหาโลโก้ถูกปิด</t>
        </is>
      </c>
      <c r="G55" s="34" t="inlineStr">
        <is>
          <t>เพิ่ม opacifier ❌ เปลี่ยนความทึบแสง ไม่เกี่ยวกับ bridging</t>
        </is>
      </c>
      <c r="H55" s="34" t="inlineStr">
        <is>
          <t>เพิ่มอุณหภูมิของหม้อเคลือบ ❌ อาจช่วยให้แห้งเร็วขึ้น แต่ไม่ใช่วิธีหลักในการแก้ bridging</t>
        </is>
      </c>
      <c r="I55" s="35" t="n">
        <v>1</v>
      </c>
      <c r="J55" s="34" t="inlineStr">
        <is>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5" s="35" t="n"/>
      <c r="L55" s="34" t="inlineStr">
        <is>
          <t>Pharmaceutical Technology General</t>
        </is>
      </c>
      <c r="M55" s="35" t="inlineStr">
        <is>
          <t>Product</t>
        </is>
      </c>
      <c r="N55" s="34" t="inlineStr">
        <is>
          <t>ข้อสอบจริง Product ปี 2564 ข้อ 68</t>
        </is>
      </c>
      <c r="O55" s="35" t="inlineStr">
        <is>
          <t>ข้อสอบจริง</t>
        </is>
      </c>
      <c r="P55" s="35" t="inlineStr">
        <is>
          <t>ปี 2564</t>
        </is>
      </c>
    </row>
    <row r="56" ht="409.6" customHeight="1" s="49">
      <c r="A56" s="35" t="n">
        <v>54</v>
      </c>
      <c r="B56" s="34" t="inlineStr">
        <is>
          <t>FeSO4 มีมวลโมเลกุล 152 ต้องการเตรียมสารความเข้มข้น 0.2 Molar ปริมาตร 1 ลิตร ต้องใช้ FeSO4 กี่กรัม</t>
        </is>
      </c>
      <c r="C56" s="35" t="n"/>
      <c r="D56" s="34" t="inlineStr">
        <is>
          <t>304</t>
        </is>
      </c>
      <c r="E56" s="34" t="inlineStr">
        <is>
          <t>152</t>
        </is>
      </c>
      <c r="F56" s="34" t="inlineStr">
        <is>
          <t>28.83</t>
        </is>
      </c>
      <c r="G56" s="34" t="inlineStr">
        <is>
          <t>30.4</t>
        </is>
      </c>
      <c r="H56" s="34" t="inlineStr">
        <is>
          <t>15.2</t>
        </is>
      </c>
      <c r="I56" s="35" t="n">
        <v>1</v>
      </c>
      <c r="J56" s="34" t="inlineStr">
        <is>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6" s="35" t="n"/>
      <c r="L56" s="34" t="inlineStr">
        <is>
          <t>Pharmaceutical Technology General</t>
        </is>
      </c>
      <c r="M56" s="35" t="inlineStr">
        <is>
          <t>Product</t>
        </is>
      </c>
      <c r="N56" s="34" t="inlineStr">
        <is>
          <t>ข้อสอบจริง Product ปี 2564 ข้อ 76</t>
        </is>
      </c>
      <c r="O56" s="35" t="inlineStr">
        <is>
          <t>ข้อสอบจริง</t>
        </is>
      </c>
      <c r="P56" s="35" t="inlineStr">
        <is>
          <t>ปี 2564</t>
        </is>
      </c>
    </row>
    <row r="57" ht="409.6" customHeight="1" s="49">
      <c r="A57" s="35" t="n">
        <v>55</v>
      </c>
      <c r="B57" s="34" t="inlineStr">
        <is>
          <t>ยา X ปริมาณ 150 mg มีปริมาณตัวยาสาคัญ 142 mg มีปริมาณน้ำ 4.72% จะมี %label amount ของตัวยาที่ไม่มีน้ำเท่าไหร่</t>
        </is>
      </c>
      <c r="C57" s="35" t="inlineStr">
        <is>
          <t>[แนบรูป: ข้อสอบ Product ปี 2564 รหัสรูปภาพ image86]</t>
        </is>
      </c>
      <c r="D57" s="34" t="inlineStr">
        <is>
          <t>90.4</t>
        </is>
      </c>
      <c r="E57" s="34" t="inlineStr">
        <is>
          <t>94.7</t>
        </is>
      </c>
      <c r="F57" s="34" t="inlineStr">
        <is>
          <t>95.7</t>
        </is>
      </c>
      <c r="G57" s="34" t="inlineStr">
        <is>
          <t>98.9</t>
        </is>
      </c>
      <c r="H57" s="34" t="inlineStr">
        <is>
          <t>100.5</t>
        </is>
      </c>
      <c r="I57" s="35" t="n">
        <v>1</v>
      </c>
      <c r="J57" s="34" t="inlineStr">
        <is>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7" s="35" t="n"/>
      <c r="L57" s="34" t="inlineStr">
        <is>
          <t>Pharmaceutical Technology General</t>
        </is>
      </c>
      <c r="M57" s="35" t="inlineStr">
        <is>
          <t>Product</t>
        </is>
      </c>
      <c r="N57" s="34" t="inlineStr">
        <is>
          <t>ข้อสอบจริง Product ปี 2564 ข้อ 94</t>
        </is>
      </c>
      <c r="O57" s="35" t="inlineStr">
        <is>
          <t>ข้อสอบจริง</t>
        </is>
      </c>
      <c r="P57" s="35" t="inlineStr">
        <is>
          <t>ปี 2564</t>
        </is>
      </c>
    </row>
    <row r="58" ht="409.6" customHeight="1" s="49">
      <c r="A58" s="35" t="n">
        <v>56</v>
      </c>
      <c r="B58" s="34" t="inlineStr">
        <is>
          <t>ข้อใดเป็น preservatives ในตำรับนี้</t>
        </is>
      </c>
      <c r="C58" s="35" t="n"/>
      <c r="D58" s="34" t="inlineStr">
        <is>
          <t>Dexamethasone ❌ → ตัวยาสำคัญ (corticosteroid)</t>
        </is>
      </c>
      <c r="E58" s="34" t="inlineStr">
        <is>
          <t>Benzyl alcohol ✅ → Preservative</t>
        </is>
      </c>
      <c r="F58" s="34" t="inlineStr">
        <is>
          <t>Sodium chloride ❌ → ปรับความเป็น isotonic</t>
        </is>
      </c>
      <c r="G58" s="34" t="inlineStr">
        <is>
          <t>Sodium hydroxide ❌ → ปรับ pH</t>
        </is>
      </c>
      <c r="H58" s="34" t="inlineStr">
        <is>
          <t>Polysorbate 80 ❌ → Surfactant / Emulsifier / Solubilizer</t>
        </is>
      </c>
      <c r="I58" s="35" t="n">
        <v>1</v>
      </c>
      <c r="J58" s="34" t="inlineStr">
        <is>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8" s="35" t="n"/>
      <c r="L58" s="34" t="inlineStr">
        <is>
          <t>Pharmaceutical Technology General</t>
        </is>
      </c>
      <c r="M58" s="35" t="inlineStr">
        <is>
          <t>Product</t>
        </is>
      </c>
      <c r="N58" s="34" t="inlineStr">
        <is>
          <t>ข้อสอบจริง Product ปี 2564 ข้อ 104</t>
        </is>
      </c>
      <c r="O58" s="35" t="inlineStr">
        <is>
          <t>ข้อสอบจริง</t>
        </is>
      </c>
      <c r="P58" s="35" t="inlineStr">
        <is>
          <t>ปี 2564</t>
        </is>
      </c>
    </row>
    <row r="59" ht="409.6" customHeight="1" s="49">
      <c r="A59" s="35" t="n">
        <v>57</v>
      </c>
      <c r="B59" s="34" t="inlineStr">
        <is>
          <t>ครีม betamethasone valerate 0.1% คิด %label amout ได้ 100 ถ้าในครีม 1 g จะมียาเท่าไร</t>
        </is>
      </c>
      <c r="C59" s="35" t="n"/>
      <c r="D59" s="34" t="inlineStr">
        <is>
          <t>betamethasone 1 mg</t>
        </is>
      </c>
      <c r="E59" s="34" t="inlineStr">
        <is>
          <t>betamethasone 10 mg</t>
        </is>
      </c>
      <c r="F59" s="34" t="inlineStr">
        <is>
          <t>betamethasone valerate 0.1 mg</t>
        </is>
      </c>
      <c r="G59" s="34" t="inlineStr">
        <is>
          <t>betamethasone valerate 1 mg</t>
        </is>
      </c>
      <c r="H59" s="34" t="inlineStr">
        <is>
          <t>betamethasone valerate 10 mg</t>
        </is>
      </c>
      <c r="I59" s="35" t="n">
        <v>1</v>
      </c>
      <c r="J59" s="34" t="inlineStr">
        <is>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9" s="35" t="n"/>
      <c r="L59" s="34" t="inlineStr">
        <is>
          <t>Pharmaceutical Technology General</t>
        </is>
      </c>
      <c r="M59" s="35" t="inlineStr">
        <is>
          <t>Product</t>
        </is>
      </c>
      <c r="N59" s="34" t="inlineStr">
        <is>
          <t>ข้อสอบจริง Product ปี 2564 ข้อ 106</t>
        </is>
      </c>
      <c r="O59" s="35" t="inlineStr">
        <is>
          <t>ข้อสอบจริง</t>
        </is>
      </c>
      <c r="P59" s="35" t="inlineStr">
        <is>
          <t>ปี 2564</t>
        </is>
      </c>
    </row>
    <row r="60" ht="409.6" customHeight="1" s="49">
      <c r="A60" s="35" t="n">
        <v>58</v>
      </c>
      <c r="B60" s="34" t="inlineStr">
        <is>
          <t>จะหา corticosteroids systemic equivalency ได้จากหนังสือใด</t>
        </is>
      </c>
      <c r="C60" s="35" t="n"/>
      <c r="D60" s="34" t="inlineStr">
        <is>
          <t>Drug information handbook</t>
        </is>
      </c>
      <c r="E60" s="34" t="inlineStr">
        <is>
          <t>British Formula (BNF) ❌ เน้นแนวทางการใช้ยาและการสั่งใช้ ไม่ใช่แหล่งหลักของตารางนี้</t>
        </is>
      </c>
      <c r="F60" s="34" t="inlineStr">
        <is>
          <t>Martindale ❌ ข้อมูลยาละเอียด แต่ไม่ใช่แหล่งที่นิยมเปิดหาตาราง equivalency</t>
        </is>
      </c>
      <c r="G60" s="34" t="inlineStr">
        <is>
          <t>USP ❌ มาตรฐานคุณภาพยา ไม่ใช่ข้อมูลทางคลินิก</t>
        </is>
      </c>
      <c r="H60" s="34" t="inlineStr">
        <is>
          <t>MIMS ❌ เน้นข้อมูลผลิตภัณฑ์และข้อบ่งใช้</t>
        </is>
      </c>
      <c r="I60" s="35" t="n">
        <v>1</v>
      </c>
      <c r="J60" s="34" t="inlineStr">
        <is>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0" s="35" t="n"/>
      <c r="L60" s="34" t="inlineStr">
        <is>
          <t>Pharmaceutical Technology General</t>
        </is>
      </c>
      <c r="M60" s="35" t="inlineStr">
        <is>
          <t>Product</t>
        </is>
      </c>
      <c r="N60" s="34" t="inlineStr">
        <is>
          <t>ข้อสอบจริง Product ปี 2564 ข้อ 122</t>
        </is>
      </c>
      <c r="O60" s="35" t="inlineStr">
        <is>
          <t>ข้อสอบจริง</t>
        </is>
      </c>
      <c r="P60" s="35" t="inlineStr">
        <is>
          <t>ปี 2564</t>
        </is>
      </c>
    </row>
    <row r="61" ht="409.6" customHeight="1" s="49">
      <c r="A61" s="35" t="n">
        <v>59</v>
      </c>
      <c r="B61" s="34" t="inlineStr">
        <is>
          <t>ต้องการค้นข้อมูลเกี่ยวกับยาที่เป็นปัจจุบันควรค้นจากฐานข้อมูลใดดีที่สุด</t>
        </is>
      </c>
      <c r="C61" s="35" t="n"/>
      <c r="D61" s="34" t="inlineStr">
        <is>
          <t>Drug Information Handbook ❌ เป็นตำราอ้างอิง ใช้ง่าย แต่ไม่ได้อัปเดตเร็วเท่างานวิจัย</t>
        </is>
      </c>
      <c r="E61" s="34" t="inlineStr">
        <is>
          <t>Drug Facts and Comparisons ❌ เน้นข้อมูลเปรียบเทียบยา ไม่ใช่ฐานข้อมูลงานวิจัยล่าสุด</t>
        </is>
      </c>
      <c r="F61" s="34" t="inlineStr">
        <is>
          <t>AHFS (American Hospital Formulary Service) ❌ เป็นแหล่งข้อมูลยาแบบ monograph แต่ไม่ใช่ฐานข้อมูลงานวิจัยล่าสุด</t>
        </is>
      </c>
      <c r="G61" s="34" t="inlineStr">
        <is>
          <t>PubMed ✅ ฐานข้อมูลบทความวิจัยทางการแพทย์ที่ทันสมัย</t>
        </is>
      </c>
      <c r="H61" s="34" t="inlineStr">
        <is>
          <t>Pharmacotherapy Handbook ❌ ตำราเรียนด้านการรักษา</t>
        </is>
      </c>
      <c r="I61" s="35" t="n">
        <v>1</v>
      </c>
      <c r="J61" s="34" t="inlineStr">
        <is>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1" s="35" t="n"/>
      <c r="L61" s="34" t="inlineStr">
        <is>
          <t>Pharmaceutical Technology General</t>
        </is>
      </c>
      <c r="M61" s="35" t="inlineStr">
        <is>
          <t>Product</t>
        </is>
      </c>
      <c r="N61" s="34" t="inlineStr">
        <is>
          <t>ข้อสอบจริง Product ปี 2564 ข้อ 128</t>
        </is>
      </c>
      <c r="O61" s="35" t="inlineStr">
        <is>
          <t>ข้อสอบจริง</t>
        </is>
      </c>
      <c r="P61" s="35" t="inlineStr">
        <is>
          <t>ปี 2564</t>
        </is>
      </c>
    </row>
    <row r="62" ht="409.6" customHeight="1" s="49">
      <c r="A62" s="35" t="n">
        <v>60</v>
      </c>
      <c r="B62" s="34" t="inlineStr">
        <is>
          <t>ข้อใดไม่ใช่คุณสมบัติในการออกแบบ Ideal inhale corticosteroid</t>
        </is>
      </c>
      <c r="C62" s="35" t="n"/>
      <c r="D62" s="34" t="inlineStr">
        <is>
          <t>High lipophilicity</t>
        </is>
      </c>
      <c r="E62" s="34" t="inlineStr">
        <is>
          <t>High affinity steroid receptor</t>
        </is>
      </c>
      <c r="F62" s="34" t="inlineStr">
        <is>
          <t>High systemic absorption</t>
        </is>
      </c>
      <c r="G62" s="34" t="inlineStr">
        <is>
          <t>Topical action</t>
        </is>
      </c>
      <c r="H62" s="34" t="inlineStr">
        <is>
          <t>Less side effect</t>
        </is>
      </c>
      <c r="I62" s="35" t="n">
        <v>1</v>
      </c>
      <c r="J62" s="34" t="inlineStr">
        <is>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2" s="35" t="n"/>
      <c r="L62" s="34" t="inlineStr">
        <is>
          <t>Pharmaceutical Technology General</t>
        </is>
      </c>
      <c r="M62" s="35" t="inlineStr">
        <is>
          <t>Product</t>
        </is>
      </c>
      <c r="N62" s="34" t="inlineStr">
        <is>
          <t>ข้อสอบจริง Product ปี 2564 ข้อ 133</t>
        </is>
      </c>
      <c r="O62" s="35" t="inlineStr">
        <is>
          <t>ข้อสอบจริง</t>
        </is>
      </c>
      <c r="P62" s="35" t="inlineStr">
        <is>
          <t>ปี 2564</t>
        </is>
      </c>
    </row>
    <row r="63" ht="409.6" customHeight="1" s="49">
      <c r="A63" s="35" t="n">
        <v>61</v>
      </c>
      <c r="B63" s="34" t="inlineStr">
        <is>
          <t>ยาเปลี่ยนสีจากปฏิกิริยา oxidation ควรเติมสารใด</t>
        </is>
      </c>
      <c r="C63" s="35" t="n"/>
      <c r="D63" s="34" t="inlineStr">
        <is>
          <t>PEG ❌ Cosolvent / base</t>
        </is>
      </c>
      <c r="E63" s="34" t="inlineStr">
        <is>
          <t>Glycerin ❌ Humectant / cosolvent</t>
        </is>
      </c>
      <c r="F63" s="34" t="inlineStr">
        <is>
          <t>Sodium metabisulfite ✅ Antioxidant</t>
        </is>
      </c>
      <c r="G63" s="34" t="inlineStr">
        <is>
          <t>Benzalkonium chloride ❌ Preservative</t>
        </is>
      </c>
      <c r="H63" s="34" t="inlineStr">
        <is>
          <t>Cyclodextrin ❌ ช่วยเพิ่มการละลายและความคงตัวของยา ไม่ใช่ antioxidant</t>
        </is>
      </c>
      <c r="I63" s="35" t="n">
        <v>1</v>
      </c>
      <c r="J63" s="34" t="inlineStr">
        <is>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3" s="35" t="n"/>
      <c r="L63" s="34" t="inlineStr">
        <is>
          <t>Pharmaceutical Technology General</t>
        </is>
      </c>
      <c r="M63" s="35" t="inlineStr">
        <is>
          <t>Product</t>
        </is>
      </c>
      <c r="N63" s="34" t="inlineStr">
        <is>
          <t>ข้อสอบจริง Product ปี 2564 ข้อ 141</t>
        </is>
      </c>
      <c r="O63" s="35" t="inlineStr">
        <is>
          <t>ข้อสอบจริง</t>
        </is>
      </c>
      <c r="P63" s="35" t="inlineStr">
        <is>
          <t>ปี 2564</t>
        </is>
      </c>
    </row>
    <row r="64" ht="409.6" customHeight="1" s="49">
      <c r="A64" s="35" t="n">
        <v>62</v>
      </c>
      <c r="B64" s="34" t="inlineStr">
        <is>
          <t>เตรียม atenolol 0.2% 50 ml ต้องใช้ atenolol (25 mg/tab) กี่เม็ด</t>
        </is>
      </c>
      <c r="C64" s="35" t="n"/>
      <c r="D64" s="34" t="inlineStr">
        <is>
          <t>2</t>
        </is>
      </c>
      <c r="E64" s="34" t="inlineStr">
        <is>
          <t>3</t>
        </is>
      </c>
      <c r="F64" s="34" t="inlineStr">
        <is>
          <t>4</t>
        </is>
      </c>
      <c r="G64" s="34" t="inlineStr">
        <is>
          <t>5</t>
        </is>
      </c>
      <c r="H64" s="34" t="inlineStr">
        <is>
          <t>6</t>
        </is>
      </c>
      <c r="I64" s="35" t="n">
        <v>1</v>
      </c>
      <c r="J64" s="34" t="inlineStr">
        <is>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4" s="35" t="n"/>
      <c r="L64" s="34" t="inlineStr">
        <is>
          <t>Pharmaceutical Technology General</t>
        </is>
      </c>
      <c r="M64" s="35" t="inlineStr">
        <is>
          <t>Product</t>
        </is>
      </c>
      <c r="N64" s="34" t="inlineStr">
        <is>
          <t>ข้อสอบจริง Product ปี 2564 ข้อ 142</t>
        </is>
      </c>
      <c r="O64" s="35" t="inlineStr">
        <is>
          <t>ข้อสอบจริง</t>
        </is>
      </c>
      <c r="P64" s="35" t="inlineStr">
        <is>
          <t>ปี 2564</t>
        </is>
      </c>
    </row>
    <row r="65" ht="409.6" customHeight="1" s="49">
      <c r="A65" s="35" t="n">
        <v>63</v>
      </c>
      <c r="B65" s="34" t="inlineStr">
        <is>
          <t>ข้อใดคือวิธีแก้ไขปัญหาสารนอนก้นเร็วของตำรับยาน้ำแขวนตะกอน</t>
        </is>
      </c>
      <c r="C65" s="35" t="n"/>
      <c r="D65" s="34" t="inlineStr">
        <is>
          <t>เพิ่มความหนืด ✅ ลดอัตราการตกตะกอน</t>
        </is>
      </c>
      <c r="E65" s="34" t="inlineStr">
        <is>
          <t>เพิ่มขนาดอนุภาค ❌ อนุภาคใหญ่ตกเร็วขึ้น</t>
        </is>
      </c>
      <c r="F65" s="34" t="inlineStr">
        <is>
          <t>เพิ่มสารช่วยเปียก ❌ ช่วยให้ผงกระจายตัว ไม่ได้ลดการตกตะกอนโดยตรง</t>
        </is>
      </c>
      <c r="G65" s="34" t="inlineStr">
        <is>
          <t>เพิ่มอุณหภูมิของตำรับ ❌ ความหนืดลดลง ทำให้ตกเร็วขึ้น</t>
        </is>
      </c>
      <c r="H65" s="34" t="inlineStr">
        <is>
          <t>ทำให้ความหนาแน่นของ 2 วัฏภาคต่างกันมาก ๆ ❌ ยิ่งต่างกันมาก ยิ่งตกเร็ว</t>
        </is>
      </c>
      <c r="I65" s="35" t="n">
        <v>1</v>
      </c>
      <c r="J65" s="34" t="inlineStr">
        <is>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5" s="35" t="n"/>
      <c r="L65" s="34" t="inlineStr">
        <is>
          <t>Pharmaceutical Technology General</t>
        </is>
      </c>
      <c r="M65" s="35" t="inlineStr">
        <is>
          <t>Product</t>
        </is>
      </c>
      <c r="N65" s="34" t="inlineStr">
        <is>
          <t>ข้อสอบจริง Product ปี 2564 ข้อ 155</t>
        </is>
      </c>
      <c r="O65" s="35" t="inlineStr">
        <is>
          <t>ข้อสอบจริง</t>
        </is>
      </c>
      <c r="P65" s="35" t="inlineStr">
        <is>
          <t>ปี 2564</t>
        </is>
      </c>
    </row>
    <row r="66" ht="409.6" customHeight="1" s="49">
      <c r="A66" s="35" t="n">
        <v>64</v>
      </c>
      <c r="B66" s="34" t="inlineStr">
        <is>
          <t>ในการผลิตยาต้านวัณโรค การควบคุมคุณภาพตาม USP กำหนดว่าห้ามพบเชื้อใด</t>
        </is>
      </c>
      <c r="C66" s="35" t="n"/>
      <c r="D66" s="34" t="inlineStr">
        <is>
          <t>E. coli</t>
        </is>
      </c>
      <c r="E66" s="34" t="inlineStr">
        <is>
          <t>Candida albican</t>
        </is>
      </c>
      <c r="F66" s="34" t="inlineStr">
        <is>
          <t>Bacillus subtilis</t>
        </is>
      </c>
      <c r="G66" s="34" t="inlineStr">
        <is>
          <t>Aspergillus niger</t>
        </is>
      </c>
      <c r="H66" s="34" t="inlineStr">
        <is>
          <t>Enterobacter spp.</t>
        </is>
      </c>
      <c r="I66" s="35" t="n">
        <v>1</v>
      </c>
      <c r="J66" s="34" t="inlineStr">
        <is>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6" s="35" t="n"/>
      <c r="L66" s="34" t="inlineStr">
        <is>
          <t>Pharmaceutical Technology General</t>
        </is>
      </c>
      <c r="M66" s="35" t="inlineStr">
        <is>
          <t>Product</t>
        </is>
      </c>
      <c r="N66" s="34" t="inlineStr">
        <is>
          <t>ข้อสอบจริง Product ปี 2564 ข้อ 163</t>
        </is>
      </c>
      <c r="O66" s="35" t="inlineStr">
        <is>
          <t>ข้อสอบจริง</t>
        </is>
      </c>
      <c r="P66" s="35" t="inlineStr">
        <is>
          <t>ปี 2564</t>
        </is>
      </c>
    </row>
    <row r="67" ht="409.6" customHeight="1" s="49">
      <c r="A67" s="35" t="n">
        <v>65</v>
      </c>
      <c r="B67" s="34" t="inlineStr">
        <is>
          <t>ในขั้นตอน method validation ควรทดสอบใดเป็นอันดับแรก</t>
        </is>
      </c>
      <c r="C67" s="35" t="n"/>
      <c r="D67" s="34" t="inlineStr">
        <is>
          <t>Accuracy</t>
        </is>
      </c>
      <c r="E67" s="34" t="inlineStr">
        <is>
          <t>Precisions</t>
        </is>
      </c>
      <c r="F67" s="34" t="inlineStr">
        <is>
          <t>Specificity</t>
        </is>
      </c>
      <c r="G67" s="34" t="inlineStr">
        <is>
          <t>Linearity</t>
        </is>
      </c>
      <c r="H67" s="34" t="inlineStr">
        <is>
          <t>Range</t>
        </is>
      </c>
      <c r="I67" s="35" t="n">
        <v>1</v>
      </c>
      <c r="J67" s="34" t="inlineStr">
        <is>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67" s="35" t="n"/>
      <c r="L67" s="34" t="inlineStr">
        <is>
          <t>Preformulation &amp; Good Manufacturing Practice</t>
        </is>
      </c>
      <c r="M67" s="35" t="inlineStr">
        <is>
          <t>Product</t>
        </is>
      </c>
      <c r="N67" s="34" t="inlineStr">
        <is>
          <t>ข้อสอบจริง Product ปี 2564 ข้อ 168</t>
        </is>
      </c>
      <c r="O67" s="35" t="inlineStr">
        <is>
          <t>ข้อสอบจริง</t>
        </is>
      </c>
      <c r="P67" s="35" t="inlineStr">
        <is>
          <t>ปี 2564</t>
        </is>
      </c>
    </row>
    <row r="68" ht="409.6" customHeight="1" s="49">
      <c r="A68" s="35" t="n">
        <v>66</v>
      </c>
      <c r="B68" s="34" t="inlineStr">
        <is>
          <t>พืชที่ประกอบด้วย sulfur-containing compound หลายชนิด ข้อใดน่าจะเกิด herb-drug interaction กับกลุ่มยาต้านเกล็ดเลือดมากที่สุด?</t>
        </is>
      </c>
      <c r="C68" s="35" t="n"/>
      <c r="D68" s="34" t="inlineStr">
        <is>
          <t>ขิง ❌ มีฤทธิ์ต้านเกล็ดเลือดได้เล็กน้อย แต่ไม่เด่นด้าน sulfur compound</t>
        </is>
      </c>
      <c r="E68" s="34" t="inlineStr">
        <is>
          <t>แปะก๊วย ❌ มีผลต่อ platelet ได้ แต่สารสำคัญเป็น flavonoids/terpenoids</t>
        </is>
      </c>
      <c r="F68" s="34" t="inlineStr">
        <is>
          <t>กระเทียม ✅ มี sulfur compounds → antiplatelet effect</t>
        </is>
      </c>
      <c r="G68" s="34" t="inlineStr">
        <is>
          <t>ชุมเห็ดเทศ ❌ ใช้เป็นยาระบาย</t>
        </is>
      </c>
      <c r="H68" s="34" t="inlineStr">
        <is>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is>
      </c>
      <c r="I68" s="35" t="n">
        <v>1</v>
      </c>
      <c r="J68" s="34" t="inlineStr">
        <is>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8" s="35" t="n"/>
      <c r="L68" s="34" t="inlineStr">
        <is>
          <t>Pharmaceutical Technology General</t>
        </is>
      </c>
      <c r="M68" s="35" t="inlineStr">
        <is>
          <t>Product</t>
        </is>
      </c>
      <c r="N68" s="34" t="inlineStr">
        <is>
          <t>ข้อสอบจริง Product ปี 2564 ข้อ 183</t>
        </is>
      </c>
      <c r="O68" s="35" t="inlineStr">
        <is>
          <t>ข้อสอบจริง</t>
        </is>
      </c>
      <c r="P68" s="35" t="inlineStr">
        <is>
          <t>ปี 2564</t>
        </is>
      </c>
    </row>
    <row r="69" ht="409.6" customHeight="1" s="49">
      <c r="A69" s="35" t="n">
        <v>67</v>
      </c>
      <c r="B69" s="34" t="inlineStr">
        <is>
          <t>FeSO4 มีมวลโมเลกุล 152 ต้องการเตรียมสารความเข้มข้น 0.2 Molar ปริมาตร 1 ลิตร ต้องใช้ FeSO4 กี่กรัม ต้นฉบับ: Day 2 ข้อ 53</t>
        </is>
      </c>
      <c r="C69" s="35" t="n"/>
      <c r="D69" s="34" t="inlineStr">
        <is>
          <t>304</t>
        </is>
      </c>
      <c r="E69" s="34" t="inlineStr">
        <is>
          <t>152</t>
        </is>
      </c>
      <c r="F69" s="34" t="inlineStr">
        <is>
          <t>28.83</t>
        </is>
      </c>
      <c r="G69" s="34" t="inlineStr">
        <is>
          <t>30.4</t>
        </is>
      </c>
      <c r="H69" s="34" t="inlineStr">
        <is>
          <t>15.2</t>
        </is>
      </c>
      <c r="I69" s="35" t="n">
        <v>4</v>
      </c>
      <c r="J69" s="34" t="inlineStr">
        <is>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9" s="35" t="n"/>
      <c r="L69" s="34" t="inlineStr">
        <is>
          <t>Pharmaceutical Technology General</t>
        </is>
      </c>
      <c r="M69" s="35" t="inlineStr">
        <is>
          <t>Product</t>
        </is>
      </c>
      <c r="N69" s="34" t="inlineStr">
        <is>
          <t>ข้อสอบจริง Product ปี 2563 ข้อ 4</t>
        </is>
      </c>
      <c r="O69" s="35" t="inlineStr">
        <is>
          <t>ข้อสอบจริง</t>
        </is>
      </c>
      <c r="P69" s="35" t="inlineStr">
        <is>
          <t>ปี 2563</t>
        </is>
      </c>
    </row>
    <row r="70" ht="409.6" customHeight="1" s="49">
      <c r="A70" s="35" t="n">
        <v>68</v>
      </c>
      <c r="B70" s="34" t="inlineStr">
        <is>
          <t>ข้อใดเป็นการทดสอบ Specific test สำหรับ risedronate ต้นฉบับ: Day 1 ข้อ 65</t>
        </is>
      </c>
      <c r="C70" s="35" t="n"/>
      <c r="D70" s="34" t="inlineStr">
        <is>
          <t>Identification</t>
        </is>
      </c>
      <c r="E70" s="34" t="inlineStr">
        <is>
          <t>Assay</t>
        </is>
      </c>
      <c r="F70" s="34" t="inlineStr">
        <is>
          <t>Impurity</t>
        </is>
      </c>
      <c r="G70" s="34" t="inlineStr">
        <is>
          <t>Water determination</t>
        </is>
      </c>
      <c r="H70" s="34" t="inlineStr">
        <is>
          <t>pH</t>
        </is>
      </c>
      <c r="I70" s="35" t="n">
        <v>4</v>
      </c>
      <c r="J70" s="34" t="inlineStr">
        <is>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0" s="35" t="n"/>
      <c r="L70" s="34" t="inlineStr">
        <is>
          <t>Pharmaceutical Technology General</t>
        </is>
      </c>
      <c r="M70" s="35" t="inlineStr">
        <is>
          <t>Product</t>
        </is>
      </c>
      <c r="N70" s="34" t="inlineStr">
        <is>
          <t>ข้อสอบจริง Product ปี 2563 ข้อ 8</t>
        </is>
      </c>
      <c r="O70" s="35" t="inlineStr">
        <is>
          <t>ข้อสอบจริง</t>
        </is>
      </c>
      <c r="P70" s="35" t="inlineStr">
        <is>
          <t>ปี 2563</t>
        </is>
      </c>
    </row>
    <row r="71" ht="409.6" customHeight="1" s="49">
      <c r="A71" s="35" t="n">
        <v>69</v>
      </c>
      <c r="B71" s="34" t="inlineStr">
        <is>
          <t>Metformin ฟิล์มเคลือบแตก (film cracking) เกิดจากสาเหตุใด ต้นฉบับ: Day 1 ข้อ 11</t>
        </is>
      </c>
      <c r="C71" s="35" t="n"/>
      <c r="D71" s="34" t="inlineStr">
        <is>
          <t>สารให้ความยืดหยุ่นน้อยเกินไป</t>
        </is>
      </c>
      <c r="E71" s="34" t="inlineStr">
        <is>
          <t>อุณหภูมิต่ำเกินไป</t>
        </is>
      </c>
      <c r="F71" s="34" t="inlineStr">
        <is>
          <t>หมุนหม้อเร็วเกิน</t>
        </is>
      </c>
      <c r="G71" s="34" t="inlineStr">
        <is>
          <t>พ่นสารเคลือบช้าเกิน</t>
        </is>
      </c>
      <c r="H71" s="34" t="inlineStr">
        <is>
          <t>สารเคลือบที่พ่นหนืดเกิน</t>
        </is>
      </c>
      <c r="I71" s="35" t="n">
        <v>1</v>
      </c>
      <c r="J71" s="34" t="inlineStr">
        <is>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1" s="35" t="n"/>
      <c r="L71" s="34" t="inlineStr">
        <is>
          <t>Pharmaceutical Technology General</t>
        </is>
      </c>
      <c r="M71" s="35" t="inlineStr">
        <is>
          <t>Product</t>
        </is>
      </c>
      <c r="N71" s="34" t="inlineStr">
        <is>
          <t>ข้อสอบจริง Product ปี 2563 ข้อ 17</t>
        </is>
      </c>
      <c r="O71" s="35" t="inlineStr">
        <is>
          <t>ข้อสอบจริง</t>
        </is>
      </c>
      <c r="P71" s="35" t="inlineStr">
        <is>
          <t>ปี 2563</t>
        </is>
      </c>
    </row>
    <row r="72" ht="409.6" customHeight="1" s="49">
      <c r="A72" s="35" t="n">
        <v>70</v>
      </c>
      <c r="B72" s="34" t="inlineStr">
        <is>
          <t>หากยาเคลือบมีปัญหา bridging of logo จะมีวิธีการแก้ปัญหาอย่างไร ต้นฉบับ: Day 2 ข้อ 26</t>
        </is>
      </c>
      <c r="C72" s="35" t="n"/>
      <c r="D72" s="34" t="inlineStr">
        <is>
          <t>เพิ่ม talcum</t>
        </is>
      </c>
      <c r="E72" s="34" t="inlineStr">
        <is>
          <t>ทำให้ตัวอักษรลึกขึ้น</t>
        </is>
      </c>
      <c r="F72" s="34" t="inlineStr">
        <is>
          <t>เพิ่มปริมาณ plasticizer</t>
        </is>
      </c>
      <c r="G72" s="34" t="inlineStr">
        <is>
          <t>เพิ่มปริมาณ opacifier</t>
        </is>
      </c>
      <c r="H72" s="34" t="inlineStr">
        <is>
          <t>เพิ่มอุณหภูมิของหม้อเคลือบ</t>
        </is>
      </c>
      <c r="I72" s="35" t="n">
        <v>3</v>
      </c>
      <c r="J72" s="34" t="inlineStr">
        <is>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2" s="35" t="n"/>
      <c r="L72" s="34" t="inlineStr">
        <is>
          <t>Pharmaceutical Technology General</t>
        </is>
      </c>
      <c r="M72" s="35" t="inlineStr">
        <is>
          <t>Product</t>
        </is>
      </c>
      <c r="N72" s="34" t="inlineStr">
        <is>
          <t>ข้อสอบจริง Product ปี 2563 ข้อ 31</t>
        </is>
      </c>
      <c r="O72" s="35" t="inlineStr">
        <is>
          <t>ข้อสอบจริง</t>
        </is>
      </c>
      <c r="P72" s="35" t="inlineStr">
        <is>
          <t>ปี 2563</t>
        </is>
      </c>
    </row>
    <row r="73" ht="409.6" customHeight="1" s="49">
      <c r="A73" s="35" t="n">
        <v>71</v>
      </c>
      <c r="B73" s="34" t="inlineStr">
        <is>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is>
      </c>
      <c r="C73" s="35" t="inlineStr">
        <is>
          <t>[แนบรูป: ข้อสอบ Product ปี 2563 รหัสรูปภาพ image99]</t>
        </is>
      </c>
      <c r="D73" s="34" t="inlineStr">
        <is>
          <t>A และ B</t>
        </is>
      </c>
      <c r="E73" s="34" t="inlineStr">
        <is>
          <t>B และ C</t>
        </is>
      </c>
      <c r="F73" s="34" t="inlineStr">
        <is>
          <t>C และ D</t>
        </is>
      </c>
      <c r="G73" s="34" t="inlineStr">
        <is>
          <t>D และ A</t>
        </is>
      </c>
      <c r="H73" s="34" t="inlineStr">
        <is>
          <t>B และ D</t>
        </is>
      </c>
      <c r="I73" s="35" t="n">
        <v>3</v>
      </c>
      <c r="J73" s="34" t="inlineStr">
        <is>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3" s="35" t="n"/>
      <c r="L73" s="34" t="inlineStr">
        <is>
          <t>Pharmaceutical Technology General</t>
        </is>
      </c>
      <c r="M73" s="35" t="inlineStr">
        <is>
          <t>Product</t>
        </is>
      </c>
      <c r="N73" s="34" t="inlineStr">
        <is>
          <t>ข้อสอบจริง Product ปี 2563 ข้อ 35</t>
        </is>
      </c>
      <c r="O73" s="35" t="inlineStr">
        <is>
          <t>ข้อสอบจริง</t>
        </is>
      </c>
      <c r="P73" s="35" t="inlineStr">
        <is>
          <t>ปี 2563</t>
        </is>
      </c>
    </row>
    <row r="74" ht="409.6" customHeight="1" s="49">
      <c r="A74" s="35" t="n">
        <v>72</v>
      </c>
      <c r="B74" s="34" t="inlineStr">
        <is>
          <t>ระบบ osmotic-controlled drug delivery ข้อใดถูก ต้นฉบับ: Day 2 ข้อ 112</t>
        </is>
      </c>
      <c r="C74" s="35" t="n"/>
      <c r="D74" s="34" t="inlineStr">
        <is>
          <t>ปล่อยยาแบบ Zero order</t>
        </is>
      </c>
      <c r="E74" s="34" t="inlineStr">
        <is>
          <t>การผลิตใช้ราคาถูกกว่า</t>
        </is>
      </c>
      <c r="F74" s="34" t="inlineStr">
        <is>
          <t>เป็นระบบที่สามารถย่อยสลายได้ในร่างกาย</t>
        </is>
      </c>
      <c r="G74" s="34" t="inlineStr">
        <is>
          <t>เป็นระบบที่สามารถบรรจุยาในปริมาณมากๆได้</t>
        </is>
      </c>
      <c r="H74" s="34" t="n"/>
      <c r="I74" s="35" t="n">
        <v>1</v>
      </c>
      <c r="J74" s="34" t="inlineStr">
        <is>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4" s="35" t="n"/>
      <c r="L74" s="34" t="inlineStr">
        <is>
          <t>Pharmaceutical Technology General</t>
        </is>
      </c>
      <c r="M74" s="35" t="inlineStr">
        <is>
          <t>Product</t>
        </is>
      </c>
      <c r="N74" s="34" t="inlineStr">
        <is>
          <t>ข้อสอบจริง Product ปี 2563 ข้อ 37</t>
        </is>
      </c>
      <c r="O74" s="35" t="inlineStr">
        <is>
          <t>ข้อสอบจริง</t>
        </is>
      </c>
      <c r="P74" s="35" t="inlineStr">
        <is>
          <t>ปี 2563</t>
        </is>
      </c>
    </row>
    <row r="75" ht="409.6" customHeight="1" s="49">
      <c r="A75" s="35" t="n">
        <v>73</v>
      </c>
      <c r="B75" s="34" t="inlineStr">
        <is>
          <t>วัคซีน Dengue เป็นเชื้อเป็นอ่อนฤทธิ์ ทำโดยวิธี lyophilization สารใดช่วยรักษาความคงตัวของแอนติเจน ต้นฉบับ: Day 1 ข้อ 55</t>
        </is>
      </c>
      <c r="C75" s="35" t="n"/>
      <c r="D75" s="34" t="inlineStr">
        <is>
          <t>Aluminium hydroxide</t>
        </is>
      </c>
      <c r="E75" s="34" t="inlineStr">
        <is>
          <t>Beta propiolactone</t>
        </is>
      </c>
      <c r="F75" s="34" t="inlineStr">
        <is>
          <t>Thimerosal</t>
        </is>
      </c>
      <c r="G75" s="34" t="inlineStr">
        <is>
          <t>Neomycin</t>
        </is>
      </c>
      <c r="H75" s="34" t="inlineStr">
        <is>
          <t>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t>
        </is>
      </c>
      <c r="I75" s="35" t="n">
        <v>1</v>
      </c>
      <c r="J75" s="34" t="inlineStr">
        <is>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5" s="35" t="n"/>
      <c r="L75" s="34" t="inlineStr">
        <is>
          <t>Pharmaceutical Technology General</t>
        </is>
      </c>
      <c r="M75" s="35" t="inlineStr">
        <is>
          <t>Product</t>
        </is>
      </c>
      <c r="N75" s="34" t="inlineStr">
        <is>
          <t>ข้อสอบจริง Product ปี 2563 ข้อ 65</t>
        </is>
      </c>
      <c r="O75" s="35" t="inlineStr">
        <is>
          <t>ข้อสอบจริง</t>
        </is>
      </c>
      <c r="P75" s="35" t="inlineStr">
        <is>
          <t>ปี 2563</t>
        </is>
      </c>
    </row>
    <row r="76" ht="409.6" customHeight="1" s="49">
      <c r="A76" s="35" t="n">
        <v>74</v>
      </c>
      <c r="B76" s="34" t="inlineStr">
        <is>
          <t>ยาที่จะทำให้อยู่ในรูปของ control release จะต้องมีคุณสมบัติอย่างไร</t>
        </is>
      </c>
      <c r="C76" s="35" t="n"/>
      <c r="D76" s="34" t="inlineStr">
        <is>
          <t>ยาละลายน้ำได้ดี</t>
        </is>
      </c>
      <c r="E76" s="34" t="inlineStr">
        <is>
          <t>มีค่าครึ่งชีวิตยาว</t>
        </is>
      </c>
      <c r="F76" s="34" t="inlineStr">
        <is>
          <t>มีดัชนีการรักษาแคบ</t>
        </is>
      </c>
      <c r="G76" s="34" t="inlineStr">
        <is>
          <t>สลายตัวได้ง่ายที่สภาวะเป็นกรด</t>
        </is>
      </c>
      <c r="H76" s="34" t="inlineStr">
        <is>
          <t>เหมาะกับยาที่มีโมเลกุลขนาดใหญ่</t>
        </is>
      </c>
      <c r="I76" s="35" t="n">
        <v>1</v>
      </c>
      <c r="J76" s="34" t="inlineStr">
        <is>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6" s="35" t="n"/>
      <c r="L76" s="34" t="inlineStr">
        <is>
          <t>Pharmaceutical Technology General</t>
        </is>
      </c>
      <c r="M76" s="35" t="inlineStr">
        <is>
          <t>Product</t>
        </is>
      </c>
      <c r="N76" s="34" t="inlineStr">
        <is>
          <t>ข้อสอบจริง Product ปี 2561 ข้อ 3</t>
        </is>
      </c>
      <c r="O76" s="35" t="inlineStr">
        <is>
          <t>ข้อสอบจริง</t>
        </is>
      </c>
      <c r="P76" s="35" t="inlineStr">
        <is>
          <t>ปี 2561</t>
        </is>
      </c>
    </row>
    <row r="77" ht="409.6" customHeight="1" s="49">
      <c r="A77" s="35" t="n">
        <v>75</v>
      </c>
      <c r="B77" s="34" t="inlineStr">
        <is>
          <t>ส่วนประกอบของสูตรเคลือบฟิล์มของยา ferrous sulfate ข้อใดถูกต้อง</t>
        </is>
      </c>
      <c r="C77" s="35" t="n"/>
      <c r="D77" s="34" t="inlineStr">
        <is>
          <t>Talcum ทำหน้าที่เป็นสารก่อฟิล์ม</t>
        </is>
      </c>
      <c r="E77" s="34" t="inlineStr">
        <is>
          <t>Ethyl alcohol ทำหน้าที่เป็น antioxidant</t>
        </is>
      </c>
      <c r="F77" s="34" t="inlineStr">
        <is>
          <t>Propylene glycol ทำหน้าที่เป็น plasticizer</t>
        </is>
      </c>
      <c r="G77" s="34" t="inlineStr">
        <is>
          <t>Titanium dioxide ทำหน้าที่เป็นสารก่อฟิล์ม</t>
        </is>
      </c>
      <c r="H77" s="34" t="inlineStr">
        <is>
          <t>Hydroxymethylpropyl cellulose ทำหน้าที่เป็นสารทึบแสง</t>
        </is>
      </c>
      <c r="I77" s="35" t="n">
        <v>1</v>
      </c>
      <c r="J77" s="34" t="inlineStr">
        <is>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7" s="35" t="n"/>
      <c r="L77" s="34" t="inlineStr">
        <is>
          <t>Pharmaceutical Technology General</t>
        </is>
      </c>
      <c r="M77" s="35" t="inlineStr">
        <is>
          <t>Product</t>
        </is>
      </c>
      <c r="N77" s="34" t="inlineStr">
        <is>
          <t>ข้อสอบจริง Product ปี 2561 ข้อ 4</t>
        </is>
      </c>
      <c r="O77" s="35" t="inlineStr">
        <is>
          <t>ข้อสอบจริง</t>
        </is>
      </c>
      <c r="P77" s="35" t="inlineStr">
        <is>
          <t>ปี 2561</t>
        </is>
      </c>
    </row>
    <row r="78" ht="409.6" customHeight="1" s="49">
      <c r="A78" s="35" t="n">
        <v>76</v>
      </c>
      <c r="B78" s="34" t="inlineStr">
        <is>
          <t>จากระบบยาข้อ 59 ตัวยามีการปลดปล่อยด้วยปฏิกิริยาลำดับใด</t>
        </is>
      </c>
      <c r="C78" s="35" t="n"/>
      <c r="D78" s="34" t="inlineStr">
        <is>
          <t>First order</t>
        </is>
      </c>
      <c r="E78" s="34" t="inlineStr">
        <is>
          <t>Zero order</t>
        </is>
      </c>
      <c r="F78" s="34" t="inlineStr">
        <is>
          <t>Second order</t>
        </is>
      </c>
      <c r="G78" s="34" t="inlineStr">
        <is>
          <t>Pseudo first order</t>
        </is>
      </c>
      <c r="H78" s="34" t="inlineStr">
        <is>
          <t>Pseudo zero order</t>
        </is>
      </c>
      <c r="I78" s="35" t="n">
        <v>1</v>
      </c>
      <c r="J78" s="34" t="inlineStr">
        <is>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8" s="35" t="n"/>
      <c r="L78" s="34" t="inlineStr">
        <is>
          <t>Pharmaceutical Technology General</t>
        </is>
      </c>
      <c r="M78" s="35" t="inlineStr">
        <is>
          <t>Product</t>
        </is>
      </c>
      <c r="N78" s="34" t="inlineStr">
        <is>
          <t>ข้อสอบจริง Product ปี 2561 ข้อ 14</t>
        </is>
      </c>
      <c r="O78" s="35" t="inlineStr">
        <is>
          <t>ข้อสอบจริง</t>
        </is>
      </c>
      <c r="P78" s="35" t="inlineStr">
        <is>
          <t>ปี 2561</t>
        </is>
      </c>
    </row>
    <row r="79" ht="409.6" customHeight="1" s="49">
      <c r="A79" s="35" t="n">
        <v>77</v>
      </c>
      <c r="B79" s="34" t="inlineStr">
        <is>
          <t>Polysorbate 80 ทำหน้าที่ใดในตำรับ</t>
        </is>
      </c>
      <c r="C79" s="35" t="n"/>
      <c r="D79" s="34" t="inlineStr">
        <is>
          <t>Anti-oxidant</t>
        </is>
      </c>
      <c r="E79" s="34" t="inlineStr">
        <is>
          <t>Wetting agent</t>
        </is>
      </c>
      <c r="F79" s="34" t="inlineStr">
        <is>
          <t>Reducing agent</t>
        </is>
      </c>
      <c r="G79" s="34" t="inlineStr">
        <is>
          <t>Solubilizing agent</t>
        </is>
      </c>
      <c r="H79" s="34" t="inlineStr">
        <is>
          <t>Emulsifying agent</t>
        </is>
      </c>
      <c r="I79" s="35" t="n">
        <v>1</v>
      </c>
      <c r="J79" s="34" t="inlineStr">
        <is>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9" s="35" t="n"/>
      <c r="L79" s="34" t="inlineStr">
        <is>
          <t>Pharmaceutical Technology General</t>
        </is>
      </c>
      <c r="M79" s="35" t="inlineStr">
        <is>
          <t>Product</t>
        </is>
      </c>
      <c r="N79" s="34" t="inlineStr">
        <is>
          <t>ข้อสอบจริง Product ปี 2561 ข้อ 23</t>
        </is>
      </c>
      <c r="O79" s="35" t="inlineStr">
        <is>
          <t>ข้อสอบจริง</t>
        </is>
      </c>
      <c r="P79" s="35" t="inlineStr">
        <is>
          <t>ปี 2561</t>
        </is>
      </c>
    </row>
    <row r="80" ht="409.6" customHeight="1" s="49">
      <c r="A80" s="35" t="n">
        <v>78</v>
      </c>
      <c r="B80" s="34" t="inlineStr">
        <is>
          <t>หากต้องการเพาะเชื้อเพื่อนับจำนวนเชื้อวิธีใดเหมาะสมที่สุด</t>
        </is>
      </c>
      <c r="C80" s="35" t="n"/>
      <c r="D80" s="34" t="inlineStr">
        <is>
          <t>Pour plate</t>
        </is>
      </c>
      <c r="E80" s="34" t="inlineStr">
        <is>
          <t>Spread plate</t>
        </is>
      </c>
      <c r="F80" s="34" t="inlineStr">
        <is>
          <t>Agar slant</t>
        </is>
      </c>
      <c r="G80" s="34" t="inlineStr">
        <is>
          <t>Three sector streak</t>
        </is>
      </c>
      <c r="H80" s="34" t="inlineStr">
        <is>
          <t>Quadrant streak</t>
        </is>
      </c>
      <c r="I80" s="35" t="n">
        <v>1</v>
      </c>
      <c r="J80" s="34" t="inlineStr">
        <is>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0" s="35" t="n"/>
      <c r="L80" s="34" t="inlineStr">
        <is>
          <t>Pharmaceutical Technology General</t>
        </is>
      </c>
      <c r="M80" s="35" t="inlineStr">
        <is>
          <t>Product</t>
        </is>
      </c>
      <c r="N80" s="34" t="inlineStr">
        <is>
          <t>ข้อสอบจริง Product ปี 2561 ข้อ 27</t>
        </is>
      </c>
      <c r="O80" s="35" t="inlineStr">
        <is>
          <t>ข้อสอบจริง</t>
        </is>
      </c>
      <c r="P80" s="35" t="inlineStr">
        <is>
          <t>ปี 2561</t>
        </is>
      </c>
    </row>
    <row r="81" ht="409.6" customHeight="1" s="49">
      <c r="A81" s="35" t="n">
        <v>79</v>
      </c>
      <c r="B81" s="34" t="inlineStr">
        <is>
          <t>หากเพาะเชื้อโดยใช้อาหาร aerobic bacteria จะไม่สามารถตรวจพบเชื้อใด</t>
        </is>
      </c>
      <c r="C81" s="35" t="n"/>
      <c r="D81" s="34" t="inlineStr">
        <is>
          <t>S. aureaus</t>
        </is>
      </c>
      <c r="E81" s="34" t="inlineStr">
        <is>
          <t>H. influenzae</t>
        </is>
      </c>
      <c r="F81" s="34" t="inlineStr">
        <is>
          <t>Escherichia coli</t>
        </is>
      </c>
      <c r="G81" s="34" t="inlineStr">
        <is>
          <t>Klebsiella pneumoniae</t>
        </is>
      </c>
      <c r="H81" s="34" t="inlineStr">
        <is>
          <t>Clostridium botulinum</t>
        </is>
      </c>
      <c r="I81" s="35" t="n">
        <v>1</v>
      </c>
      <c r="J81" s="34" t="inlineStr">
        <is>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1" s="35" t="n"/>
      <c r="L81" s="34" t="inlineStr">
        <is>
          <t>Pharmaceutical Technology General</t>
        </is>
      </c>
      <c r="M81" s="35" t="inlineStr">
        <is>
          <t>Product</t>
        </is>
      </c>
      <c r="N81" s="34" t="inlineStr">
        <is>
          <t>ข้อสอบจริง Product ปี 2561 ข้อ 28</t>
        </is>
      </c>
      <c r="O81" s="35" t="inlineStr">
        <is>
          <t>ข้อสอบจริง</t>
        </is>
      </c>
      <c r="P81" s="35" t="inlineStr">
        <is>
          <t>ปี 2561</t>
        </is>
      </c>
    </row>
    <row r="82" ht="409.6" customHeight="1" s="49">
      <c r="A82" s="35" t="n">
        <v>80</v>
      </c>
      <c r="B82" s="34" t="inlineStr">
        <is>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is>
      </c>
      <c r="C82" s="35" t="inlineStr">
        <is>
          <t>[แนบรูป: ข้อสอบ Product ปี 2561 รหัสรูปภาพ image107]</t>
        </is>
      </c>
      <c r="D82" s="34" t="inlineStr">
        <is>
          <t>3 เดือน</t>
        </is>
      </c>
      <c r="E82" s="34" t="inlineStr">
        <is>
          <t>6 เดือน</t>
        </is>
      </c>
      <c r="F82" s="34" t="inlineStr">
        <is>
          <t>1 ปี</t>
        </is>
      </c>
      <c r="G82" s="34" t="inlineStr">
        <is>
          <t>2 ปี</t>
        </is>
      </c>
      <c r="H82" s="34" t="inlineStr">
        <is>
          <t>3 ปี</t>
        </is>
      </c>
      <c r="I82" s="35" t="n">
        <v>1</v>
      </c>
      <c r="J82" s="34" t="inlineStr">
        <is>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2" s="35" t="n"/>
      <c r="L82" s="34" t="inlineStr">
        <is>
          <t>Pharmaceutical Technology General</t>
        </is>
      </c>
      <c r="M82" s="35" t="inlineStr">
        <is>
          <t>Product</t>
        </is>
      </c>
      <c r="N82" s="34" t="inlineStr">
        <is>
          <t>ข้อสอบจริง Product ปี 2561 ข้อ 29</t>
        </is>
      </c>
      <c r="O82" s="35" t="inlineStr">
        <is>
          <t>ข้อสอบจริง</t>
        </is>
      </c>
      <c r="P82" s="35" t="inlineStr">
        <is>
          <t>ปี 2561</t>
        </is>
      </c>
    </row>
    <row r="83" ht="409.6" customHeight="1" s="49">
      <c r="A83" s="35" t="n">
        <v>81</v>
      </c>
      <c r="B83" s="34" t="inlineStr">
        <is>
          <t>ยา HCTZ 25 mg/tab น้ำหนักเม็ดยา 1 เม็ดเท่ากับ 100 mg ควรทดสอบในหัวข้อ uniformity of dosage unit USP41 อย่างไร</t>
        </is>
      </c>
      <c r="C83" s="35" t="n"/>
      <c r="D83" s="34" t="inlineStr">
        <is>
          <t>WV เพราะตัวยาสำคัญตั้งแต่ 25 mg ขึ้นไป</t>
        </is>
      </c>
      <c r="E83" s="34" t="inlineStr">
        <is>
          <t>CU เพราะตัวยาสำคัญ น้อยกว่า 25 mg และสัดส่วนตัวยาสำคัญ คิดเป็น 25%</t>
        </is>
      </c>
      <c r="F83" s="34" t="inlineStr">
        <is>
          <t>CU เพราะตัวยาสำคัญ น้อยกว่า 25 mg หรือสัดส่วนตัวยาสำคัญ คิดเป็น 25%</t>
        </is>
      </c>
      <c r="G83" s="34" t="inlineStr">
        <is>
          <t>WV เพราะตัวยาสำคัญตั้งแต่ 25 mg และสัดส่วนตัวยาสำคัญ คิดเป็น 25%</t>
        </is>
      </c>
      <c r="H83" s="34" t="inlineStr">
        <is>
          <t>WV เพราะตัวยาสำคัญตั้งแต่ 25 mg หรือสัดส่วนตัวยาสำคัญ คิดเป็น 25%</t>
        </is>
      </c>
      <c r="I83" s="35" t="n">
        <v>1</v>
      </c>
      <c r="J83" s="34" t="inlineStr">
        <is>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3" s="35" t="n"/>
      <c r="L83" s="34" t="inlineStr">
        <is>
          <t>Pharmaceutical Technology General</t>
        </is>
      </c>
      <c r="M83" s="35" t="inlineStr">
        <is>
          <t>Product</t>
        </is>
      </c>
      <c r="N83" s="34" t="inlineStr">
        <is>
          <t>ข้อสอบจริง Product ปี 2561 ข้อ 32</t>
        </is>
      </c>
      <c r="O83" s="35" t="inlineStr">
        <is>
          <t>ข้อสอบจริง</t>
        </is>
      </c>
      <c r="P83" s="35" t="inlineStr">
        <is>
          <t>ปี 2561</t>
        </is>
      </c>
    </row>
    <row r="84" ht="409.6" customHeight="1" s="49">
      <c r="A84" s="35" t="n">
        <v>82</v>
      </c>
      <c r="B84" s="34" t="inlineStr">
        <is>
          <t>ข้อใดไม่ใช่คุณสมบัติในการออกแบบ ideal inhale corticosteroid</t>
        </is>
      </c>
      <c r="C84" s="35" t="n"/>
      <c r="D84" s="34" t="inlineStr">
        <is>
          <t>High lipophilicity</t>
        </is>
      </c>
      <c r="E84" s="34" t="inlineStr">
        <is>
          <t>High system absorption</t>
        </is>
      </c>
      <c r="F84" s="34" t="inlineStr">
        <is>
          <t>High affinity steroid receptor</t>
        </is>
      </c>
      <c r="G84" s="34" t="inlineStr">
        <is>
          <t>Topical action</t>
        </is>
      </c>
      <c r="H84" s="34" t="inlineStr">
        <is>
          <t>Less side effect</t>
        </is>
      </c>
      <c r="I84" s="35" t="n">
        <v>1</v>
      </c>
      <c r="J84" s="34" t="inlineStr">
        <is>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4" s="35" t="n"/>
      <c r="L84" s="34" t="inlineStr">
        <is>
          <t>Pharmaceutical Technology General</t>
        </is>
      </c>
      <c r="M84" s="35" t="inlineStr">
        <is>
          <t>Product</t>
        </is>
      </c>
      <c r="N84" s="34" t="inlineStr">
        <is>
          <t>ข้อสอบจริง Product ปี 2561 ข้อ 33</t>
        </is>
      </c>
      <c r="O84" s="35" t="inlineStr">
        <is>
          <t>ข้อสอบจริง</t>
        </is>
      </c>
      <c r="P84" s="35" t="inlineStr">
        <is>
          <t>ปี 2561</t>
        </is>
      </c>
    </row>
    <row r="85" ht="409.6" customHeight="1" s="49">
      <c r="A85" s="35" t="n">
        <v>83</v>
      </c>
      <c r="B85" s="34" t="inlineStr">
        <is>
          <t>ข้อใดไม่ใช่เทคนิค ในการทำยาที่ดูดซึมผ่านผิวหนัง</t>
        </is>
      </c>
      <c r="C85" s="35" t="n"/>
      <c r="D85" s="34" t="inlineStr">
        <is>
          <t>Microneedle</t>
        </is>
      </c>
      <c r="E85" s="34" t="inlineStr">
        <is>
          <t>Iontophoresis</t>
        </is>
      </c>
      <c r="F85" s="34" t="inlineStr">
        <is>
          <t>Gamma radiation</t>
        </is>
      </c>
      <c r="G85" s="34" t="inlineStr">
        <is>
          <t>Passive diffusion</t>
        </is>
      </c>
      <c r="H85" s="34" t="inlineStr">
        <is>
          <t>Permeable enhancer</t>
        </is>
      </c>
      <c r="I85" s="35" t="n">
        <v>1</v>
      </c>
      <c r="J85" s="34" t="inlineStr">
        <is>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5" s="35" t="n"/>
      <c r="L85" s="34" t="inlineStr">
        <is>
          <t>Pharmaceutical Technology General</t>
        </is>
      </c>
      <c r="M85" s="35" t="inlineStr">
        <is>
          <t>Product</t>
        </is>
      </c>
      <c r="N85" s="34" t="inlineStr">
        <is>
          <t>ข้อสอบจริง Product ปี 2561 ข้อ 38</t>
        </is>
      </c>
      <c r="O85" s="35" t="inlineStr">
        <is>
          <t>ข้อสอบจริง</t>
        </is>
      </c>
      <c r="P85" s="35" t="inlineStr">
        <is>
          <t>ปี 2561</t>
        </is>
      </c>
    </row>
    <row r="86" ht="409.6" customHeight="1" s="49">
      <c r="A86" s="35" t="n">
        <v>84</v>
      </c>
      <c r="B86" s="34" t="inlineStr">
        <is>
          <t>หากต้องการเตรียม atenolol 0.2%w/v ปริมาตร 50 ml จะต้องใช้ atenolol 25 mg/tab จำนวนกี่เม็ด</t>
        </is>
      </c>
      <c r="C86" s="35" t="n"/>
      <c r="D86" s="34" t="inlineStr">
        <is>
          <t>2</t>
        </is>
      </c>
      <c r="E86" s="34" t="inlineStr">
        <is>
          <t>3</t>
        </is>
      </c>
      <c r="F86" s="34" t="inlineStr">
        <is>
          <t>4</t>
        </is>
      </c>
      <c r="G86" s="34" t="inlineStr">
        <is>
          <t>5</t>
        </is>
      </c>
      <c r="H86" s="34" t="inlineStr">
        <is>
          <t>6</t>
        </is>
      </c>
      <c r="I86" s="35" t="n">
        <v>1</v>
      </c>
      <c r="J86" s="34" t="inlineStr">
        <is>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6" s="35" t="n"/>
      <c r="L86" s="34" t="inlineStr">
        <is>
          <t>Pharmaceutical Technology General</t>
        </is>
      </c>
      <c r="M86" s="35" t="inlineStr">
        <is>
          <t>Product</t>
        </is>
      </c>
      <c r="N86" s="34" t="inlineStr">
        <is>
          <t>ข้อสอบจริง Product ปี 2561 ข้อ 43</t>
        </is>
      </c>
      <c r="O86" s="35" t="inlineStr">
        <is>
          <t>ข้อสอบจริง</t>
        </is>
      </c>
      <c r="P86" s="35" t="inlineStr">
        <is>
          <t>ปี 2561</t>
        </is>
      </c>
    </row>
    <row r="87" ht="409.6" customHeight="1" s="49">
      <c r="A87" s="35" t="n">
        <v>85</v>
      </c>
      <c r="B87" s="34" t="inlineStr">
        <is>
          <t>ข้อใดคือสภาวะในการทดสอบความคงตัวของยาในประเทศไทย</t>
        </is>
      </c>
      <c r="C87" s="35" t="n"/>
      <c r="D87" s="34" t="inlineStr">
        <is>
          <t>25°C / 70% RH</t>
        </is>
      </c>
      <c r="E87" s="34" t="inlineStr">
        <is>
          <t>25°C / 75% RH</t>
        </is>
      </c>
      <c r="F87" s="34" t="inlineStr">
        <is>
          <t>30°C / 70% RH</t>
        </is>
      </c>
      <c r="G87" s="34" t="inlineStr">
        <is>
          <t>30°C / 75% RH</t>
        </is>
      </c>
      <c r="H87" s="34" t="inlineStr">
        <is>
          <t>40°C / 70% RH</t>
        </is>
      </c>
      <c r="I87" s="35" t="n">
        <v>1</v>
      </c>
      <c r="J87" s="34" t="inlineStr">
        <is>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7" s="35" t="n"/>
      <c r="L87" s="34" t="inlineStr">
        <is>
          <t>Pharmaceutical Technology General</t>
        </is>
      </c>
      <c r="M87" s="35" t="inlineStr">
        <is>
          <t>Product</t>
        </is>
      </c>
      <c r="N87" s="34" t="inlineStr">
        <is>
          <t>ข้อสอบจริง Product ปี 2561 ข้อ 44</t>
        </is>
      </c>
      <c r="O87" s="35" t="inlineStr">
        <is>
          <t>ข้อสอบจริง</t>
        </is>
      </c>
      <c r="P87" s="35" t="inlineStr">
        <is>
          <t>ปี 2561</t>
        </is>
      </c>
    </row>
    <row r="88" ht="409.6" customHeight="1" s="49">
      <c r="A88" s="35" t="n">
        <v>86</v>
      </c>
      <c r="B88" s="34" t="inlineStr">
        <is>
          <t>การบรรจุ diazepam IV ควรทำในห้องสะอาดระดับใด</t>
        </is>
      </c>
      <c r="C88" s="35" t="n"/>
      <c r="D88" s="34" t="inlineStr">
        <is>
          <t>A</t>
        </is>
      </c>
      <c r="E88" s="34" t="inlineStr">
        <is>
          <t>B</t>
        </is>
      </c>
      <c r="F88" s="34" t="inlineStr">
        <is>
          <t>C</t>
        </is>
      </c>
      <c r="G88" s="34" t="inlineStr">
        <is>
          <t>D</t>
        </is>
      </c>
      <c r="H88" s="34" t="inlineStr">
        <is>
          <t>E</t>
        </is>
      </c>
      <c r="I88" s="35" t="n">
        <v>1</v>
      </c>
      <c r="J88" s="34" t="inlineStr">
        <is>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8" s="35" t="n"/>
      <c r="L88" s="34" t="inlineStr">
        <is>
          <t>Pharmaceutical Technology General</t>
        </is>
      </c>
      <c r="M88" s="35" t="inlineStr">
        <is>
          <t>Product</t>
        </is>
      </c>
      <c r="N88" s="34" t="inlineStr">
        <is>
          <t>ข้อสอบจริง Product ปี 2561 ข้อ 50</t>
        </is>
      </c>
      <c r="O88" s="35" t="inlineStr">
        <is>
          <t>ข้อสอบจริง</t>
        </is>
      </c>
      <c r="P88" s="35" t="inlineStr">
        <is>
          <t>ปี 2561</t>
        </is>
      </c>
    </row>
    <row r="89" ht="409.6" customHeight="1" s="49">
      <c r="A89" s="35" t="n">
        <v>87</v>
      </c>
      <c r="B89" s="34" t="inlineStr">
        <is>
          <t>บรรจุภัณฑ์ใดเหมาะกับยาที่ไม่ทนแสง และเชื้อ</t>
        </is>
      </c>
      <c r="C89" s="35" t="n"/>
      <c r="D89" s="34" t="inlineStr">
        <is>
          <t>PE bottle</t>
        </is>
      </c>
      <c r="E89" s="34" t="inlineStr">
        <is>
          <t>PVC bottle</t>
        </is>
      </c>
      <c r="F89" s="34" t="inlineStr">
        <is>
          <t>Glass amber type ll</t>
        </is>
      </c>
      <c r="G89" s="34" t="inlineStr">
        <is>
          <t>Glass amber type lll</t>
        </is>
      </c>
      <c r="H89" s="34" t="inlineStr">
        <is>
          <t>Hermetic tight light container</t>
        </is>
      </c>
      <c r="I89" s="35" t="n">
        <v>1</v>
      </c>
      <c r="J89" s="34" t="inlineStr">
        <is>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89" s="35" t="n"/>
      <c r="L89" s="34" t="inlineStr">
        <is>
          <t>Preformulation &amp; Good Manufacturing Practice</t>
        </is>
      </c>
      <c r="M89" s="35" t="inlineStr">
        <is>
          <t>Product</t>
        </is>
      </c>
      <c r="N89" s="34" t="inlineStr">
        <is>
          <t>ข้อสอบจริง Product ปี 2561 ข้อ 61</t>
        </is>
      </c>
      <c r="O89" s="35" t="inlineStr">
        <is>
          <t>ข้อสอบจริง</t>
        </is>
      </c>
      <c r="P89" s="35" t="inlineStr">
        <is>
          <t>ปี 2561</t>
        </is>
      </c>
    </row>
    <row r="90" ht="409.6" customHeight="1" s="49">
      <c r="A90" s="35" t="n">
        <v>88</v>
      </c>
      <c r="B90" s="34" t="inlineStr">
        <is>
          <t>ยาคุมกำเนิด Norplant® มีตัวยา levonorgestrel ลักษณะเป็นผลึกรูปทรงกระบอก ไม่มีรูพรุน คุมกำเนิดได้นาน 5 ปี ข้อใดไม่มีผลต่อการปลดปล่อยยา</t>
        </is>
      </c>
      <c r="C90" s="35" t="n"/>
      <c r="D90" s="34" t="inlineStr">
        <is>
          <t>Solubility</t>
        </is>
      </c>
      <c r="E90" s="34" t="inlineStr">
        <is>
          <t>Device shape</t>
        </is>
      </c>
      <c r="F90" s="34" t="inlineStr">
        <is>
          <t>Partition coefficient</t>
        </is>
      </c>
      <c r="G90" s="34" t="inlineStr">
        <is>
          <t>Diffusion coefficient of drug</t>
        </is>
      </c>
      <c r="H90" s="34" t="inlineStr">
        <is>
          <t>Physiological pH of implant site</t>
        </is>
      </c>
      <c r="I90" s="35" t="n">
        <v>1</v>
      </c>
      <c r="J90" s="34" t="inlineStr">
        <is>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0" s="35" t="n"/>
      <c r="L90" s="34" t="inlineStr">
        <is>
          <t>Pharmaceutical Technology General</t>
        </is>
      </c>
      <c r="M90" s="35" t="inlineStr">
        <is>
          <t>Product</t>
        </is>
      </c>
      <c r="N90" s="34" t="inlineStr">
        <is>
          <t>ข้อสอบจริง Product ปี 2561 ข้อ 62</t>
        </is>
      </c>
      <c r="O90" s="35" t="inlineStr">
        <is>
          <t>ข้อสอบจริง</t>
        </is>
      </c>
      <c r="P90" s="35" t="inlineStr">
        <is>
          <t>ปี 2561</t>
        </is>
      </c>
    </row>
    <row r="91" ht="409.6" customHeight="1" s="49">
      <c r="A91" s="35" t="n">
        <v>89</v>
      </c>
      <c r="B91" s="34" t="inlineStr">
        <is>
          <t>สาร sodium metabisulfite ทำหน้าที่อะไร</t>
        </is>
      </c>
      <c r="C91" s="35" t="n"/>
      <c r="D91" s="34" t="inlineStr">
        <is>
          <t>ป้องกัน hydrolysis</t>
        </is>
      </c>
      <c r="E91" s="34" t="inlineStr">
        <is>
          <t>ป้องกัน oxidation</t>
        </is>
      </c>
      <c r="F91" s="34" t="inlineStr">
        <is>
          <t>ป้องกัน reduction</t>
        </is>
      </c>
      <c r="G91" s="34" t="inlineStr">
        <is>
          <t>ป้องกัน precipitation</t>
        </is>
      </c>
      <c r="H91" s="34" t="inlineStr">
        <is>
          <t>ป้องกัน microbial growth</t>
        </is>
      </c>
      <c r="I91" s="35" t="n">
        <v>1</v>
      </c>
      <c r="J91" s="34" t="inlineStr">
        <is>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1" s="35" t="n"/>
      <c r="L91" s="34" t="inlineStr">
        <is>
          <t>Pharmaceutical Technology General</t>
        </is>
      </c>
      <c r="M91" s="35" t="inlineStr">
        <is>
          <t>Product</t>
        </is>
      </c>
      <c r="N91" s="34" t="inlineStr">
        <is>
          <t>ข้อสอบจริง Product ปี 2561 ข้อ 64</t>
        </is>
      </c>
      <c r="O91" s="35" t="inlineStr">
        <is>
          <t>ข้อสอบจริง</t>
        </is>
      </c>
      <c r="P91" s="35" t="inlineStr">
        <is>
          <t>ปี 2561</t>
        </is>
      </c>
    </row>
    <row r="92" ht="409.6" customHeight="1" s="49">
      <c r="A92" s="35" t="n">
        <v>90</v>
      </c>
      <c r="B92" s="34" t="inlineStr">
        <is>
          <t>หากต้องการเปลี่ยน sweetening agent จาก sucrose เป็นสารอื่นไม่ควรใช้สารใด</t>
        </is>
      </c>
      <c r="C92" s="35" t="n"/>
      <c r="D92" s="34" t="inlineStr">
        <is>
          <t>PG</t>
        </is>
      </c>
      <c r="E92" s="34" t="inlineStr">
        <is>
          <t>PEG</t>
        </is>
      </c>
      <c r="F92" s="34" t="inlineStr">
        <is>
          <t>Sorbitol</t>
        </is>
      </c>
      <c r="G92" s="34" t="inlineStr">
        <is>
          <t>Aspartame</t>
        </is>
      </c>
      <c r="H92" s="34" t="inlineStr">
        <is>
          <t>Saccharin sodium</t>
        </is>
      </c>
      <c r="I92" s="35" t="n">
        <v>1</v>
      </c>
      <c r="J92" s="34" t="inlineStr">
        <is>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2" s="35" t="n"/>
      <c r="L92" s="34" t="inlineStr">
        <is>
          <t>Pharmaceutical Technology General</t>
        </is>
      </c>
      <c r="M92" s="35" t="inlineStr">
        <is>
          <t>Product</t>
        </is>
      </c>
      <c r="N92" s="34" t="inlineStr">
        <is>
          <t>ข้อสอบจริง Product ปี 2561 ข้อ 65</t>
        </is>
      </c>
      <c r="O92" s="35" t="inlineStr">
        <is>
          <t>ข้อสอบจริง</t>
        </is>
      </c>
      <c r="P92" s="35" t="inlineStr">
        <is>
          <t>ปี 2561</t>
        </is>
      </c>
    </row>
    <row r="93" ht="409.6" customHeight="1" s="49">
      <c r="A93" s="35" t="n">
        <v>91</v>
      </c>
      <c r="B93" s="34" t="inlineStr">
        <is>
          <t>จากสูตรยาถ้าต้องการเตรียม morphine sulphate ปริมาตร 2 L จะต้องใช้ morphine sulphate กี่กรัม</t>
        </is>
      </c>
      <c r="C93" s="35" t="n"/>
      <c r="D93" s="34" t="inlineStr">
        <is>
          <t>0.2 g</t>
        </is>
      </c>
      <c r="E93" s="34" t="inlineStr">
        <is>
          <t>0.4 g</t>
        </is>
      </c>
      <c r="F93" s="34" t="inlineStr">
        <is>
          <t>2 g</t>
        </is>
      </c>
      <c r="G93" s="34" t="inlineStr">
        <is>
          <t>4 g</t>
        </is>
      </c>
      <c r="H93" s="34" t="inlineStr">
        <is>
          <t>20 g</t>
        </is>
      </c>
      <c r="I93" s="35" t="n">
        <v>1</v>
      </c>
      <c r="J93" s="34" t="inlineStr">
        <is>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3" s="35" t="n"/>
      <c r="L93" s="34" t="inlineStr">
        <is>
          <t>Pharmaceutical Technology General</t>
        </is>
      </c>
      <c r="M93" s="35" t="inlineStr">
        <is>
          <t>Product</t>
        </is>
      </c>
      <c r="N93" s="34" t="inlineStr">
        <is>
          <t>ข้อสอบจริง Product ปี 2561 ข้อ 66</t>
        </is>
      </c>
      <c r="O93" s="35" t="inlineStr">
        <is>
          <t>ข้อสอบจริง</t>
        </is>
      </c>
      <c r="P93" s="35" t="inlineStr">
        <is>
          <t>ปี 2561</t>
        </is>
      </c>
    </row>
    <row r="94" ht="409.6" customHeight="1" s="49">
      <c r="A94" s="35" t="n">
        <v>92</v>
      </c>
      <c r="B94" s="34" t="inlineStr">
        <is>
          <t>หากบริษัทต้องการทำการทดสอบ long term stability ของยา sitagliptin ต้องทำการทดสอบที่สภาวะใด อ้างอิงตาม ASEAN guideline</t>
        </is>
      </c>
      <c r="C94" s="35" t="n"/>
      <c r="D94" s="34" t="inlineStr">
        <is>
          <t>25°C/65%RH</t>
        </is>
      </c>
      <c r="E94" s="34" t="inlineStr">
        <is>
          <t>25°C/75%RH</t>
        </is>
      </c>
      <c r="F94" s="34" t="inlineStr">
        <is>
          <t>30°C/65%RH</t>
        </is>
      </c>
      <c r="G94" s="34" t="inlineStr">
        <is>
          <t>30°C/75%RH</t>
        </is>
      </c>
      <c r="H94" s="34" t="inlineStr">
        <is>
          <t>40°C/75%RH</t>
        </is>
      </c>
      <c r="I94" s="35" t="n">
        <v>1</v>
      </c>
      <c r="J94" s="34" t="inlineStr">
        <is>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94" s="35" t="n"/>
      <c r="L94" s="34" t="inlineStr">
        <is>
          <t>Preformulation &amp; Good Manufacturing Practice</t>
        </is>
      </c>
      <c r="M94" s="35" t="inlineStr">
        <is>
          <t>Product</t>
        </is>
      </c>
      <c r="N94" s="34" t="inlineStr">
        <is>
          <t>ข้อสอบจริง Product ปี 2561 ข้อ 68</t>
        </is>
      </c>
      <c r="O94" s="35" t="inlineStr">
        <is>
          <t>ข้อสอบจริง</t>
        </is>
      </c>
      <c r="P94" s="35" t="inlineStr">
        <is>
          <t>ปี 2561</t>
        </is>
      </c>
    </row>
    <row r="95" ht="409.6" customHeight="1" s="49">
      <c r="A95" s="35" t="n">
        <v>93</v>
      </c>
      <c r="B95" s="34" t="inlineStr">
        <is>
          <t>Clonazepam 0.5 mg ควรใช้วิธีใดในการตอกเม็ด</t>
        </is>
      </c>
      <c r="C95" s="35" t="n"/>
      <c r="D95" s="34" t="inlineStr">
        <is>
          <t>Fusion method</t>
        </is>
      </c>
      <c r="E95" s="34" t="inlineStr">
        <is>
          <t>Melting method</t>
        </is>
      </c>
      <c r="F95" s="34" t="inlineStr">
        <is>
          <t>Dry granulation</t>
        </is>
      </c>
      <c r="G95" s="34" t="inlineStr">
        <is>
          <t>Wet granulation</t>
        </is>
      </c>
      <c r="H95" s="34" t="inlineStr">
        <is>
          <t>Direct compression</t>
        </is>
      </c>
      <c r="I95" s="35" t="n">
        <v>1</v>
      </c>
      <c r="J95" s="34" t="inlineStr">
        <is>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5" s="35" t="n"/>
      <c r="L95" s="34" t="inlineStr">
        <is>
          <t>Pharmaceutical Technology General</t>
        </is>
      </c>
      <c r="M95" s="35" t="inlineStr">
        <is>
          <t>Product</t>
        </is>
      </c>
      <c r="N95" s="34" t="inlineStr">
        <is>
          <t>ข้อสอบจริง Product ปี 2561 ข้อ 70</t>
        </is>
      </c>
      <c r="O95" s="35" t="inlineStr">
        <is>
          <t>ข้อสอบจริง</t>
        </is>
      </c>
      <c r="P95" s="35" t="inlineStr">
        <is>
          <t>ปี 2561</t>
        </is>
      </c>
    </row>
    <row r="96" ht="409.6" customHeight="1" s="49">
      <c r="A96" s="35" t="n">
        <v>94</v>
      </c>
      <c r="B96" s="34" t="inlineStr">
        <is>
          <t>ข้อใดคือเครื่องวัดขนาดของ aerosol</t>
        </is>
      </c>
      <c r="C96" s="35" t="n"/>
      <c r="D96" s="34" t="inlineStr">
        <is>
          <t>XRPD</t>
        </is>
      </c>
      <c r="E96" s="34" t="inlineStr">
        <is>
          <t>Microscopy</t>
        </is>
      </c>
      <c r="F96" s="34" t="inlineStr">
        <is>
          <t>Cascade impactor</t>
        </is>
      </c>
      <c r="G96" s="34" t="inlineStr">
        <is>
          <t>Laser with labelling</t>
        </is>
      </c>
      <c r="H96" s="34" t="inlineStr">
        <is>
          <t>Dynamic light scattering</t>
        </is>
      </c>
      <c r="I96" s="35" t="n">
        <v>1</v>
      </c>
      <c r="J96" s="34" t="inlineStr">
        <is>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6" s="35" t="n"/>
      <c r="L96" s="34" t="inlineStr">
        <is>
          <t>Pharmaceutical Technology General</t>
        </is>
      </c>
      <c r="M96" s="35" t="inlineStr">
        <is>
          <t>Product</t>
        </is>
      </c>
      <c r="N96" s="34" t="inlineStr">
        <is>
          <t>ข้อสอบจริง Product ปี 2561 ข้อ 74</t>
        </is>
      </c>
      <c r="O96" s="35" t="inlineStr">
        <is>
          <t>ข้อสอบจริง</t>
        </is>
      </c>
      <c r="P96" s="35" t="inlineStr">
        <is>
          <t>ปี 2561</t>
        </is>
      </c>
    </row>
    <row r="97" ht="409.6" customHeight="1" s="49">
      <c r="A97" s="35" t="n">
        <v>95</v>
      </c>
      <c r="B97" s="34" t="inlineStr">
        <is>
          <t>ยา sodium alendronate จัดอยู่ใน biopharmaceutical classification system (BCS) Class ใด</t>
        </is>
      </c>
      <c r="C97" s="35" t="n"/>
      <c r="D97" s="34" t="inlineStr">
        <is>
          <t>Non</t>
        </is>
      </c>
      <c r="E97" s="34" t="inlineStr">
        <is>
          <t>BCS I</t>
        </is>
      </c>
      <c r="F97" s="34" t="inlineStr">
        <is>
          <t>BCS II</t>
        </is>
      </c>
      <c r="G97" s="34" t="inlineStr">
        <is>
          <t>BCS III</t>
        </is>
      </c>
      <c r="H97" s="34" t="inlineStr">
        <is>
          <t>BCS IV</t>
        </is>
      </c>
      <c r="I97" s="35" t="n">
        <v>1</v>
      </c>
      <c r="J97" s="34" t="inlineStr">
        <is>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7" s="35" t="n"/>
      <c r="L97" s="34" t="inlineStr">
        <is>
          <t>Pharmaceutical Technology General</t>
        </is>
      </c>
      <c r="M97" s="35" t="inlineStr">
        <is>
          <t>Product</t>
        </is>
      </c>
      <c r="N97" s="34" t="inlineStr">
        <is>
          <t>ข้อสอบจริง Product ปี 2561 ข้อ 78</t>
        </is>
      </c>
      <c r="O97" s="35" t="inlineStr">
        <is>
          <t>ข้อสอบจริง</t>
        </is>
      </c>
      <c r="P97" s="35" t="inlineStr">
        <is>
          <t>ปี 2561</t>
        </is>
      </c>
    </row>
    <row r="98" ht="409.6" customHeight="1" s="49">
      <c r="A98" s="35" t="n">
        <v>96</v>
      </c>
      <c r="B98" s="34" t="inlineStr">
        <is>
          <t>ยา A มี bulk density ต่ำ compressibility ไม่ดี และสลายโดยปฏิกิริยา hydrolysis ควรใช้วิธีการตอกอัดเม็ดแบบใด</t>
        </is>
      </c>
      <c r="C98" s="35" t="n"/>
      <c r="D98" s="34" t="inlineStr">
        <is>
          <t>Direct compression หรือ dry granulation</t>
        </is>
      </c>
      <c r="E98" s="34" t="inlineStr">
        <is>
          <t>Wet (organic solution) หรือ dry granulation</t>
        </is>
      </c>
      <c r="F98" s="34" t="inlineStr">
        <is>
          <t>Wet (aqueous solution) หรือ dry granulation</t>
        </is>
      </c>
      <c r="G98" s="34" t="inlineStr">
        <is>
          <t>Wet (aqueous solution) granulation หรือ direct compression</t>
        </is>
      </c>
      <c r="H98" s="34" t="inlineStr">
        <is>
          <t>Wet (aqueous solution) หรือ wet (organic solution) granulation</t>
        </is>
      </c>
      <c r="I98" s="35" t="n">
        <v>1</v>
      </c>
      <c r="J98" s="34" t="inlineStr">
        <is>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8" s="35" t="n"/>
      <c r="L98" s="34" t="inlineStr">
        <is>
          <t>Pharmaceutical Technology General</t>
        </is>
      </c>
      <c r="M98" s="35" t="inlineStr">
        <is>
          <t>Product</t>
        </is>
      </c>
      <c r="N98" s="34" t="inlineStr">
        <is>
          <t>ข้อสอบจริง Product ปี 2561 ข้อ 80</t>
        </is>
      </c>
      <c r="O98" s="35" t="inlineStr">
        <is>
          <t>ข้อสอบจริง</t>
        </is>
      </c>
      <c r="P98" s="35" t="inlineStr">
        <is>
          <t>ปี 2561</t>
        </is>
      </c>
    </row>
    <row r="99" ht="409.6" customHeight="1" s="49">
      <c r="A99" s="35" t="n">
        <v>97</v>
      </c>
      <c r="B99" s="34" t="inlineStr">
        <is>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is>
      </c>
      <c r="C99" s="35" t="n"/>
      <c r="D99" s="34" t="inlineStr">
        <is>
          <t>Sustained release</t>
        </is>
      </c>
      <c r="E99" s="34" t="inlineStr">
        <is>
          <t>Extended release</t>
        </is>
      </c>
      <c r="F99" s="34" t="inlineStr">
        <is>
          <t>Delayed release</t>
        </is>
      </c>
      <c r="G99" s="34" t="inlineStr">
        <is>
          <t>Prolong release</t>
        </is>
      </c>
      <c r="H99" s="34" t="inlineStr">
        <is>
          <t>Pump osmotic release</t>
        </is>
      </c>
      <c r="I99" s="35" t="n">
        <v>1</v>
      </c>
      <c r="J99" s="34" t="inlineStr">
        <is>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9" s="35" t="n"/>
      <c r="L99" s="34" t="inlineStr">
        <is>
          <t>Pharmaceutical Technology General</t>
        </is>
      </c>
      <c r="M99" s="35" t="inlineStr">
        <is>
          <t>Product</t>
        </is>
      </c>
      <c r="N99" s="34" t="inlineStr">
        <is>
          <t>ข้อสอบจริง Product ปี 2561 ข้อ 81</t>
        </is>
      </c>
      <c r="O99" s="35" t="inlineStr">
        <is>
          <t>ข้อสอบจริง</t>
        </is>
      </c>
      <c r="P99" s="35" t="inlineStr">
        <is>
          <t>ปี 2561</t>
        </is>
      </c>
    </row>
    <row r="100" ht="409.6" customHeight="1" s="49">
      <c r="A100" s="35" t="n">
        <v>98</v>
      </c>
      <c r="B100" s="34" t="inlineStr">
        <is>
          <t>ข้อใดไม่ใช่ข้อดีของยาในรูปแบบที่ควบคุมการปลดปล่อย (sustained release)</t>
        </is>
      </c>
      <c r="C100" s="35" t="n"/>
      <c r="D100" s="34" t="inlineStr">
        <is>
          <t>ลดอาการข้างเคียง</t>
        </is>
      </c>
      <c r="E100" s="34" t="inlineStr">
        <is>
          <t>ปรับขนาดยาง่ายขึ้น</t>
        </is>
      </c>
      <c r="F100" s="34" t="inlineStr">
        <is>
          <t>ลดความถี่ในการใช้ยา</t>
        </is>
      </c>
      <c r="G100" s="34" t="inlineStr">
        <is>
          <t>เพิ่มการยอมรับของผู้ป่วย</t>
        </is>
      </c>
      <c r="H100" s="34" t="inlineStr">
        <is>
          <t>ลดความแกว่งของยาในเลือด</t>
        </is>
      </c>
      <c r="I100" s="35" t="n">
        <v>1</v>
      </c>
      <c r="J100" s="34" t="inlineStr">
        <is>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0" s="35" t="n"/>
      <c r="L100" s="34" t="inlineStr">
        <is>
          <t>Pharmaceutical Technology General</t>
        </is>
      </c>
      <c r="M100" s="35" t="inlineStr">
        <is>
          <t>Product</t>
        </is>
      </c>
      <c r="N100" s="34" t="inlineStr">
        <is>
          <t>ข้อสอบจริง Product ปี 2561 ข้อ 82</t>
        </is>
      </c>
      <c r="O100" s="35" t="inlineStr">
        <is>
          <t>ข้อสอบจริง</t>
        </is>
      </c>
      <c r="P100" s="35" t="inlineStr">
        <is>
          <t>ปี 2561</t>
        </is>
      </c>
    </row>
    <row r="101" ht="409.6" customHeight="1" s="49">
      <c r="A101" s="35" t="n">
        <v>99</v>
      </c>
      <c r="B101" s="34" t="inlineStr">
        <is>
          <t>เคลือบ simvastatin แล้วมีรอยแบ่งและข้อความบนเม็ดยาไม่ชัดเจน คือลักษณะเม็ดยาในข้อใด</t>
        </is>
      </c>
      <c r="C101" s="35" t="n"/>
      <c r="D101" s="34" t="inlineStr">
        <is>
          <t>Pricking</t>
        </is>
      </c>
      <c r="E101" s="34" t="inlineStr">
        <is>
          <t>Bridging</t>
        </is>
      </c>
      <c r="F101" s="34" t="inlineStr">
        <is>
          <t>Blistering</t>
        </is>
      </c>
      <c r="G101" s="34" t="inlineStr">
        <is>
          <t>Cracking</t>
        </is>
      </c>
      <c r="H101" s="34" t="inlineStr">
        <is>
          <t>Orange peeling</t>
        </is>
      </c>
      <c r="I101" s="35" t="n">
        <v>1</v>
      </c>
      <c r="J101" s="34" t="inlineStr">
        <is>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1" s="35" t="n"/>
      <c r="L101" s="34" t="inlineStr">
        <is>
          <t>Preformulation &amp; Good Manufacturing Practice</t>
        </is>
      </c>
      <c r="M101" s="35" t="inlineStr">
        <is>
          <t>Product</t>
        </is>
      </c>
      <c r="N101" s="34" t="inlineStr">
        <is>
          <t>ข้อสอบจริง Product ปี 2561 ข้อ 84</t>
        </is>
      </c>
      <c r="O101" s="35" t="inlineStr">
        <is>
          <t>ข้อสอบจริง</t>
        </is>
      </c>
      <c r="P101" s="35" t="inlineStr">
        <is>
          <t>ปี 2561</t>
        </is>
      </c>
    </row>
    <row r="102" ht="409.6" customHeight="1" s="49">
      <c r="A102" s="35" t="n">
        <v>100</v>
      </c>
      <c r="B102" s="34" t="inlineStr">
        <is>
          <t>จากตำรับข้อ 87 เมื่อนำมาหยด amaranth aqueous solution แล้วพบสีแดงเป็นพื้นแดงพบจุดขาวด้านใน</t>
        </is>
      </c>
      <c r="C102" s="35" t="n"/>
      <c r="D102" s="34" t="inlineStr">
        <is>
          <t>เป็นอิมัลชันแบบ W/O</t>
        </is>
      </c>
      <c r="E102" s="34" t="inlineStr">
        <is>
          <t>ตำรับสามารถนำไฟฟ้าได้</t>
        </is>
      </c>
      <c r="F102" s="34" t="inlineStr">
        <is>
          <t>เป็นอิมัลชันแบบ O/W</t>
        </is>
      </c>
      <c r="G102" s="34" t="inlineStr">
        <is>
          <t>เมื่อเติมน้ำเข้าไปแล้วตำรับเกิดการแยกชั้นขึ้น</t>
        </is>
      </c>
      <c r="H102" s="34" t="inlineStr">
        <is>
          <t>เมื่อนำไปส่อง fluorescence จะเรืองแสงทั้งแผ่น</t>
        </is>
      </c>
      <c r="I102" s="35" t="n">
        <v>1</v>
      </c>
      <c r="J102" s="34" t="inlineStr">
        <is>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2" s="35" t="n"/>
      <c r="L102" s="34" t="inlineStr">
        <is>
          <t>Pharmaceutical Technology General</t>
        </is>
      </c>
      <c r="M102" s="35" t="inlineStr">
        <is>
          <t>Product</t>
        </is>
      </c>
      <c r="N102" s="34" t="inlineStr">
        <is>
          <t>ข้อสอบจริง Product ปี 2561 ข้อ 88</t>
        </is>
      </c>
      <c r="O102" s="35" t="inlineStr">
        <is>
          <t>ข้อสอบจริง</t>
        </is>
      </c>
      <c r="P102" s="35" t="inlineStr">
        <is>
          <t>ปี 2561</t>
        </is>
      </c>
    </row>
    <row r="103" ht="409.6" customHeight="1" s="49">
      <c r="A103" s="35" t="n">
        <v>101</v>
      </c>
      <c r="B103" s="34" t="inlineStr">
        <is>
          <t>จากข้อข้างต้นยา azole จะอยู่ในตำแหน่งใดของระบบนำส่งยา</t>
        </is>
      </c>
      <c r="C103" s="35" t="n"/>
      <c r="D103" s="34" t="inlineStr">
        <is>
          <t>A</t>
        </is>
      </c>
      <c r="E103" s="34" t="inlineStr">
        <is>
          <t>B</t>
        </is>
      </c>
      <c r="F103" s="34" t="inlineStr">
        <is>
          <t>C</t>
        </is>
      </c>
      <c r="G103" s="34" t="inlineStr">
        <is>
          <t>D</t>
        </is>
      </c>
      <c r="H103" s="34" t="inlineStr">
        <is>
          <t>A และ C</t>
        </is>
      </c>
      <c r="I103" s="35" t="n">
        <v>1</v>
      </c>
      <c r="J103" s="34" t="inlineStr">
        <is>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3" s="35" t="n"/>
      <c r="L103" s="34" t="inlineStr">
        <is>
          <t>Pharmaceutical Technology General</t>
        </is>
      </c>
      <c r="M103" s="35" t="inlineStr">
        <is>
          <t>Product</t>
        </is>
      </c>
      <c r="N103" s="34" t="inlineStr">
        <is>
          <t>ข้อสอบจริง Product ปี 2561 ข้อ 97</t>
        </is>
      </c>
      <c r="O103" s="35" t="inlineStr">
        <is>
          <t>ข้อสอบจริง</t>
        </is>
      </c>
      <c r="P103" s="35" t="inlineStr">
        <is>
          <t>ปี 2561</t>
        </is>
      </c>
    </row>
    <row r="104" ht="409.6" customHeight="1" s="49">
      <c r="A104" s="35" t="n">
        <v>102</v>
      </c>
      <c r="B104" s="34" t="inlineStr">
        <is>
          <t>ข้อใดไม่จำเป็นต้องตรวจสอบใน metronidazole solution for injection</t>
        </is>
      </c>
      <c r="C104" s="35" t="n"/>
      <c r="D104" s="34" t="inlineStr">
        <is>
          <t>Clarity test</t>
        </is>
      </c>
      <c r="E104" s="34" t="inlineStr">
        <is>
          <t>Leaker test</t>
        </is>
      </c>
      <c r="F104" s="34" t="inlineStr">
        <is>
          <t>Sterility test</t>
        </is>
      </c>
      <c r="G104" s="34" t="inlineStr">
        <is>
          <t>Endotoxin test</t>
        </is>
      </c>
      <c r="H104" s="34" t="inlineStr">
        <is>
          <t>Preservative effectiveness</t>
        </is>
      </c>
      <c r="I104" s="35" t="n">
        <v>1</v>
      </c>
      <c r="J104" s="34" t="inlineStr">
        <is>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4" s="35" t="n"/>
      <c r="L104" s="34" t="inlineStr">
        <is>
          <t>Pharmaceutical Technology General</t>
        </is>
      </c>
      <c r="M104" s="35" t="inlineStr">
        <is>
          <t>Product</t>
        </is>
      </c>
      <c r="N104" s="34" t="inlineStr">
        <is>
          <t>ข้อสอบจริง Product ปี 2561 ข้อ 98</t>
        </is>
      </c>
      <c r="O104" s="35" t="inlineStr">
        <is>
          <t>ข้อสอบจริง</t>
        </is>
      </c>
      <c r="P104" s="35" t="inlineStr">
        <is>
          <t>ปี 2561</t>
        </is>
      </c>
    </row>
    <row r="105" ht="409.6" customHeight="1" s="49">
      <c r="A105" s="35" t="n">
        <v>103</v>
      </c>
      <c r="B105" s="34" t="inlineStr">
        <is>
          <t>ตามระบบ GMP ห้อง mixing room ในการเตรียม cloxacillin sterile injection ข้อใดถูกต้อง</t>
        </is>
      </c>
      <c r="C105" s="35" t="n"/>
      <c r="D105" s="34" t="inlineStr">
        <is>
          <t>มีความชื้นในห้อง 75 % RH</t>
        </is>
      </c>
      <c r="E105" s="34" t="inlineStr">
        <is>
          <t>ระบบลมเป็นแบบ multi-directional place</t>
        </is>
      </c>
      <c r="F105" s="34" t="inlineStr">
        <is>
          <t>ทำความสะอาดเครื่องผสมแบบ clean in place</t>
        </is>
      </c>
      <c r="G105" s="34" t="inlineStr">
        <is>
          <t>ความดันภายในห้องเตรียมยาเท่ากับห้องโถง (corridor)</t>
        </is>
      </c>
      <c r="H105" s="34" t="inlineStr">
        <is>
          <t>ต้องมี HEPA filter ดูดอากาศเอาอนุภาคออกด้วยก่อนปล่อยสู่สิ่งแวดล้อม</t>
        </is>
      </c>
      <c r="I105" s="35" t="n">
        <v>1</v>
      </c>
      <c r="J105" s="34" t="inlineStr">
        <is>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5" s="35" t="n"/>
      <c r="L105" s="34" t="inlineStr">
        <is>
          <t>Preformulation &amp; Good Manufacturing Practice</t>
        </is>
      </c>
      <c r="M105" s="35" t="inlineStr">
        <is>
          <t>Product</t>
        </is>
      </c>
      <c r="N105" s="34" t="inlineStr">
        <is>
          <t>ข้อสอบจริง Product ปี 2561 ข้อ 99</t>
        </is>
      </c>
      <c r="O105" s="35" t="inlineStr">
        <is>
          <t>ข้อสอบจริง</t>
        </is>
      </c>
      <c r="P105" s="35" t="inlineStr">
        <is>
          <t>ปี 2561</t>
        </is>
      </c>
    </row>
    <row r="106" ht="409.6" customHeight="1" s="49">
      <c r="A106" s="35" t="n">
        <v>104</v>
      </c>
      <c r="B106" s="34" t="inlineStr">
        <is>
          <t>การเคลือบ vitamin B complex มีขั้นตอนอย่างไร</t>
        </is>
      </c>
      <c r="C106" s="35" t="n"/>
      <c r="D106" s="34" t="inlineStr">
        <is>
          <t>Sealing \&gt; subcoating \&gt; smoothing \&gt; color coating \&gt;</t>
        </is>
      </c>
      <c r="E106" s="34" t="inlineStr">
        <is>
          <t>Smoothing \&gt; subcoating \&gt; sealing \&gt; color coating \&gt; polishing</t>
        </is>
      </c>
      <c r="F106" s="34" t="inlineStr">
        <is>
          <t>Subcoating \&gt; sealing \&gt; smoothing \&gt; color coating \&gt; polishing</t>
        </is>
      </c>
      <c r="G106" s="34" t="inlineStr">
        <is>
          <t>Subcoating \&gt; smoothing \&gt; color coating \&gt; polishing \&gt; printing</t>
        </is>
      </c>
      <c r="H106" s="34" t="inlineStr">
        <is>
          <t>Sealing \&gt; subcoating \&gt; color coating \&gt; polishing \&gt; smoothing</t>
        </is>
      </c>
      <c r="I106" s="35" t="n">
        <v>1</v>
      </c>
      <c r="J106" s="34" t="inlineStr">
        <is>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6" s="35" t="n"/>
      <c r="L106" s="34" t="inlineStr">
        <is>
          <t>Pharmaceutical Technology General</t>
        </is>
      </c>
      <c r="M106" s="35" t="inlineStr">
        <is>
          <t>Product</t>
        </is>
      </c>
      <c r="N106" s="34" t="inlineStr">
        <is>
          <t>ข้อสอบจริง Product ปี 2561 ข้อ 100</t>
        </is>
      </c>
      <c r="O106" s="35" t="inlineStr">
        <is>
          <t>ข้อสอบจริง</t>
        </is>
      </c>
      <c r="P106" s="35" t="inlineStr">
        <is>
          <t>ปี 2561</t>
        </is>
      </c>
    </row>
    <row r="107" ht="409.6" customHeight="1" s="49">
      <c r="A107" s="35" t="n">
        <v>105</v>
      </c>
      <c r="B107" s="34" t="inlineStr">
        <is>
          <t>หากต้องการให้ ASA ออกฤทธิ์ที่ลำไส้เล็กควรต้องใช้สารเคลือบฟิล์มตัวใด</t>
        </is>
      </c>
      <c r="C107" s="35" t="n"/>
      <c r="D107" s="34" t="inlineStr">
        <is>
          <t>Pectin</t>
        </is>
      </c>
      <c r="E107" s="34" t="inlineStr">
        <is>
          <t>Chitosan</t>
        </is>
      </c>
      <c r="F107" s="34" t="inlineStr">
        <is>
          <t>HPMC</t>
        </is>
      </c>
      <c r="G107" s="34" t="inlineStr">
        <is>
          <t>Polyvinylpyrrolidone K90</t>
        </is>
      </c>
      <c r="H107" s="34" t="inlineStr">
        <is>
          <t>Cellulose acetate phthalate</t>
        </is>
      </c>
      <c r="I107" s="35" t="n">
        <v>1</v>
      </c>
      <c r="J107" s="34" t="inlineStr">
        <is>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7" s="35" t="n"/>
      <c r="L107" s="34" t="inlineStr">
        <is>
          <t>Pharmaceutical Technology General</t>
        </is>
      </c>
      <c r="M107" s="35" t="inlineStr">
        <is>
          <t>Product</t>
        </is>
      </c>
      <c r="N107" s="34" t="inlineStr">
        <is>
          <t>ข้อสอบจริง Product ปี 2561 ข้อ 101</t>
        </is>
      </c>
      <c r="O107" s="35" t="inlineStr">
        <is>
          <t>ข้อสอบจริง</t>
        </is>
      </c>
      <c r="P107" s="35" t="inlineStr">
        <is>
          <t>ปี 2561</t>
        </is>
      </c>
    </row>
    <row r="108" ht="409.6" customHeight="1" s="49">
      <c r="A108" s="35" t="n">
        <v>106</v>
      </c>
      <c r="B108" s="34" t="inlineStr">
        <is>
          <t>เตรียม morphine solution extemporaneous ไม่มีข้อมูลความคงตัวตาม USP มีน้ำในสูตรตำรับ กำหนดให้ใช้หลังเตรียมได้ภายในกี่วันหากเก็บใน cold temperature</t>
        </is>
      </c>
      <c r="C108" s="35" t="n"/>
      <c r="D108" s="34" t="inlineStr">
        <is>
          <t>ทันทีที่เตรียมเสร็จ</t>
        </is>
      </c>
      <c r="E108" s="34" t="inlineStr">
        <is>
          <t>ภายใน 24 ชั่วโมง</t>
        </is>
      </c>
      <c r="F108" s="34" t="inlineStr">
        <is>
          <t>ภายใน 3 วัน</t>
        </is>
      </c>
      <c r="G108" s="34" t="inlineStr">
        <is>
          <t>ภายใน 7 วัน</t>
        </is>
      </c>
      <c r="H108" s="34" t="inlineStr">
        <is>
          <t>ภายใน 14 วัน</t>
        </is>
      </c>
      <c r="I108" s="35" t="n">
        <v>1</v>
      </c>
      <c r="J108" s="34" t="inlineStr">
        <is>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8" s="35" t="n"/>
      <c r="L108" s="34" t="inlineStr">
        <is>
          <t>Pharmaceutical Technology General</t>
        </is>
      </c>
      <c r="M108" s="35" t="inlineStr">
        <is>
          <t>Product</t>
        </is>
      </c>
      <c r="N108" s="34" t="inlineStr">
        <is>
          <t>ข้อสอบจริง Product ปี 2561 ข้อ 105</t>
        </is>
      </c>
      <c r="O108" s="35" t="inlineStr">
        <is>
          <t>ข้อสอบจริง</t>
        </is>
      </c>
      <c r="P108" s="35" t="inlineStr">
        <is>
          <t>ปี 2561</t>
        </is>
      </c>
    </row>
    <row r="109" ht="409.6" customHeight="1" s="49">
      <c r="A109" s="35" t="n">
        <v>107</v>
      </c>
      <c r="B109" s="34" t="inlineStr">
        <is>
          <t>ตำรับ prednisolone ประกอบด้วย 1-octadecanol, polysorbate 80, poly ethylene glycol, isopropyl myristate, sodium sulfite สารใดในตำรับทำหน้าที่ในการเป็น wetting agent</t>
        </is>
      </c>
      <c r="C109" s="35" t="n"/>
      <c r="D109" s="34" t="inlineStr">
        <is>
          <t>Sodium sulfite</t>
        </is>
      </c>
      <c r="E109" s="34" t="inlineStr">
        <is>
          <t>1-octadecanol</t>
        </is>
      </c>
      <c r="F109" s="34" t="inlineStr">
        <is>
          <t>Polysorbate 80</t>
        </is>
      </c>
      <c r="G109" s="34" t="inlineStr">
        <is>
          <t>Polyethylene glycol</t>
        </is>
      </c>
      <c r="H109" s="34" t="inlineStr">
        <is>
          <t>Isopropyl myristate ## ## ##</t>
        </is>
      </c>
      <c r="I109" s="35" t="n">
        <v>1</v>
      </c>
      <c r="J109" s="34" t="inlineStr">
        <is>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9" s="35" t="n"/>
      <c r="L109" s="34" t="inlineStr">
        <is>
          <t>Preformulation &amp; Good Manufacturing Practice</t>
        </is>
      </c>
      <c r="M109" s="35" t="inlineStr">
        <is>
          <t>Product</t>
        </is>
      </c>
      <c r="N109" s="34" t="inlineStr">
        <is>
          <t>ข้อสอบจริง Product ปี 2561 ข้อ 113</t>
        </is>
      </c>
      <c r="O109" s="35" t="inlineStr">
        <is>
          <t>ข้อสอบจริง</t>
        </is>
      </c>
      <c r="P109" s="35" t="inlineStr">
        <is>
          <t>ปี 2561</t>
        </is>
      </c>
    </row>
    <row r="110" ht="409.6" customHeight="1" s="49">
      <c r="A110" s="35" t="n">
        <v>108</v>
      </c>
      <c r="B110" s="34" t="inlineStr">
        <is>
          <t>สารที่เป็น propellant ใช้ใน MDI seretide evohaler คือ</t>
        </is>
      </c>
      <c r="C110" s="35" t="n"/>
      <c r="D110" s="34" t="inlineStr">
        <is>
          <t>Nitrogen</t>
        </is>
      </c>
      <c r="E110" s="34" t="inlineStr">
        <is>
          <t>Hydrocabon</t>
        </is>
      </c>
      <c r="F110" s="34" t="inlineStr">
        <is>
          <t>Cabondioxide</t>
        </is>
      </c>
      <c r="G110" s="34" t="inlineStr">
        <is>
          <t>CFCs</t>
        </is>
      </c>
      <c r="H110" s="34" t="inlineStr">
        <is>
          <t>HFA</t>
        </is>
      </c>
      <c r="I110" s="35" t="n">
        <v>1</v>
      </c>
      <c r="J110" s="34" t="inlineStr">
        <is>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0" s="35" t="n"/>
      <c r="L110" s="34" t="inlineStr">
        <is>
          <t>Pharmaceutical Technology General</t>
        </is>
      </c>
      <c r="M110" s="35" t="inlineStr">
        <is>
          <t>Product</t>
        </is>
      </c>
      <c r="N110" s="34" t="inlineStr">
        <is>
          <t>ข้อสอบจริง Product ปี 2559 ข้อ 1</t>
        </is>
      </c>
      <c r="O110" s="35" t="inlineStr">
        <is>
          <t>ข้อสอบจริง</t>
        </is>
      </c>
      <c r="P110" s="35" t="inlineStr">
        <is>
          <t>ปี 2559</t>
        </is>
      </c>
    </row>
    <row r="111" ht="409.6" customHeight="1" s="49">
      <c r="A111" s="35" t="n">
        <v>109</v>
      </c>
      <c r="B111" s="34" t="inlineStr">
        <is>
          <t>การบรรจุ insulin; ห้องที่ควรบรรจุควรมีความสะอาดตาม GMP grade ใด</t>
        </is>
      </c>
      <c r="C111" s="35" t="n"/>
      <c r="D111" s="34" t="inlineStr">
        <is>
          <t>A</t>
        </is>
      </c>
      <c r="E111" s="34" t="inlineStr">
        <is>
          <t>B</t>
        </is>
      </c>
      <c r="F111" s="34" t="inlineStr">
        <is>
          <t>C</t>
        </is>
      </c>
      <c r="G111" s="34" t="inlineStr">
        <is>
          <t>D</t>
        </is>
      </c>
      <c r="H111" s="34" t="inlineStr">
        <is>
          <t>E</t>
        </is>
      </c>
      <c r="I111" s="35" t="n">
        <v>1</v>
      </c>
      <c r="J111" s="34"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11" s="35" t="n"/>
      <c r="L111" s="34" t="inlineStr">
        <is>
          <t>Preformulation &amp; Good Manufacturing Practice</t>
        </is>
      </c>
      <c r="M111" s="35" t="inlineStr">
        <is>
          <t>Product</t>
        </is>
      </c>
      <c r="N111" s="34" t="inlineStr">
        <is>
          <t>ข้อสอบจริง Product ปี 2559 ข้อ 4</t>
        </is>
      </c>
      <c r="O111" s="35" t="inlineStr">
        <is>
          <t>ข้อสอบจริง</t>
        </is>
      </c>
      <c r="P111" s="35" t="inlineStr">
        <is>
          <t>ปี 2559</t>
        </is>
      </c>
    </row>
    <row r="112" ht="409.6" customHeight="1" s="49">
      <c r="A112" s="35" t="n">
        <v>110</v>
      </c>
      <c r="B112" s="34" t="inlineStr">
        <is>
          <t>Nicotine patch มีการปลดปล่อยแบบใด</t>
        </is>
      </c>
      <c r="C112" s="35" t="n"/>
      <c r="D112" s="34" t="inlineStr">
        <is>
          <t>Zero order</t>
        </is>
      </c>
      <c r="E112" s="34" t="inlineStr">
        <is>
          <t>First order</t>
        </is>
      </c>
      <c r="F112" s="34" t="inlineStr">
        <is>
          <t>Pseudofirst order</t>
        </is>
      </c>
      <c r="G112" s="34" t="n"/>
      <c r="H112" s="34" t="n"/>
      <c r="I112" s="35" t="n">
        <v>1</v>
      </c>
      <c r="J112" s="34" t="inlineStr">
        <is>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2" s="35" t="n"/>
      <c r="L112" s="34" t="inlineStr">
        <is>
          <t>Pharmaceutical Technology General</t>
        </is>
      </c>
      <c r="M112" s="35" t="inlineStr">
        <is>
          <t>Product</t>
        </is>
      </c>
      <c r="N112" s="34" t="inlineStr">
        <is>
          <t>ข้อสอบจริง Product ปี 2559 ข้อ 8</t>
        </is>
      </c>
      <c r="O112" s="35" t="inlineStr">
        <is>
          <t>ข้อสอบจริง</t>
        </is>
      </c>
      <c r="P112" s="35" t="inlineStr">
        <is>
          <t>ปี 2559</t>
        </is>
      </c>
    </row>
    <row r="113" ht="409.6" customHeight="1" s="49">
      <c r="A113" s="35" t="n">
        <v>111</v>
      </c>
      <c r="B113" s="34" t="inlineStr">
        <is>
          <t>วัคซีน OPV ต้องเก็บที่ไหน</t>
        </is>
      </c>
      <c r="C113" s="35" t="n"/>
      <c r="D113" s="34" t="inlineStr">
        <is>
          <t>Freeze</t>
        </is>
      </c>
      <c r="E113" s="34" t="inlineStr">
        <is>
          <t>Room temp</t>
        </is>
      </c>
      <c r="F113" s="34" t="inlineStr">
        <is>
          <t>Refrigerator</t>
        </is>
      </c>
      <c r="G113" s="34" t="n"/>
      <c r="H113" s="34" t="n"/>
      <c r="I113" s="35" t="n">
        <v>1</v>
      </c>
      <c r="J113" s="34" t="inlineStr">
        <is>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3" s="35" t="n"/>
      <c r="L113" s="34" t="inlineStr">
        <is>
          <t>Pharmaceutical Technology General</t>
        </is>
      </c>
      <c r="M113" s="35" t="inlineStr">
        <is>
          <t>Product</t>
        </is>
      </c>
      <c r="N113" s="34" t="inlineStr">
        <is>
          <t>ข้อสอบจริง Product ปี 2559 ข้อ 10</t>
        </is>
      </c>
      <c r="O113" s="35" t="inlineStr">
        <is>
          <t>ข้อสอบจริง</t>
        </is>
      </c>
      <c r="P113" s="35" t="inlineStr">
        <is>
          <t>ปี 2559</t>
        </is>
      </c>
    </row>
    <row r="114" ht="409.6" customHeight="1" s="49">
      <c r="A114" s="35" t="n">
        <v>112</v>
      </c>
      <c r="B114" s="34" t="inlineStr">
        <is>
          <t>ข้อใดถูกเกี่ยวกับยาเตรียมเคมีบำบัด</t>
        </is>
      </c>
      <c r="C114" s="35" t="n"/>
      <c r="D114" s="34" t="inlineStr">
        <is>
          <t>ห้องเตรียมควรเป็น positive pressure</t>
        </is>
      </c>
      <c r="E114" s="34" t="inlineStr">
        <is>
          <t>ลมเป่าควรเป็นแนว vertical</t>
        </is>
      </c>
      <c r="F114" s="34" t="n"/>
      <c r="G114" s="34" t="n"/>
      <c r="H114" s="34" t="n"/>
      <c r="I114" s="35" t="n">
        <v>1</v>
      </c>
      <c r="J114" s="34" t="inlineStr">
        <is>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4" s="35" t="n"/>
      <c r="L114" s="34" t="inlineStr">
        <is>
          <t>Pharmaceutical Technology General</t>
        </is>
      </c>
      <c r="M114" s="35" t="inlineStr">
        <is>
          <t>Product</t>
        </is>
      </c>
      <c r="N114" s="34" t="inlineStr">
        <is>
          <t>ข้อสอบจริง Product ปี 2559 ข้อ 14</t>
        </is>
      </c>
      <c r="O114" s="35" t="inlineStr">
        <is>
          <t>ข้อสอบจริง</t>
        </is>
      </c>
      <c r="P114" s="35" t="inlineStr">
        <is>
          <t>ปี 2559</t>
        </is>
      </c>
    </row>
    <row r="115" ht="409.6" customHeight="1" s="49">
      <c r="A115" s="35" t="n">
        <v>113</v>
      </c>
      <c r="B115" s="34" t="inlineStr">
        <is>
          <t>สารที่เป็น propellant ใช้ใน Seretide evohaler คือ</t>
        </is>
      </c>
      <c r="C115" s="35" t="n"/>
      <c r="D115" s="34" t="inlineStr">
        <is>
          <t>Nitrogen</t>
        </is>
      </c>
      <c r="E115" s="34" t="inlineStr">
        <is>
          <t>Hydrocarbon</t>
        </is>
      </c>
      <c r="F115" s="34" t="inlineStr">
        <is>
          <t>Carbondioxide</t>
        </is>
      </c>
      <c r="G115" s="34" t="inlineStr">
        <is>
          <t>Chlorofluorocarbon</t>
        </is>
      </c>
      <c r="H115" s="34" t="inlineStr">
        <is>
          <t>HFA 134a</t>
        </is>
      </c>
      <c r="I115" s="35" t="n">
        <v>1</v>
      </c>
      <c r="J115" s="34" t="inlineStr">
        <is>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5" s="35" t="n"/>
      <c r="L115" s="34" t="inlineStr">
        <is>
          <t>Pharmaceutical Technology General</t>
        </is>
      </c>
      <c r="M115" s="35" t="inlineStr">
        <is>
          <t>Product</t>
        </is>
      </c>
      <c r="N115" s="34" t="inlineStr">
        <is>
          <t>ข้อสอบจริง Product ปี 2559 ข้อ 2</t>
        </is>
      </c>
      <c r="O115" s="35" t="inlineStr">
        <is>
          <t>ข้อสอบจริง</t>
        </is>
      </c>
      <c r="P115" s="35" t="inlineStr">
        <is>
          <t>ปี 2559</t>
        </is>
      </c>
    </row>
    <row r="116" ht="409.6" customHeight="1" s="49">
      <c r="A116" s="35" t="n">
        <v>114</v>
      </c>
      <c r="B116" s="34" t="inlineStr">
        <is>
          <t>จากข้อมูล ข้อใดถูกต้อง</t>
        </is>
      </c>
      <c r="C116" s="35" t="n"/>
      <c r="D116" s="34" t="inlineStr">
        <is>
          <t>ผ่านเพราะ ไม่มีเม็ดใดที่ไม่ผ่านการทดสอบ</t>
        </is>
      </c>
      <c r="E116" s="34" t="inlineStr">
        <is>
          <t>ไม่ผ่านต้องทดสอบซ้ำอีก 6 เม็ด</t>
        </is>
      </c>
      <c r="F116" s="34" t="inlineStr">
        <is>
          <t>ไม่ผ่านต้องทดสอบซ้ำอีก 12 เม็ด</t>
        </is>
      </c>
      <c r="G116" s="34" t="inlineStr">
        <is>
          <t>ไม่ผ่านต้องทดสอบซ้ำอีก 24 เม็ด</t>
        </is>
      </c>
      <c r="H116" s="34" t="inlineStr">
        <is>
          <t>ไม่ผ่าน เพราะ มีเม็ดยาที่ไม่ผ่านการทดสอบ</t>
        </is>
      </c>
      <c r="I116" s="35" t="n">
        <v>1</v>
      </c>
      <c r="J116" s="34" t="inlineStr">
        <is>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6" s="35" t="n"/>
      <c r="L116" s="34" t="inlineStr">
        <is>
          <t>Pharmaceutical Technology General</t>
        </is>
      </c>
      <c r="M116" s="35" t="inlineStr">
        <is>
          <t>Product</t>
        </is>
      </c>
      <c r="N116" s="34" t="inlineStr">
        <is>
          <t>ข้อสอบจริง Product ปี 2559 ข้อ 1</t>
        </is>
      </c>
      <c r="O116" s="35" t="inlineStr">
        <is>
          <t>ข้อสอบจริง</t>
        </is>
      </c>
      <c r="P116" s="35" t="inlineStr">
        <is>
          <t>ปี 2559</t>
        </is>
      </c>
    </row>
    <row r="117" ht="409.6" customHeight="1" s="49">
      <c r="A117" s="35" t="n">
        <v>115</v>
      </c>
      <c r="B117" s="34" t="inlineStr">
        <is>
          <t>ผู้ป่วยจำเป็นจะต้องเปลี่ยน Theophylline เป็น Aminophylline จะต้องใช้ Aminophylline เท่าไหร่ ข้อมูลเพิ่มเติม 		- Theophylline: S = 1 - Aminophylline: S = 0.8</t>
        </is>
      </c>
      <c r="C117" s="35" t="n"/>
      <c r="D117" s="34" t="inlineStr">
        <is>
          <t>200 mg</t>
        </is>
      </c>
      <c r="E117" s="34" t="inlineStr">
        <is>
          <t>320 mg</t>
        </is>
      </c>
      <c r="F117" s="34" t="inlineStr">
        <is>
          <t>400 mg</t>
        </is>
      </c>
      <c r="G117" s="34" t="inlineStr">
        <is>
          <t>450 mg</t>
        </is>
      </c>
      <c r="H117" s="34" t="inlineStr">
        <is>
          <t>500 mg</t>
        </is>
      </c>
      <c r="I117" s="35" t="n">
        <v>1</v>
      </c>
      <c r="J117" s="34" t="inlineStr">
        <is>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7" s="35" t="n"/>
      <c r="L117" s="34" t="inlineStr">
        <is>
          <t>Pharmaceutical Technology General</t>
        </is>
      </c>
      <c r="M117" s="35" t="inlineStr">
        <is>
          <t>Product</t>
        </is>
      </c>
      <c r="N117" s="34" t="inlineStr">
        <is>
          <t>ข้อสอบจริง Product ปี 2559 ข้อ 9</t>
        </is>
      </c>
      <c r="O117" s="35" t="inlineStr">
        <is>
          <t>ข้อสอบจริง</t>
        </is>
      </c>
      <c r="P117" s="35" t="inlineStr">
        <is>
          <t>ปี 2559</t>
        </is>
      </c>
    </row>
    <row r="118" ht="409.6" customHeight="1" s="49">
      <c r="A118" s="35" t="n">
        <v>116</v>
      </c>
      <c r="B118" s="34" t="inlineStr">
        <is>
          <t>ข้อใดถูกเกี่ยวกับ ibuprofen เคลือบ film</t>
        </is>
      </c>
      <c r="C118" s="35" t="n"/>
      <c r="D118" s="34" t="inlineStr">
        <is>
          <t>ลบรอยขรุขระของเม็ดยาในขั้นตอน sealing ทำให้ยาเรียบ</t>
        </is>
      </c>
      <c r="E118" s="34" t="inlineStr">
        <is>
          <t>กระบวนการที่ทำให้เม็ดยาหนักขึ้นถึง 40% คือขั้นตอน subcoating</t>
        </is>
      </c>
      <c r="F118" s="34" t="inlineStr">
        <is>
          <t>เลือกใช้สี dye เพื่อป้องกันการเกิด color migration</t>
        </is>
      </c>
      <c r="G118" s="34" t="inlineStr">
        <is>
          <t>ยังคงสามารถเห็นพริ้นท์บนเม็ดยาและรอยบาก</t>
        </is>
      </c>
      <c r="H118" s="34" t="n"/>
      <c r="I118" s="35" t="n">
        <v>1</v>
      </c>
      <c r="J118" s="34" t="inlineStr">
        <is>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8" s="35" t="n"/>
      <c r="L118" s="34" t="inlineStr">
        <is>
          <t>Pharmaceutical Technology General</t>
        </is>
      </c>
      <c r="M118" s="35" t="inlineStr">
        <is>
          <t>Product</t>
        </is>
      </c>
      <c r="N118" s="34" t="inlineStr">
        <is>
          <t>ข้อสอบจริง Product ปี 2559 ข้อ 11</t>
        </is>
      </c>
      <c r="O118" s="35" t="inlineStr">
        <is>
          <t>ข้อสอบจริง</t>
        </is>
      </c>
      <c r="P118" s="35" t="inlineStr">
        <is>
          <t>ปี 2559</t>
        </is>
      </c>
    </row>
    <row r="119" ht="409.6" customHeight="1" s="49">
      <c r="A119" s="35" t="n">
        <v>117</v>
      </c>
      <c r="B119" s="34" t="inlineStr">
        <is>
          <t>อุปกรณ์ข้อใดนิยมใช้เคลือบฟิล์มทั้งในอุตสาหกรรมและห้องทดลอง</t>
        </is>
      </c>
      <c r="C119" s="35" t="n"/>
      <c r="D119" s="34" t="inlineStr">
        <is>
          <t>Accela-Cota</t>
        </is>
      </c>
      <c r="E119" s="34" t="inlineStr">
        <is>
          <t>Driacoater</t>
        </is>
      </c>
      <c r="F119" s="34" t="inlineStr">
        <is>
          <t>Hi coater</t>
        </is>
      </c>
      <c r="G119" s="34" t="inlineStr">
        <is>
          <t>Glatter coater</t>
        </is>
      </c>
      <c r="H119" s="34" t="inlineStr">
        <is>
          <t>conventional pan</t>
        </is>
      </c>
      <c r="I119" s="35" t="n">
        <v>1</v>
      </c>
      <c r="J119" s="34" t="inlineStr">
        <is>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9" s="35" t="n"/>
      <c r="L119" s="34" t="inlineStr">
        <is>
          <t>Pharmaceutical Technology General</t>
        </is>
      </c>
      <c r="M119" s="35" t="inlineStr">
        <is>
          <t>Product</t>
        </is>
      </c>
      <c r="N119" s="34" t="inlineStr">
        <is>
          <t>ข้อสอบจริง Product ปี 2559 ข้อ 12</t>
        </is>
      </c>
      <c r="O119" s="35" t="inlineStr">
        <is>
          <t>ข้อสอบจริง</t>
        </is>
      </c>
      <c r="P119" s="35" t="inlineStr">
        <is>
          <t>ปี 2559</t>
        </is>
      </c>
    </row>
    <row r="120" ht="409.6" customHeight="1" s="49">
      <c r="A120" s="35" t="n">
        <v>118</v>
      </c>
      <c r="B120" s="34"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120" s="35" t="n"/>
      <c r="D120" s="34" t="inlineStr">
        <is>
          <t>3 เดือน</t>
        </is>
      </c>
      <c r="E120" s="34" t="inlineStr">
        <is>
          <t>6 เดือน</t>
        </is>
      </c>
      <c r="F120" s="34" t="inlineStr">
        <is>
          <t>12 เดือน</t>
        </is>
      </c>
      <c r="G120" s="34" t="inlineStr">
        <is>
          <t>18 เดือน</t>
        </is>
      </c>
      <c r="H120" s="34" t="inlineStr">
        <is>
          <t>24 เดือน</t>
        </is>
      </c>
      <c r="I120" s="35" t="n">
        <v>1</v>
      </c>
      <c r="J120" s="34" t="inlineStr">
        <is>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0" s="35" t="n"/>
      <c r="L120" s="34" t="inlineStr">
        <is>
          <t>Pharmaceutical Technology General</t>
        </is>
      </c>
      <c r="M120" s="35" t="inlineStr">
        <is>
          <t>Product</t>
        </is>
      </c>
      <c r="N120" s="34" t="inlineStr">
        <is>
          <t>ข้อสอบจริง Product ปี 2558 ข้อ 2</t>
        </is>
      </c>
      <c r="O120" s="35" t="inlineStr">
        <is>
          <t>ข้อสอบจริง</t>
        </is>
      </c>
      <c r="P120" s="35" t="inlineStr">
        <is>
          <t>ปี 2558</t>
        </is>
      </c>
    </row>
    <row r="121" ht="409.6" customHeight="1" s="49">
      <c r="A121" s="35" t="n">
        <v>119</v>
      </c>
      <c r="B121" s="34" t="inlineStr">
        <is>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t>
        </is>
      </c>
      <c r="C121" s="35" t="n"/>
      <c r="D121" s="34" t="inlineStr">
        <is>
          <t>\&gt; 10 micron</t>
        </is>
      </c>
      <c r="E121" s="34" t="inlineStr">
        <is>
          <t>5 - 10 micron</t>
        </is>
      </c>
      <c r="F121" s="34" t="inlineStr">
        <is>
          <t>1 - 5 micron</t>
        </is>
      </c>
      <c r="G121" s="34" t="inlineStr">
        <is>
          <t>0.1 - 1 micron</t>
        </is>
      </c>
      <c r="H121" s="34" t="inlineStr">
        <is>
          <t>0.1 - 0.5 micron</t>
        </is>
      </c>
      <c r="I121" s="35" t="n">
        <v>1</v>
      </c>
      <c r="J121" s="34" t="inlineStr">
        <is>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1" s="35" t="n"/>
      <c r="L121" s="34" t="inlineStr">
        <is>
          <t>Pharmaceutical Technology General</t>
        </is>
      </c>
      <c r="M121" s="35" t="inlineStr">
        <is>
          <t>Product</t>
        </is>
      </c>
      <c r="N121" s="34" t="inlineStr">
        <is>
          <t>ข้อสอบจริง Product ปี 2558 ข้อ 7</t>
        </is>
      </c>
      <c r="O121" s="35" t="inlineStr">
        <is>
          <t>ข้อสอบจริง</t>
        </is>
      </c>
      <c r="P121" s="35" t="inlineStr">
        <is>
          <t>ปี 2558</t>
        </is>
      </c>
    </row>
    <row r="122" ht="409.6" customHeight="1" s="49">
      <c r="A122" s="35" t="n">
        <v>120</v>
      </c>
      <c r="B122" s="34" t="inlineStr">
        <is>
          <t>ข้อใดกล่าว ไม่ถูกต้อง เกี่ยวกับการผลิตวัคซีนตามหลักเกณฑ์และวิธีการที่ดีในการผลิตยา (GMP)?</t>
        </is>
      </c>
      <c r="C122" s="35" t="n"/>
      <c r="D122" s="34" t="inlineStr">
        <is>
          <t>ต้องแยกอาคารผลิตวัคซีนออกจากผลิตภัณฑ์ Non-sterile</t>
        </is>
      </c>
      <c r="E122" s="34" t="inlineStr">
        <is>
          <t>ต้องแยกอาคารผลิตวัคซีนออกจากผลิตภัณฑ์ Sterile ทั่วไป</t>
        </is>
      </c>
      <c r="F122" s="34" t="inlineStr">
        <is>
          <t>ต้องแยกอาคารผลิตวัคซีนให้อยู่ห่างจากแหล่งชุมชนอย่างน้อย 50 เมตร</t>
        </is>
      </c>
      <c r="G122" s="34" t="inlineStr">
        <is>
          <t>พนักงานผู้ปฏิบัติงานต้องสวมใส่ชุดที่ปราศจากขุย (Lint-free suit)</t>
        </is>
      </c>
      <c r="H122" s="34" t="inlineStr">
        <is>
          <t>พนักงานผู้ปฏิบัติงานห้ามแต่งหน้าหรือใช้เครื่องสำอางเข้าพื้นที่ผลิต</t>
        </is>
      </c>
      <c r="I122" s="35" t="n">
        <v>1</v>
      </c>
      <c r="J122" s="34" t="inlineStr">
        <is>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2" s="35" t="n"/>
      <c r="L122" s="34" t="inlineStr">
        <is>
          <t>Preformulation &amp; Good Manufacturing Practice</t>
        </is>
      </c>
      <c r="M122" s="35" t="inlineStr">
        <is>
          <t>Product</t>
        </is>
      </c>
      <c r="N122" s="34" t="inlineStr">
        <is>
          <t>ข้อสอบจริง Product ปี 2558 ข้อ 11</t>
        </is>
      </c>
      <c r="O122" s="35" t="inlineStr">
        <is>
          <t>ข้อสอบจริง</t>
        </is>
      </c>
      <c r="P122" s="35" t="inlineStr">
        <is>
          <t>ปี 2558</t>
        </is>
      </c>
    </row>
    <row r="123" ht="409.6" customHeight="1" s="49">
      <c r="A123" s="35" t="n">
        <v>121</v>
      </c>
      <c r="B123" s="34"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3" s="35" t="n"/>
      <c r="D123" s="34" t="inlineStr">
        <is>
          <t>Sustained release system</t>
        </is>
      </c>
      <c r="E123" s="34" t="inlineStr">
        <is>
          <t>Osmotic release system</t>
        </is>
      </c>
      <c r="F123" s="34" t="inlineStr">
        <is>
          <t>Immediate release system</t>
        </is>
      </c>
      <c r="G123" s="34" t="inlineStr">
        <is>
          <t>Pulsatile release system</t>
        </is>
      </c>
      <c r="H123" s="34" t="inlineStr">
        <is>
          <t>Target delivery system</t>
        </is>
      </c>
      <c r="I123" s="35" t="n">
        <v>1</v>
      </c>
      <c r="J123" s="34" t="inlineStr">
        <is>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3" s="35" t="n"/>
      <c r="L123" s="34" t="inlineStr">
        <is>
          <t>Pharmaceutical Technology General</t>
        </is>
      </c>
      <c r="M123" s="35" t="inlineStr">
        <is>
          <t>Product</t>
        </is>
      </c>
      <c r="N123" s="34" t="inlineStr">
        <is>
          <t>ข้อสอบจริง Product ปี 2558 ข้อ 20</t>
        </is>
      </c>
      <c r="O123" s="35" t="inlineStr">
        <is>
          <t>ข้อสอบจริง</t>
        </is>
      </c>
      <c r="P123" s="35" t="inlineStr">
        <is>
          <t>ปี 2558</t>
        </is>
      </c>
    </row>
    <row r="124" ht="409.6" customHeight="1" s="49">
      <c r="A124" s="35" t="n">
        <v>122</v>
      </c>
      <c r="B124" s="34"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124" s="35" t="n"/>
      <c r="D124" s="34" t="inlineStr">
        <is>
          <t>Tween:Span = 7.3 : 3</t>
        </is>
      </c>
      <c r="E124" s="34" t="inlineStr">
        <is>
          <t>Tween:Span = 3 : 7.3</t>
        </is>
      </c>
      <c r="F124" s="34" t="inlineStr">
        <is>
          <t>Tween:Span = 10.9 : 4.7</t>
        </is>
      </c>
      <c r="G124" s="34" t="inlineStr">
        <is>
          <t>Tween:Span = 4.7 : 10.9</t>
        </is>
      </c>
      <c r="H124" s="34" t="inlineStr">
        <is>
          <t>Tween:Span = 7.3 : 4.7</t>
        </is>
      </c>
      <c r="I124" s="35" t="n">
        <v>1</v>
      </c>
      <c r="J124" s="34" t="inlineStr">
        <is>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4" s="35" t="n"/>
      <c r="L124" s="34" t="inlineStr">
        <is>
          <t>Pharmaceutical Technology General</t>
        </is>
      </c>
      <c r="M124" s="35" t="inlineStr">
        <is>
          <t>Product</t>
        </is>
      </c>
      <c r="N124" s="34" t="inlineStr">
        <is>
          <t>ข้อสอบจริง Product ปี 2558 ข้อ 22</t>
        </is>
      </c>
      <c r="O124" s="35" t="inlineStr">
        <is>
          <t>ข้อสอบจริง</t>
        </is>
      </c>
      <c r="P124" s="35" t="inlineStr">
        <is>
          <t>ปี 2558</t>
        </is>
      </c>
    </row>
    <row r="125" ht="409.6" customHeight="1" s="49">
      <c r="A125" s="35" t="n">
        <v>123</v>
      </c>
      <c r="B125" s="34" t="inlineStr">
        <is>
          <t>ข้อใดกล่าว ไม่ถูกต้อง เกี่ยวกับมาตรการการดำเนินงานเรียกคืนผลิตภัณฑ์ยา (Product Recall) ตามหลักเกณฑ์มาตรฐาน GMP?</t>
        </is>
      </c>
      <c r="C125" s="35" t="inlineStr">
        <is>
          <t>[แนบรูป: ข้อสอบ Product ปี 2558 รหัสรูปภาพ image119]</t>
        </is>
      </c>
      <c r="D125" s="34" t="inlineStr">
        <is>
          <t>ระดับยาเพิ่มขึ้นเป็นขั้นบันไดชันขึ้นเรื่อยๆ ตลอดสัปดาห์ที่ 1 ถึง 3 และลดลงเฉียบพลันในสัปดาห์ที่ 4</t>
        </is>
      </c>
      <c r="E125" s="34" t="inlineStr">
        <is>
          <t>ระดับยาคงที่อยู่เหนือน้อยกว่าระดับรักษาเล็กน้อย และสะสมเพิ่มขึ้นอย่างรวดเร็วในสัปดาห์เว้นยา</t>
        </is>
      </c>
      <c r="F125" s="34" t="inlineStr">
        <is>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is>
      </c>
      <c r="G125" s="34" t="inlineStr">
        <is>
          <t>ระดับยามีการขึ้นและลงเป็นฟันปลาขนาดใหญ่ในแต่ละสัปดาห์เนื่องจากการเปลี่ยนแผ่นใหม่กระตุ้นระดับยาทันที</t>
        </is>
      </c>
      <c r="H125" s="34" t="inlineStr">
        <is>
          <t>ระดับยาอยู่ในเกณฑ์สม่ำเสมอเท่ากันตลอดทั้ง 4 สัปดาห์โดยไม่มีการลดระดับลงเลย</t>
        </is>
      </c>
      <c r="I125" s="35" t="n">
        <v>1</v>
      </c>
      <c r="J125" s="34" t="inlineStr">
        <is>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5" s="35" t="n"/>
      <c r="L125" s="34" t="inlineStr">
        <is>
          <t>Preformulation &amp; Good Manufacturing Practice</t>
        </is>
      </c>
      <c r="M125" s="35" t="inlineStr">
        <is>
          <t>Product</t>
        </is>
      </c>
      <c r="N125" s="34" t="inlineStr">
        <is>
          <t>ข้อสอบจริง Product ปี 2558 ข้อ 36</t>
        </is>
      </c>
      <c r="O125" s="35" t="inlineStr">
        <is>
          <t>ข้อสอบจริง</t>
        </is>
      </c>
      <c r="P125" s="35" t="inlineStr">
        <is>
          <t>ปี 2558</t>
        </is>
      </c>
    </row>
    <row r="126" ht="13.2" customHeight="1" s="49">
      <c r="A126" t="n">
        <v>124</v>
      </c>
      <c r="B126" t="inlineStr">
        <is>
          <t>จากตำรับข้อ 9 วิตามินอี ทำหน้าที่อะไรในตำรับ</t>
        </is>
      </c>
      <c r="D126" t="inlineStr">
        <is>
          <t>. Emulsifier</t>
        </is>
      </c>
      <c r="E126" t="inlineStr">
        <is>
          <t>Emollient</t>
        </is>
      </c>
      <c r="F126" t="inlineStr">
        <is>
          <t>Suspending agent</t>
        </is>
      </c>
      <c r="G126" t="inlineStr">
        <is>
          <t>Thickening agent</t>
        </is>
      </c>
      <c r="H126" t="inlineStr">
        <is>
          <t>Anti-oxidant ตอบ e ระบบ: โรคติดต่อทางเพศสัมพันธุ์ ประวัติแพ้ยา ampicillin โดยมีผื่นคัน ไม่มีหายใจติดขัด</t>
        </is>
      </c>
      <c r="I126" t="inlineStr">
        <is>
          <t>1</t>
        </is>
      </c>
      <c r="J126"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6" t="inlineStr">
        <is>
          <t>Hypertension</t>
        </is>
      </c>
      <c r="M126" t="inlineStr">
        <is>
          <t>Clinic</t>
        </is>
      </c>
      <c r="N126" t="inlineStr">
        <is>
          <t>ข้อ 10 (PLE_CC1_2533.md)</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2" t="n">
        <v>1</v>
      </c>
      <c r="B3" s="2" t="inlineStr">
        <is>
          <t>แพทย์สั่งจ่ายยา KCl 40 mEq/tablespoon (15 mL) จำนวน 60 mL เภสัชกรต้องเตรียมผงยา KCl ปริมาณกี่กรัม (กำหนด MW ของ KCl = 74.5 g/mol, valence = 1)</t>
        </is>
      </c>
      <c r="C3" s="2" t="n"/>
      <c r="D3" s="2" t="inlineStr">
        <is>
          <t>1 กรัม</t>
        </is>
      </c>
      <c r="E3" s="2" t="inlineStr">
        <is>
          <t>3 กรัม</t>
        </is>
      </c>
      <c r="F3" s="2" t="inlineStr">
        <is>
          <t>6 กรัม</t>
        </is>
      </c>
      <c r="G3" s="2" t="inlineStr">
        <is>
          <t>12 กรัม</t>
        </is>
      </c>
      <c r="H3" s="2" t="inlineStr">
        <is>
          <t>24 กรัม</t>
        </is>
      </c>
      <c r="I3" s="8" t="inlineStr">
        <is>
          <t>4</t>
        </is>
      </c>
      <c r="J3" s="2"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2" t="n"/>
      <c r="L3" s="2" t="inlineStr">
        <is>
          <t>Electrolyte &amp; Milliequivalent Calculation</t>
        </is>
      </c>
      <c r="M3" s="2" t="inlineStr">
        <is>
          <t>Product</t>
        </is>
      </c>
      <c r="N3" s="2" t="inlineStr">
        <is>
          <t>ข้อ 91 (ข้อสอบจริง 2566 Day 2)</t>
        </is>
      </c>
      <c r="O3" s="2" t="inlineStr">
        <is>
          <t>ข้อสอบจริง</t>
        </is>
      </c>
      <c r="P3" s="2" t="inlineStr">
        <is>
          <t>Mock Rx20 UBU</t>
        </is>
      </c>
    </row>
    <row r="4" ht="13.2" customHeight="1" s="49">
      <c r="A4" s="2" t="n">
        <v>2</v>
      </c>
      <c r="B4" s="2"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2" t="n"/>
      <c r="D4" s="2" t="inlineStr">
        <is>
          <t>3.2 mEq/hr</t>
        </is>
      </c>
      <c r="E4" s="2" t="inlineStr">
        <is>
          <t>4.8 mEq/hr</t>
        </is>
      </c>
      <c r="F4" s="2" t="inlineStr">
        <is>
          <t>6.4 mEq/hr</t>
        </is>
      </c>
      <c r="G4" s="2" t="inlineStr">
        <is>
          <t>8.0 mEq/hr</t>
        </is>
      </c>
      <c r="H4" s="2" t="inlineStr">
        <is>
          <t>10.0 mEq/hr</t>
        </is>
      </c>
      <c r="I4" s="8" t="inlineStr">
        <is>
          <t>3</t>
        </is>
      </c>
      <c r="J4" s="2"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2" t="n"/>
      <c r="L4" s="2" t="inlineStr">
        <is>
          <t>IV Infusion Rate Calculation</t>
        </is>
      </c>
      <c r="M4" s="2" t="inlineStr">
        <is>
          <t>Product</t>
        </is>
      </c>
      <c r="N4" s="2" t="inlineStr">
        <is>
          <t>ข้อ 92 (ข้อสอบจริง 2566 Day 2)</t>
        </is>
      </c>
      <c r="O4" s="2" t="inlineStr">
        <is>
          <t>ข้อสอบจริง</t>
        </is>
      </c>
    </row>
    <row r="5" ht="13.2" customHeight="1" s="49">
      <c r="A5" s="2" t="n">
        <v>3</v>
      </c>
      <c r="B5" s="2"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2" t="n"/>
      <c r="D5" s="2" t="inlineStr">
        <is>
          <t>2.0 กรัม</t>
        </is>
      </c>
      <c r="E5" s="2" t="inlineStr">
        <is>
          <t>5.5 กรัม</t>
        </is>
      </c>
      <c r="F5" s="2" t="inlineStr">
        <is>
          <t>6.5 กรัม</t>
        </is>
      </c>
      <c r="G5" s="2" t="inlineStr">
        <is>
          <t>15.0 กรัม</t>
        </is>
      </c>
      <c r="H5" s="2" t="inlineStr">
        <is>
          <t>19.5 กรัม</t>
        </is>
      </c>
      <c r="I5" s="8" t="inlineStr">
        <is>
          <t>5</t>
        </is>
      </c>
      <c r="J5" s="2"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2" t="n"/>
      <c r="L5" s="2" t="inlineStr">
        <is>
          <t>Displacement &amp; Density Factor</t>
        </is>
      </c>
      <c r="M5" s="2" t="inlineStr">
        <is>
          <t>Product</t>
        </is>
      </c>
      <c r="N5" s="2" t="inlineStr">
        <is>
          <t>ข้อ 47 (ข้อสอบจริง 2566 Day 2)</t>
        </is>
      </c>
      <c r="O5" s="2" t="inlineStr">
        <is>
          <t>ข้อสอบจริง</t>
        </is>
      </c>
    </row>
    <row r="6" ht="13.2" customHeight="1" s="49">
      <c r="A6" s="2" t="n">
        <v>4</v>
      </c>
      <c r="B6" s="2"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2" t="n"/>
      <c r="D6" s="2" t="inlineStr">
        <is>
          <t>น้ำหนักผงยารวม / 100</t>
        </is>
      </c>
      <c r="E6" s="2" t="inlineStr">
        <is>
          <t>น้ำหนักผงยารวม / 20</t>
        </is>
      </c>
      <c r="F6" s="2" t="inlineStr">
        <is>
          <t>น้ำหนักผงยารวม / 5</t>
        </is>
      </c>
      <c r="G6" s="2" t="inlineStr">
        <is>
          <t>น้ำหนักผงยารวม / 0.01</t>
        </is>
      </c>
      <c r="H6" s="2" t="inlineStr">
        <is>
          <t>น้ำหนักผงยารวม / 10</t>
        </is>
      </c>
      <c r="I6" s="8" t="inlineStr">
        <is>
          <t>1</t>
        </is>
      </c>
      <c r="J6" s="2"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2" t="n"/>
      <c r="L6" s="2" t="inlineStr">
        <is>
          <t>Pharmaceutical Quality Assay Calculation</t>
        </is>
      </c>
      <c r="M6" s="2" t="inlineStr">
        <is>
          <t>Product</t>
        </is>
      </c>
      <c r="N6" s="2" t="inlineStr">
        <is>
          <t>ข้อ 95 (ข้อสอบจริง 2566 Day 2)</t>
        </is>
      </c>
      <c r="O6" s="2" t="inlineStr">
        <is>
          <t>ข้อสอบจริง</t>
        </is>
      </c>
    </row>
    <row r="7" ht="13.2" customHeight="1" s="49">
      <c r="A7" s="2" t="n">
        <v>5</v>
      </c>
      <c r="B7" s="2"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2" t="n"/>
      <c r="D7" s="2" t="inlineStr">
        <is>
          <t>65 เม็ด</t>
        </is>
      </c>
      <c r="E7" s="2" t="inlineStr">
        <is>
          <t>100 เม็ด</t>
        </is>
      </c>
      <c r="F7" s="2" t="inlineStr">
        <is>
          <t>130 เม็ด</t>
        </is>
      </c>
      <c r="G7" s="2" t="inlineStr">
        <is>
          <t>260 เม็ด</t>
        </is>
      </c>
      <c r="H7" s="2" t="inlineStr">
        <is>
          <t>300 เม็ด</t>
        </is>
      </c>
      <c r="I7" s="8" t="inlineStr">
        <is>
          <t>3</t>
        </is>
      </c>
      <c r="J7" s="2"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2" t="n"/>
      <c r="L7" s="2" t="inlineStr">
        <is>
          <t>Sampling &amp; Dosage Form Weight Calculation</t>
        </is>
      </c>
      <c r="M7" s="2" t="inlineStr">
        <is>
          <t>Product</t>
        </is>
      </c>
      <c r="N7" s="2" t="inlineStr">
        <is>
          <t>ข้อ 52 (ข้อสอบจริง 2566 Day 2)</t>
        </is>
      </c>
      <c r="O7" s="2" t="inlineStr">
        <is>
          <t>ข้อสอบจริง</t>
        </is>
      </c>
    </row>
    <row r="8" ht="13.2" customHeight="1" s="49">
      <c r="A8" s="2" t="n">
        <v>6</v>
      </c>
      <c r="B8" s="2"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2" t="n"/>
      <c r="D8" s="2" t="inlineStr">
        <is>
          <t>2.3 เดือน</t>
        </is>
      </c>
      <c r="E8" s="2" t="inlineStr">
        <is>
          <t>3.5 เดือน</t>
        </is>
      </c>
      <c r="F8" s="2" t="inlineStr">
        <is>
          <t>5.3 เดือน</t>
        </is>
      </c>
      <c r="G8" s="2" t="inlineStr">
        <is>
          <t>10.5 เดือน</t>
        </is>
      </c>
      <c r="H8" s="2" t="inlineStr">
        <is>
          <t>23.0 เดือน</t>
        </is>
      </c>
      <c r="I8" s="8" t="inlineStr">
        <is>
          <t>3</t>
        </is>
      </c>
      <c r="J8" s="2"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2" t="n"/>
      <c r="L8" s="2" t="inlineStr">
        <is>
          <t>Chemical Kinetics &amp; Shelf-Life (t90)</t>
        </is>
      </c>
      <c r="M8" s="2" t="inlineStr">
        <is>
          <t>Product</t>
        </is>
      </c>
      <c r="N8" s="2" t="inlineStr">
        <is>
          <t>ข้อ 53/65 (ข้อสอบจริง 2566 Day 2)</t>
        </is>
      </c>
      <c r="O8" s="2" t="inlineStr">
        <is>
          <t>ข้อสอบจริง</t>
        </is>
      </c>
    </row>
    <row r="9" ht="13.2" customHeight="1" s="49">
      <c r="A9" s="2" t="n">
        <v>7</v>
      </c>
      <c r="B9" s="2"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2" t="n"/>
      <c r="D9" s="2" t="inlineStr">
        <is>
          <t>0.5 ปี</t>
        </is>
      </c>
      <c r="E9" s="2" t="inlineStr">
        <is>
          <t>2.1 ปี</t>
        </is>
      </c>
      <c r="F9" s="2" t="inlineStr">
        <is>
          <t>3.5 ปี</t>
        </is>
      </c>
      <c r="G9" s="2" t="inlineStr">
        <is>
          <t>5.0 ปี</t>
        </is>
      </c>
      <c r="H9" s="2" t="inlineStr">
        <is>
          <t>13.9 ปี</t>
        </is>
      </c>
      <c r="I9" s="8" t="inlineStr">
        <is>
          <t>2</t>
        </is>
      </c>
      <c r="J9" s="2"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2" t="n"/>
      <c r="L9" s="2" t="inlineStr">
        <is>
          <t>Chemical Kinetics &amp; Shelf-Life (t90)</t>
        </is>
      </c>
      <c r="M9" s="2" t="inlineStr">
        <is>
          <t>Product</t>
        </is>
      </c>
      <c r="N9" s="2" t="inlineStr">
        <is>
          <t>ข้อ 15 (ข้อสอบจริง 2562)</t>
        </is>
      </c>
      <c r="O9" s="2" t="inlineStr">
        <is>
          <t>ข้อสอบจริง</t>
        </is>
      </c>
    </row>
    <row r="10" ht="13.2" customHeight="1" s="49">
      <c r="A10" s="2" t="n">
        <v>8</v>
      </c>
      <c r="B10" s="2"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2" t="n"/>
      <c r="D10" s="2" t="inlineStr">
        <is>
          <t>25 mg</t>
        </is>
      </c>
      <c r="E10" s="2" t="inlineStr">
        <is>
          <t>50 mg</t>
        </is>
      </c>
      <c r="F10" s="2" t="inlineStr">
        <is>
          <t>75 mg</t>
        </is>
      </c>
      <c r="G10" s="2" t="inlineStr">
        <is>
          <t>100 mg</t>
        </is>
      </c>
      <c r="H10" s="2" t="inlineStr">
        <is>
          <t>125 mg</t>
        </is>
      </c>
      <c r="I10" s="8" t="inlineStr">
        <is>
          <t>2</t>
        </is>
      </c>
      <c r="J10" s="2"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2" t="n"/>
      <c r="L10" s="2" t="inlineStr">
        <is>
          <t>Capsule Displacement &amp; Volume Calculation</t>
        </is>
      </c>
      <c r="M10" s="2" t="inlineStr">
        <is>
          <t>Product</t>
        </is>
      </c>
      <c r="N10" s="2" t="inlineStr">
        <is>
          <t>ข้อ 19 (ข้อสอบจริง 2562)</t>
        </is>
      </c>
      <c r="O10" s="2" t="inlineStr">
        <is>
          <t>ข้อสอบจริง</t>
        </is>
      </c>
    </row>
    <row r="11" ht="13.2" customHeight="1" s="49">
      <c r="A11" s="2" t="n">
        <v>9</v>
      </c>
      <c r="B11" s="2"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2" t="n"/>
      <c r="D11" s="2" t="inlineStr">
        <is>
          <t>เม็ดขนาด 450 mg จำนวน 2 เม็ด</t>
        </is>
      </c>
      <c r="E11" s="2" t="inlineStr">
        <is>
          <t>เม็ดขนาด 450 mg จำนวน 3 เม็ด</t>
        </is>
      </c>
      <c r="F11" s="2" t="inlineStr">
        <is>
          <t>เม็ดขนาด 300 mg จำนวน 4 เม็ด</t>
        </is>
      </c>
      <c r="G11" s="2" t="inlineStr">
        <is>
          <t>เม็ดขนาด 300 mg จำนวน 6 เม็ด</t>
        </is>
      </c>
      <c r="H11" s="2" t="inlineStr">
        <is>
          <t>เม็ดขนาด 300 mg จำนวน 8 เม็ด</t>
        </is>
      </c>
      <c r="I11" s="8" t="inlineStr">
        <is>
          <t>4</t>
        </is>
      </c>
      <c r="J11" s="2"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2" t="n"/>
      <c r="L11" s="2" t="inlineStr">
        <is>
          <t>Working Formula &amp; Compounding Scaling</t>
        </is>
      </c>
      <c r="M11" s="2" t="inlineStr">
        <is>
          <t>Product</t>
        </is>
      </c>
      <c r="N11" s="2" t="inlineStr">
        <is>
          <t>ข้อ 18 (ข้อสอบจริง 2562)</t>
        </is>
      </c>
      <c r="O11" s="2" t="inlineStr">
        <is>
          <t>ข้อสอบจริง</t>
        </is>
      </c>
    </row>
    <row r="12" ht="13.2" customHeight="1" s="49">
      <c r="A12" s="2" t="n">
        <v>10</v>
      </c>
      <c r="B12" s="2"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2" t="n"/>
      <c r="D12" s="2" t="inlineStr">
        <is>
          <t>15 mL</t>
        </is>
      </c>
      <c r="E12" s="2" t="inlineStr">
        <is>
          <t>30 mL</t>
        </is>
      </c>
      <c r="F12" s="2" t="inlineStr">
        <is>
          <t>45 mL</t>
        </is>
      </c>
      <c r="G12" s="2" t="inlineStr">
        <is>
          <t>60 mL</t>
        </is>
      </c>
      <c r="H12" s="2" t="inlineStr">
        <is>
          <t>75 mL</t>
        </is>
      </c>
      <c r="I12" s="8" t="inlineStr">
        <is>
          <t>4</t>
        </is>
      </c>
      <c r="J12" s="2"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2" t="n"/>
      <c r="L12" s="2" t="inlineStr">
        <is>
          <t>Electrolyte &amp; Milliequivalent Calculation</t>
        </is>
      </c>
      <c r="M12" s="2" t="inlineStr">
        <is>
          <t>Product</t>
        </is>
      </c>
      <c r="N12" s="2" t="inlineStr">
        <is>
          <t>ข้อ 15 (ข้อสอบจริง 2559)</t>
        </is>
      </c>
      <c r="O12" s="2" t="inlineStr">
        <is>
          <t>ข้อสอบจริง</t>
        </is>
      </c>
    </row>
    <row r="13" ht="13.2" customHeight="1" s="49">
      <c r="A13" s="2" t="n">
        <v>11</v>
      </c>
      <c r="B13" s="2"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2" t="n"/>
      <c r="D13" s="2" t="inlineStr">
        <is>
          <t>0.82 กรัม</t>
        </is>
      </c>
      <c r="E13" s="2" t="inlineStr">
        <is>
          <t>1.00 กรัม</t>
        </is>
      </c>
      <c r="F13" s="2" t="inlineStr">
        <is>
          <t>1.21 กรัม</t>
        </is>
      </c>
      <c r="G13" s="2" t="inlineStr">
        <is>
          <t>3.92 กรัม</t>
        </is>
      </c>
      <c r="H13" s="2" t="inlineStr">
        <is>
          <t>4.76 กรัม</t>
        </is>
      </c>
      <c r="I13" s="8" t="inlineStr">
        <is>
          <t>3</t>
        </is>
      </c>
      <c r="J13" s="2"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2" t="n"/>
      <c r="L13" s="2" t="inlineStr">
        <is>
          <t>Molecular Weight &amp; Salt Factor Calculation</t>
        </is>
      </c>
      <c r="M13" s="2" t="inlineStr">
        <is>
          <t>Product</t>
        </is>
      </c>
      <c r="N13" s="2" t="inlineStr">
        <is>
          <t>ข้อ 14 (ข้อสอบจริง 2559)</t>
        </is>
      </c>
      <c r="O13" s="2" t="inlineStr">
        <is>
          <t>ข้อสอบจริง</t>
        </is>
      </c>
    </row>
    <row r="14" ht="13.2" customHeight="1" s="49">
      <c r="A14" s="2" t="n">
        <v>12</v>
      </c>
      <c r="B14" s="2"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2" t="n"/>
      <c r="D14" s="2" t="inlineStr">
        <is>
          <t>0.45 กรัม</t>
        </is>
      </c>
      <c r="E14" s="2" t="inlineStr">
        <is>
          <t>0.55 กรัม</t>
        </is>
      </c>
      <c r="F14" s="2" t="inlineStr">
        <is>
          <t>1.45 กรัม</t>
        </is>
      </c>
      <c r="G14" s="2" t="inlineStr">
        <is>
          <t>1.55 กรัม</t>
        </is>
      </c>
      <c r="H14" s="2" t="inlineStr">
        <is>
          <t>2.00 กรัม</t>
        </is>
      </c>
      <c r="I14" s="8" t="inlineStr">
        <is>
          <t>4</t>
        </is>
      </c>
      <c r="J14" s="2"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2" t="n"/>
      <c r="L14" s="2" t="inlineStr">
        <is>
          <t>Displacement &amp; Density Factor</t>
        </is>
      </c>
      <c r="M14" s="2" t="inlineStr">
        <is>
          <t>Product</t>
        </is>
      </c>
      <c r="N14" s="2" t="inlineStr">
        <is>
          <t>ข้อ 13 (ข้อสอบจริง 2559)</t>
        </is>
      </c>
      <c r="O14" s="2" t="inlineStr">
        <is>
          <t>ข้อสอบจริง</t>
        </is>
      </c>
    </row>
    <row r="15" ht="13.2" customHeight="1" s="49">
      <c r="A15" s="2" t="n">
        <v>13</v>
      </c>
      <c r="B15" s="2"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2" t="n"/>
      <c r="D15" s="2" t="inlineStr">
        <is>
          <t>0.330 กรัม</t>
        </is>
      </c>
      <c r="E15" s="2" t="inlineStr">
        <is>
          <t>0.440 กรัม</t>
        </is>
      </c>
      <c r="F15" s="2" t="inlineStr">
        <is>
          <t>0.720 กรัม</t>
        </is>
      </c>
      <c r="G15" s="2" t="inlineStr">
        <is>
          <t>0.880 กรัม</t>
        </is>
      </c>
      <c r="H15" s="2" t="inlineStr">
        <is>
          <t>0.900 กรัม</t>
        </is>
      </c>
      <c r="I15" s="8" t="inlineStr">
        <is>
          <t>4</t>
        </is>
      </c>
      <c r="J15" s="2"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2" t="n"/>
      <c r="L15" s="2" t="inlineStr">
        <is>
          <t>Isotonicity &amp; Sodium Chloride Equivalent (E-value)</t>
        </is>
      </c>
      <c r="M15" s="2" t="inlineStr">
        <is>
          <t>Product</t>
        </is>
      </c>
      <c r="N15" s="2" t="inlineStr">
        <is>
          <t>ข้อ 98 (ข้อสอบจริง 2564) &amp; ข้อ 62 (2563 IDQ V)</t>
        </is>
      </c>
      <c r="O15" s="2" t="inlineStr">
        <is>
          <t>ข้อสอบจริง</t>
        </is>
      </c>
    </row>
    <row r="16" ht="13.2" customHeight="1" s="49">
      <c r="A16" s="2" t="n">
        <v>14</v>
      </c>
      <c r="B16" s="2"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2" t="n"/>
      <c r="D16" s="2" t="inlineStr">
        <is>
          <t>D5W 445 mL และ D50W 55 mL</t>
        </is>
      </c>
      <c r="E16" s="2" t="inlineStr">
        <is>
          <t>D5W 495 mL และ D50W 5 mL</t>
        </is>
      </c>
      <c r="F16" s="2" t="inlineStr">
        <is>
          <t>D5W 400 mL และ D50W 100 mL</t>
        </is>
      </c>
      <c r="G16" s="2" t="inlineStr">
        <is>
          <t>D5W 450 mL และ D50W 50 mL</t>
        </is>
      </c>
      <c r="H16" s="2" t="inlineStr">
        <is>
          <t>D5W 350 mL และ D50W 150 mL</t>
        </is>
      </c>
      <c r="I16" s="8" t="inlineStr">
        <is>
          <t>1</t>
        </is>
      </c>
      <c r="J16" s="2"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2" t="n"/>
      <c r="L16" s="2" t="inlineStr">
        <is>
          <t>Alligation Alternate Method</t>
        </is>
      </c>
      <c r="M16" s="2" t="inlineStr">
        <is>
          <t>Product</t>
        </is>
      </c>
      <c r="N16" s="2" t="inlineStr">
        <is>
          <t>ข้อ 90 (ข้อสอบจริง 2565 Day 1)</t>
        </is>
      </c>
      <c r="O16" s="2" t="inlineStr">
        <is>
          <t>ข้อสอบจริง</t>
        </is>
      </c>
    </row>
    <row r="17" ht="409.6" customHeight="1" s="49">
      <c r="A17" s="35" t="n">
        <v>15</v>
      </c>
      <c r="B17" s="34" t="inlineStr">
        <is>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is>
      </c>
      <c r="C17" s="35" t="n"/>
      <c r="D17" s="34" t="inlineStr">
        <is>
          <t>2</t>
        </is>
      </c>
      <c r="E17" s="34" t="inlineStr">
        <is>
          <t>5.5</t>
        </is>
      </c>
      <c r="F17" s="34" t="inlineStr">
        <is>
          <t>6.5</t>
        </is>
      </c>
      <c r="G17" s="34" t="inlineStr">
        <is>
          <t>19.5</t>
        </is>
      </c>
      <c r="H17" s="34" t="inlineStr">
        <is>
          <t>15</t>
        </is>
      </c>
      <c r="I17" s="35" t="n">
        <v>1</v>
      </c>
      <c r="J17" s="34" t="inlineStr">
        <is>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7" s="35" t="n"/>
      <c r="L17" s="34" t="inlineStr">
        <is>
          <t>Pharmaceutical Calculations</t>
        </is>
      </c>
      <c r="M17" s="35" t="inlineStr">
        <is>
          <t>Product</t>
        </is>
      </c>
      <c r="N17" s="34" t="inlineStr">
        <is>
          <t>ข้อสอบจริง Product ปี 2566 ข้อ 17</t>
        </is>
      </c>
      <c r="O17" s="35" t="inlineStr">
        <is>
          <t>ข้อสอบจริง</t>
        </is>
      </c>
      <c r="P17" s="35" t="inlineStr">
        <is>
          <t>ปี 2566</t>
        </is>
      </c>
    </row>
    <row r="18" ht="409.6" customHeight="1" s="49">
      <c r="A18" s="35" t="n">
        <v>16</v>
      </c>
      <c r="B18" s="34" t="inlineStr">
        <is>
          <t>(ปี 2566, Day 2 ข้อ 91\) (เรื่อง: การคำนวณเตรียม KCl) แพทย์สั่งจ่ายยา KCl 40 mEq/tablespoon (15 mL) จำนวน 60 mL เภสัชกรต้องเตรียม KCl กี่กรัม (MW=74.5)</t>
        </is>
      </c>
      <c r="C18" s="35" t="n"/>
      <c r="D18" s="34" t="inlineStr">
        <is>
          <t>1</t>
        </is>
      </c>
      <c r="E18" s="34" t="inlineStr">
        <is>
          <t>3</t>
        </is>
      </c>
      <c r="F18" s="34" t="inlineStr">
        <is>
          <t>6</t>
        </is>
      </c>
      <c r="G18" s="34" t="inlineStr">
        <is>
          <t>12</t>
        </is>
      </c>
      <c r="H18" s="34" t="inlineStr">
        <is>
          <t>24</t>
        </is>
      </c>
      <c r="I18" s="35" t="n">
        <v>1</v>
      </c>
      <c r="J18" s="34" t="inlineStr">
        <is>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8" s="35" t="n"/>
      <c r="L18" s="34" t="inlineStr">
        <is>
          <t>Pharmaceutical Calculations</t>
        </is>
      </c>
      <c r="M18" s="35" t="inlineStr">
        <is>
          <t>Product</t>
        </is>
      </c>
      <c r="N18" s="34" t="inlineStr">
        <is>
          <t>ข้อสอบจริง Product ปี 2566 ข้อ 37</t>
        </is>
      </c>
      <c r="O18" s="35" t="inlineStr">
        <is>
          <t>ข้อสอบจริง</t>
        </is>
      </c>
      <c r="P18" s="35" t="inlineStr">
        <is>
          <t>ปี 2566</t>
        </is>
      </c>
    </row>
    <row r="19" ht="409.6" customHeight="1" s="49">
      <c r="A19" s="35" t="n">
        <v>17</v>
      </c>
      <c r="B19" s="34" t="inlineStr">
        <is>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is>
      </c>
      <c r="C19" s="35" t="n"/>
      <c r="D19" s="34" t="inlineStr">
        <is>
          <t>น้ำหนักผงยา/100</t>
        </is>
      </c>
      <c r="E19" s="34" t="inlineStr">
        <is>
          <t>น้ำหนักผงยา/0.01</t>
        </is>
      </c>
      <c r="F19" s="34" t="inlineStr">
        <is>
          <t>น้ำหนักผงยา/20</t>
        </is>
      </c>
      <c r="G19" s="34" t="inlineStr">
        <is>
          <t>น้ำหนักผงยา/5</t>
        </is>
      </c>
      <c r="H19" s="34" t="n"/>
      <c r="I19" s="35" t="n">
        <v>1</v>
      </c>
      <c r="J19" s="34" t="inlineStr">
        <is>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9" s="35" t="n"/>
      <c r="L19" s="34" t="inlineStr">
        <is>
          <t>Pharmaceutical Calculations</t>
        </is>
      </c>
      <c r="M19" s="35" t="inlineStr">
        <is>
          <t>Product</t>
        </is>
      </c>
      <c r="N19" s="34" t="inlineStr">
        <is>
          <t>ข้อสอบจริง Product ปี 2566 ข้อ 39</t>
        </is>
      </c>
      <c r="O19" s="35" t="inlineStr">
        <is>
          <t>ข้อสอบจริง</t>
        </is>
      </c>
      <c r="P19" s="35" t="inlineStr">
        <is>
          <t>ปี 2566</t>
        </is>
      </c>
    </row>
    <row r="20" ht="409.6" customHeight="1" s="49">
      <c r="A20" s="35" t="n">
        <v>18</v>
      </c>
      <c r="B20" s="34" t="inlineStr">
        <is>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is>
      </c>
      <c r="C20" s="35" t="inlineStr">
        <is>
          <t>[แนบรูป: ข้อสอบ Product ปี 2564 รหัสรูปภาพ image74]</t>
        </is>
      </c>
      <c r="D20" s="34" t="inlineStr">
        <is>
          <t>k=2.4, M=98.5</t>
        </is>
      </c>
      <c r="E20" s="34" t="inlineStr">
        <is>
          <t>k=2.4, M=101.8</t>
        </is>
      </c>
      <c r="F20" s="34" t="inlineStr">
        <is>
          <t>k=2.4, M=99.8</t>
        </is>
      </c>
      <c r="G20" s="34" t="inlineStr">
        <is>
          <t>k=2.0, M=98.5</t>
        </is>
      </c>
      <c r="H20" s="34" t="inlineStr">
        <is>
          <t>k=2.0, M=101.8</t>
        </is>
      </c>
      <c r="I20" s="35" t="n">
        <v>1</v>
      </c>
      <c r="J20" s="34" t="inlineStr">
        <is>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0" s="35" t="n"/>
      <c r="L20" s="34" t="inlineStr">
        <is>
          <t>Pharmaceutical Calculations</t>
        </is>
      </c>
      <c r="M20" s="35" t="inlineStr">
        <is>
          <t>Product</t>
        </is>
      </c>
      <c r="N20" s="34" t="inlineStr">
        <is>
          <t>ข้อสอบจริง Product ปี 2564 ข้อ 35</t>
        </is>
      </c>
      <c r="O20" s="35" t="inlineStr">
        <is>
          <t>ข้อสอบจริง</t>
        </is>
      </c>
      <c r="P20" s="35" t="inlineStr">
        <is>
          <t>ปี 2564</t>
        </is>
      </c>
    </row>
    <row r="21" ht="409.6" customHeight="1" s="49">
      <c r="A21" s="35" t="n">
        <v>19</v>
      </c>
      <c r="B21" s="34" t="inlineStr">
        <is>
          <t>ผู้หญิงน้ำหนัก 60 กิโลกรัม และส่วนสูง 150 ซม. ผู้หญิงรายนี้มีค่า BMI เท่ากับเท่าไหร่</t>
        </is>
      </c>
      <c r="C21" s="35" t="n"/>
      <c r="D21" s="34" t="inlineStr">
        <is>
          <t>23.7</t>
        </is>
      </c>
      <c r="E21" s="34" t="inlineStr">
        <is>
          <t>24.7</t>
        </is>
      </c>
      <c r="F21" s="34" t="inlineStr">
        <is>
          <t>26.7</t>
        </is>
      </c>
      <c r="G21" s="34" t="inlineStr">
        <is>
          <t>30</t>
        </is>
      </c>
      <c r="H21" s="34" t="inlineStr">
        <is>
          <t>40</t>
        </is>
      </c>
      <c r="I21" s="35" t="n">
        <v>1</v>
      </c>
      <c r="J21" s="34" t="inlineStr">
        <is>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1" s="35" t="n"/>
      <c r="L21" s="34" t="inlineStr">
        <is>
          <t>Pharmaceutical Calculations</t>
        </is>
      </c>
      <c r="M21" s="35" t="inlineStr">
        <is>
          <t>Product</t>
        </is>
      </c>
      <c r="N21" s="34" t="inlineStr">
        <is>
          <t>ข้อสอบจริง Product ปี 2564 ข้อ 88</t>
        </is>
      </c>
      <c r="O21" s="35" t="inlineStr">
        <is>
          <t>ข้อสอบจริง</t>
        </is>
      </c>
      <c r="P21" s="35" t="inlineStr">
        <is>
          <t>ปี 2564</t>
        </is>
      </c>
    </row>
    <row r="22" ht="409.6" customHeight="1" s="49">
      <c r="A22" s="35" t="n">
        <v>20</v>
      </c>
      <c r="B22" s="34" t="inlineStr">
        <is>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is>
      </c>
      <c r="C22" s="35" t="n"/>
      <c r="D22" s="34" t="inlineStr">
        <is>
          <t>0.330 g</t>
        </is>
      </c>
      <c r="E22" s="34" t="inlineStr">
        <is>
          <t>0.440 g</t>
        </is>
      </c>
      <c r="F22" s="34" t="inlineStr">
        <is>
          <t>0.720 g</t>
        </is>
      </c>
      <c r="G22" s="34" t="inlineStr">
        <is>
          <t>0.880 g</t>
        </is>
      </c>
      <c r="H22" s="34" t="inlineStr">
        <is>
          <t>0.900 g</t>
        </is>
      </c>
      <c r="I22" s="35" t="n">
        <v>1</v>
      </c>
      <c r="J22" s="34" t="inlineStr">
        <is>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2" s="35" t="n"/>
      <c r="L22" s="34" t="inlineStr">
        <is>
          <t>Pharmaceutical Calculations</t>
        </is>
      </c>
      <c r="M22" s="35" t="inlineStr">
        <is>
          <t>Product</t>
        </is>
      </c>
      <c r="N22" s="34" t="inlineStr">
        <is>
          <t>ข้อสอบจริง Product ปี 2564 ข้อ 98</t>
        </is>
      </c>
      <c r="O22" s="35" t="inlineStr">
        <is>
          <t>ข้อสอบจริง</t>
        </is>
      </c>
      <c r="P22" s="35" t="inlineStr">
        <is>
          <t>ปี 2564</t>
        </is>
      </c>
    </row>
    <row r="23" ht="409.6" customHeight="1" s="49">
      <c r="A23" s="35" t="n">
        <v>21</v>
      </c>
      <c r="B23" s="34" t="inlineStr">
        <is>
          <t>Sodium hydroxide ในสูตรตำรับ ทำหน้าที่ใด</t>
        </is>
      </c>
      <c r="C23" s="35" t="n"/>
      <c r="D23" s="34" t="inlineStr">
        <is>
          <t>Cosolvent</t>
        </is>
      </c>
      <c r="E23" s="34" t="inlineStr">
        <is>
          <t>Tonicity adjuster</t>
        </is>
      </c>
      <c r="F23" s="34" t="inlineStr">
        <is>
          <t>pH adjuster</t>
        </is>
      </c>
      <c r="G23" s="34" t="inlineStr">
        <is>
          <t>Preservative</t>
        </is>
      </c>
      <c r="H23" s="34" t="inlineStr">
        <is>
          <t>Viscosity adjuster</t>
        </is>
      </c>
      <c r="I23" s="35" t="n">
        <v>1</v>
      </c>
      <c r="J23" s="34" t="inlineStr">
        <is>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3" s="35" t="n"/>
      <c r="L23" s="34" t="inlineStr">
        <is>
          <t>Pharmaceutical Calculations</t>
        </is>
      </c>
      <c r="M23" s="35" t="inlineStr">
        <is>
          <t>Product</t>
        </is>
      </c>
      <c r="N23" s="34" t="inlineStr">
        <is>
          <t>ข้อสอบจริง Product ปี 2564 ข้อ 107</t>
        </is>
      </c>
      <c r="O23" s="35" t="inlineStr">
        <is>
          <t>ข้อสอบจริง</t>
        </is>
      </c>
      <c r="P23" s="35" t="inlineStr">
        <is>
          <t>ปี 2564</t>
        </is>
      </c>
    </row>
    <row r="24" ht="409.6" customHeight="1" s="49">
      <c r="A24" s="35" t="n">
        <v>22</v>
      </c>
      <c r="B24" s="34"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24" s="35" t="n"/>
      <c r="D24" s="34" t="inlineStr">
        <is>
          <t>1 tab</t>
        </is>
      </c>
      <c r="E24" s="34" t="inlineStr">
        <is>
          <t>2 tab</t>
        </is>
      </c>
      <c r="F24" s="34" t="inlineStr">
        <is>
          <t>3 tab</t>
        </is>
      </c>
      <c r="G24" s="34" t="inlineStr">
        <is>
          <t>4 tab</t>
        </is>
      </c>
      <c r="H24" s="34" t="inlineStr">
        <is>
          <t>5 tab</t>
        </is>
      </c>
      <c r="I24" s="35" t="n">
        <v>1</v>
      </c>
      <c r="J24" s="34" t="inlineStr">
        <is>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4" s="35" t="n"/>
      <c r="L24" s="34" t="inlineStr">
        <is>
          <t>Pharmaceutical Calculations</t>
        </is>
      </c>
      <c r="M24" s="35" t="inlineStr">
        <is>
          <t>Product</t>
        </is>
      </c>
      <c r="N24" s="34" t="inlineStr">
        <is>
          <t>ข้อสอบจริง Product ปี 2564 ข้อ 138</t>
        </is>
      </c>
      <c r="O24" s="35" t="inlineStr">
        <is>
          <t>ข้อสอบจริง</t>
        </is>
      </c>
      <c r="P24" s="35" t="inlineStr">
        <is>
          <t>ปี 2564</t>
        </is>
      </c>
    </row>
    <row r="25" ht="409.6" customHeight="1" s="49">
      <c r="A25" s="35" t="n">
        <v>23</v>
      </c>
      <c r="B25" s="34" t="inlineStr">
        <is>
          <t>การพัฒนาตำรับ Film coated ของ Risedronate sodium 35 mg ข้อใดผิด (ให้ส่วนประกอบ Film coated ของ Risedronate sodium มาเป็น %) ต้นฉบับ: Day 1 ข้อ 66</t>
        </is>
      </c>
      <c r="C25" s="35" t="n"/>
      <c r="D25" s="34" t="inlineStr">
        <is>
          <t>น้ำหนัก Core tablet = 200 mg</t>
        </is>
      </c>
      <c r="E25" s="34" t="inlineStr">
        <is>
          <t>Microcrystalline cellulose = Lubricant</t>
        </is>
      </c>
      <c r="F25" s="34" t="inlineStr">
        <is>
          <t>Hydroxypropyl cellulose = Binder</t>
        </is>
      </c>
      <c r="G25" s="34" t="inlineStr">
        <is>
          <t>PEG = Plasticizer</t>
        </is>
      </c>
      <c r="H25" s="34" t="inlineStr">
        <is>
          <t>Titanium dioxide = Opacifier</t>
        </is>
      </c>
      <c r="I25" s="35" t="n">
        <v>2</v>
      </c>
      <c r="J25" s="34" t="inlineStr">
        <is>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5" s="35" t="n"/>
      <c r="L25" s="34" t="inlineStr">
        <is>
          <t>Pharmaceutical Calculations</t>
        </is>
      </c>
      <c r="M25" s="35" t="inlineStr">
        <is>
          <t>Product</t>
        </is>
      </c>
      <c r="N25" s="34" t="inlineStr">
        <is>
          <t>ข้อสอบจริง Product ปี 2563 ข้อ 24</t>
        </is>
      </c>
      <c r="O25" s="35" t="inlineStr">
        <is>
          <t>ข้อสอบจริง</t>
        </is>
      </c>
      <c r="P25" s="35" t="inlineStr">
        <is>
          <t>ปี 2563</t>
        </is>
      </c>
    </row>
    <row r="26" ht="409.6" customHeight="1" s="49">
      <c r="A26" s="35" t="n">
        <v>24</v>
      </c>
      <c r="B26" s="34" t="inlineStr">
        <is>
          <t>ครีม betamethasone valerate 0.1% คิด %label amount ได้ 100 ถ้าในครีม 1 g จะมียาเท่าไร ต้นฉบับ: Day 1 ข้อ 74</t>
        </is>
      </c>
      <c r="C26" s="35" t="n"/>
      <c r="D26" s="34" t="inlineStr">
        <is>
          <t>betamethasone 1 mg</t>
        </is>
      </c>
      <c r="E26" s="34" t="inlineStr">
        <is>
          <t>betamethasone 10 mg</t>
        </is>
      </c>
      <c r="F26" s="34" t="inlineStr">
        <is>
          <t>betamethasone valerate 0.1 mg</t>
        </is>
      </c>
      <c r="G26" s="34" t="inlineStr">
        <is>
          <t>betamethasone valerate 1 mg</t>
        </is>
      </c>
      <c r="H26" s="34" t="inlineStr">
        <is>
          <t>betamethasone valerate 10 mg</t>
        </is>
      </c>
      <c r="I26" s="35" t="n">
        <v>4</v>
      </c>
      <c r="J26" s="34" t="inlineStr">
        <is>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6" s="35" t="n"/>
      <c r="L26" s="34" t="inlineStr">
        <is>
          <t>Pharmaceutical Calculations</t>
        </is>
      </c>
      <c r="M26" s="35" t="inlineStr">
        <is>
          <t>Product</t>
        </is>
      </c>
      <c r="N26" s="34" t="inlineStr">
        <is>
          <t>ข้อสอบจริง Product ปี 2563 ข้อ 41</t>
        </is>
      </c>
      <c r="O26" s="35" t="inlineStr">
        <is>
          <t>ข้อสอบจริง</t>
        </is>
      </c>
      <c r="P26" s="35" t="inlineStr">
        <is>
          <t>ปี 2563</t>
        </is>
      </c>
    </row>
    <row r="27" ht="409.6" customHeight="1" s="49">
      <c r="A27" s="35" t="n">
        <v>25</v>
      </c>
      <c r="B27" s="34" t="inlineStr">
        <is>
          <t>Each teaspoon contains 125 mg of naproxen containing vehicles of sucrose, magnesium aluminium silicate, disodium edetate, FD\&amp;C Yellow... ถ้าจะเตรียม naproxen suspension ขนาด 100ml จะต้องใช้ naproxen กี่ g? ต้นฉบับ: Day 1 ข้อ 89</t>
        </is>
      </c>
      <c r="C27" s="35" t="n"/>
      <c r="D27" s="34" t="inlineStr">
        <is>
          <t>1.5</t>
        </is>
      </c>
      <c r="E27" s="34" t="inlineStr">
        <is>
          <t>2.5</t>
        </is>
      </c>
      <c r="F27" s="34" t="inlineStr">
        <is>
          <t>3.5</t>
        </is>
      </c>
      <c r="G27" s="34" t="inlineStr">
        <is>
          <t>4.5</t>
        </is>
      </c>
      <c r="H27" s="34" t="inlineStr">
        <is>
          <t>5.5</t>
        </is>
      </c>
      <c r="I27" s="35" t="n">
        <v>2</v>
      </c>
      <c r="J27" s="34" t="inlineStr">
        <is>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7" s="35" t="n"/>
      <c r="L27" s="34" t="inlineStr">
        <is>
          <t>Pharmaceutical Calculations</t>
        </is>
      </c>
      <c r="M27" s="35" t="inlineStr">
        <is>
          <t>Product</t>
        </is>
      </c>
      <c r="N27" s="34" t="inlineStr">
        <is>
          <t>ข้อสอบจริง Product ปี 2563 ข้อ 43</t>
        </is>
      </c>
      <c r="O27" s="35" t="inlineStr">
        <is>
          <t>ข้อสอบจริง</t>
        </is>
      </c>
      <c r="P27" s="35" t="inlineStr">
        <is>
          <t>ปี 2563</t>
        </is>
      </c>
    </row>
    <row r="28" ht="409.6" customHeight="1" s="49">
      <c r="A28" s="35" t="n">
        <v>26</v>
      </c>
      <c r="B28" s="34" t="inlineStr">
        <is>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is>
      </c>
      <c r="C28" s="35" t="n"/>
      <c r="D28" s="34" t="inlineStr">
        <is>
          <t>Cosolvent</t>
        </is>
      </c>
      <c r="E28" s="34" t="inlineStr">
        <is>
          <t>Tonicity adjuster</t>
        </is>
      </c>
      <c r="F28" s="34" t="inlineStr">
        <is>
          <t>pH adjuster</t>
        </is>
      </c>
      <c r="G28" s="34" t="inlineStr">
        <is>
          <t>Preservative</t>
        </is>
      </c>
      <c r="H28" s="34" t="inlineStr">
        <is>
          <t>Viscosity adjuster</t>
        </is>
      </c>
      <c r="I28" s="35" t="n">
        <v>3</v>
      </c>
      <c r="J28" s="34" t="inlineStr">
        <is>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8" s="35" t="n"/>
      <c r="L28" s="34" t="inlineStr">
        <is>
          <t>Pharmaceutical Calculations</t>
        </is>
      </c>
      <c r="M28" s="35" t="inlineStr">
        <is>
          <t>Product</t>
        </is>
      </c>
      <c r="N28" s="34" t="inlineStr">
        <is>
          <t>ข้อสอบจริง Product ปี 2563 ข้อ 58</t>
        </is>
      </c>
      <c r="O28" s="35" t="inlineStr">
        <is>
          <t>ข้อสอบจริง</t>
        </is>
      </c>
      <c r="P28" s="35" t="inlineStr">
        <is>
          <t>ปี 2563</t>
        </is>
      </c>
    </row>
    <row r="29" ht="409.6" customHeight="1" s="49">
      <c r="A29" s="35" t="n">
        <v>27</v>
      </c>
      <c r="B29" s="34" t="inlineStr">
        <is>
          <t>ข้อใดถูกต้องเกี่ยวกับ Sterile water for injection ต้นฉบับ: Day 1 ข้อ 94</t>
        </is>
      </c>
      <c r="C29" s="35" t="n"/>
      <c r="D29" s="34" t="inlineStr">
        <is>
          <t>มี Preservatives</t>
        </is>
      </c>
      <c r="E29" s="34" t="inlineStr">
        <is>
          <t>ใช้ได้หลายครั้ง</t>
        </is>
      </c>
      <c r="F29" s="34" t="inlineStr">
        <is>
          <t>ได้จากน้ำกลั่นที่ทำให้ปราศจากเชื้อ</t>
        </is>
      </c>
      <c r="G29" s="34" t="inlineStr">
        <is>
          <t>ใช้ภาชนะเป็น glass type III</t>
        </is>
      </c>
      <c r="H29" s="34" t="inlineStr">
        <is>
          <t>Osmolarity 308</t>
        </is>
      </c>
      <c r="I29" s="35" t="n">
        <v>3</v>
      </c>
      <c r="J29" s="34" t="inlineStr">
        <is>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9" s="35" t="n"/>
      <c r="L29" s="34" t="inlineStr">
        <is>
          <t>Pharmaceutical Calculations</t>
        </is>
      </c>
      <c r="M29" s="35" t="inlineStr">
        <is>
          <t>Product</t>
        </is>
      </c>
      <c r="N29" s="34" t="inlineStr">
        <is>
          <t>ข้อสอบจริง Product ปี 2563 ข้อ 61</t>
        </is>
      </c>
      <c r="O29" s="35" t="inlineStr">
        <is>
          <t>ข้อสอบจริง</t>
        </is>
      </c>
      <c r="P29" s="35" t="inlineStr">
        <is>
          <t>ปี 2563</t>
        </is>
      </c>
    </row>
    <row r="30" ht="409.6" customHeight="1" s="49">
      <c r="A30" s="35" t="n">
        <v>28</v>
      </c>
      <c r="B30" s="34" t="inlineStr">
        <is>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is>
      </c>
      <c r="C30" s="35" t="n"/>
      <c r="D30" s="34" t="inlineStr">
        <is>
          <t>0.330 g</t>
        </is>
      </c>
      <c r="E30" s="34" t="inlineStr">
        <is>
          <t>0.440 g</t>
        </is>
      </c>
      <c r="F30" s="34" t="inlineStr">
        <is>
          <t>0.720 g</t>
        </is>
      </c>
      <c r="G30" s="34" t="inlineStr">
        <is>
          <t>0.880 g</t>
        </is>
      </c>
      <c r="H30" s="34" t="inlineStr">
        <is>
          <t>0.900 g</t>
        </is>
      </c>
      <c r="I30" s="35" t="n">
        <v>4</v>
      </c>
      <c r="J30" s="34" t="inlineStr">
        <is>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0" s="35" t="n"/>
      <c r="L30" s="34" t="inlineStr">
        <is>
          <t>Pharmaceutical Calculations</t>
        </is>
      </c>
      <c r="M30" s="35" t="inlineStr">
        <is>
          <t>Product</t>
        </is>
      </c>
      <c r="N30" s="34" t="inlineStr">
        <is>
          <t>ข้อสอบจริง Product ปี 2563 ข้อ 62</t>
        </is>
      </c>
      <c r="O30" s="35" t="inlineStr">
        <is>
          <t>ข้อสอบจริง</t>
        </is>
      </c>
      <c r="P30" s="35" t="inlineStr">
        <is>
          <t>ปี 2563</t>
        </is>
      </c>
    </row>
    <row r="31" ht="409.6" customHeight="1" s="49">
      <c r="A31" s="35" t="n">
        <v>29</v>
      </c>
      <c r="B31" s="34" t="inlineStr">
        <is>
          <t>คำนวณปริมาณ base ของยาเหน็บที่ต้องใช้เตรียม 1 แท่งโดย 1 แท่งหนัก 2 g กำหนดให้ยามีน้ำหนัก 500 mg/แท่ง มีค่า D.V.=1.1</t>
        </is>
      </c>
      <c r="C31" s="35" t="n"/>
      <c r="D31" s="34" t="inlineStr">
        <is>
          <t>0.45</t>
        </is>
      </c>
      <c r="E31" s="34" t="inlineStr">
        <is>
          <t>0.55</t>
        </is>
      </c>
      <c r="F31" s="34" t="inlineStr">
        <is>
          <t>1.45</t>
        </is>
      </c>
      <c r="G31" s="34" t="inlineStr">
        <is>
          <t>1.55</t>
        </is>
      </c>
      <c r="H31" s="34" t="inlineStr">
        <is>
          <t>2.00</t>
        </is>
      </c>
      <c r="I31" s="35" t="n">
        <v>1</v>
      </c>
      <c r="J31" s="34" t="inlineStr">
        <is>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1" s="35" t="n"/>
      <c r="L31" s="34" t="inlineStr">
        <is>
          <t>Pharmaceutical Calculations</t>
        </is>
      </c>
      <c r="M31" s="35" t="inlineStr">
        <is>
          <t>Product</t>
        </is>
      </c>
      <c r="N31" s="34" t="inlineStr">
        <is>
          <t>ข้อสอบจริง Product ปี 2559 ข้อ 16</t>
        </is>
      </c>
      <c r="O31" s="35" t="inlineStr">
        <is>
          <t>ข้อสอบจริง</t>
        </is>
      </c>
      <c r="P31" s="35" t="inlineStr">
        <is>
          <t>ปี 2559</t>
        </is>
      </c>
    </row>
    <row r="32" ht="409.6" customHeight="1" s="49">
      <c r="A32" s="35" t="n">
        <v>30</v>
      </c>
      <c r="B32" s="34" t="inlineStr">
        <is>
          <t>คำนวณ KCl ต้องให้กี่ ml (74.5 g/l) ต้องการให้ผู้ป่วย 60 mEq/day</t>
        </is>
      </c>
      <c r="C32" s="35" t="n"/>
      <c r="D32" s="34" t="inlineStr">
        <is>
          <t>15</t>
        </is>
      </c>
      <c r="E32" s="34" t="inlineStr">
        <is>
          <t>30</t>
        </is>
      </c>
      <c r="F32" s="34" t="inlineStr">
        <is>
          <t>45</t>
        </is>
      </c>
      <c r="G32" s="34" t="inlineStr">
        <is>
          <t>60</t>
        </is>
      </c>
      <c r="H32" s="34" t="inlineStr">
        <is>
          <t>75</t>
        </is>
      </c>
      <c r="I32" s="35" t="n">
        <v>1</v>
      </c>
      <c r="J32" s="34" t="inlineStr">
        <is>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2" s="35" t="n"/>
      <c r="L32" s="34" t="inlineStr">
        <is>
          <t>Pharmaceutical Calculations</t>
        </is>
      </c>
      <c r="M32" s="35" t="inlineStr">
        <is>
          <t>Product</t>
        </is>
      </c>
      <c r="N32" s="34" t="inlineStr">
        <is>
          <t>ข้อสอบจริง Product ปี 2559 ข้อ 17</t>
        </is>
      </c>
      <c r="O32" s="35" t="inlineStr">
        <is>
          <t>ข้อสอบจริง</t>
        </is>
      </c>
      <c r="P32" s="35" t="inlineStr">
        <is>
          <t>ปี 2559</t>
        </is>
      </c>
    </row>
    <row r="33" ht="409.6" customHeight="1" s="49">
      <c r="A33" s="35" t="n">
        <v>31</v>
      </c>
      <c r="B33" s="34" t="inlineStr">
        <is>
          <t>จงคำนวณหาปริมาณเบสของยาเหน็บที่ต้องใช้เตรียม 1 แท่ง โดย 1 แท่งหนัก 2 g กำหนดให้ยา clotrimazole มีน้ำหนัก 500 mg/แท่ง มีค่า D.V.=1.1</t>
        </is>
      </c>
      <c r="C33" s="35" t="n"/>
      <c r="D33" s="34" t="inlineStr">
        <is>
          <t>0.45 กรัม</t>
        </is>
      </c>
      <c r="E33" s="34" t="inlineStr">
        <is>
          <t>0.55 กรัม</t>
        </is>
      </c>
      <c r="F33" s="34" t="inlineStr">
        <is>
          <t>1.45 กรัม</t>
        </is>
      </c>
      <c r="G33" s="34" t="inlineStr">
        <is>
          <t>1.55 กรัม</t>
        </is>
      </c>
      <c r="H33" s="34" t="inlineStr">
        <is>
          <t>2.00 กรัม</t>
        </is>
      </c>
      <c r="I33" s="35" t="n">
        <v>1</v>
      </c>
      <c r="J33" s="34" t="inlineStr">
        <is>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3" s="35" t="n"/>
      <c r="L33" s="34" t="inlineStr">
        <is>
          <t>Pharmaceutical Calculations</t>
        </is>
      </c>
      <c r="M33" s="35" t="inlineStr">
        <is>
          <t>Product</t>
        </is>
      </c>
      <c r="N33" s="34" t="inlineStr">
        <is>
          <t>ข้อสอบจริง Product ปี 2559 ข้อ 13</t>
        </is>
      </c>
      <c r="O33" s="35" t="inlineStr">
        <is>
          <t>ข้อสอบจริง</t>
        </is>
      </c>
      <c r="P33" s="35" t="inlineStr">
        <is>
          <t>ปี 2559</t>
        </is>
      </c>
    </row>
    <row r="34" ht="409.6" customHeight="1" s="49">
      <c r="A34" s="35" t="n">
        <v>32</v>
      </c>
      <c r="B34" s="34" t="inlineStr">
        <is>
          <t>วิธีการทดสอบความสม่ำเสมอของขนาดความแรง (Uniformity of dosage units) ของยาเม็ด Calcium Carbonate (CaCO3) ตามเภสัชตำรับ USP ข้อใดถูกต้อง?</t>
        </is>
      </c>
      <c r="C34" s="35" t="n"/>
      <c r="D34" s="34" t="inlineStr">
        <is>
          <t>สุ่มยามา 20 เม็ด ชั่งน้ำหนักทีละเม็ดแล้วหาน้ำหนักเฉลี่ย</t>
        </is>
      </c>
      <c r="E34" s="34" t="inlineStr">
        <is>
          <t>สุ่มยามา 20 เม็ด บดรวมกันแล้วหาปริมาณสารสำคัญ (Assay)</t>
        </is>
      </c>
      <c r="F34" s="34" t="inlineStr">
        <is>
          <t>สุ่มยามา 30 เม็ด เลือกมา 10 เม็ดแรกเพื่อชั่งน้ำหนักทีละเม็ดและหาปริมาณตัวยาสำคัญในแต่ละเม็ดโดยตรง (Content Uniformity)</t>
        </is>
      </c>
      <c r="G34" s="34"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4" s="34" t="inlineStr">
        <is>
          <t>สุ่มยามา 30 เม็ด ชั่งน้ำหนักทีละเม็ดรวดเดียวครบทั้ง 30 เม็ดเพื่อหาค่าเฉลี่ย</t>
        </is>
      </c>
      <c r="I34" s="35" t="n">
        <v>1</v>
      </c>
      <c r="J34" s="34" t="inlineStr">
        <is>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4" s="35" t="n"/>
      <c r="L34" s="34" t="inlineStr">
        <is>
          <t>Pharmaceutical Calculations</t>
        </is>
      </c>
      <c r="M34" s="35" t="inlineStr">
        <is>
          <t>Product</t>
        </is>
      </c>
      <c r="N34" s="34" t="inlineStr">
        <is>
          <t>ข้อสอบจริง Product ปี 2558 ข้อ 12</t>
        </is>
      </c>
      <c r="O34" s="35" t="inlineStr">
        <is>
          <t>ข้อสอบจริง</t>
        </is>
      </c>
      <c r="P34" s="35" t="inlineStr">
        <is>
          <t>ปี 2558</t>
        </is>
      </c>
    </row>
    <row r="35" ht="409.6" customHeight="1" s="49">
      <c r="A35" s="35" t="n">
        <v>33</v>
      </c>
      <c r="B35" s="34" t="inlineStr">
        <is>
          <t>จงคำนวณหาค่า Required HLB (rHLB) ของสูตรตำรับครีม/อิมัลชันต่อไปนี้  Rx.  Mineral Oil: 30 g (rHLB = 12\)  Wool fat: 1.5 g (rHLB = 10\)  Cetyl alcohol: 1.0 g (rHLB = 15\)  Emulsifier: qs  Water: qs ad 90 mL</t>
        </is>
      </c>
      <c r="C35" s="35" t="n"/>
      <c r="D35" s="34" t="inlineStr">
        <is>
          <t>10</t>
        </is>
      </c>
      <c r="E35" s="34" t="inlineStr">
        <is>
          <t>12</t>
        </is>
      </c>
      <c r="F35" s="34" t="inlineStr">
        <is>
          <t>13</t>
        </is>
      </c>
      <c r="G35" s="34" t="inlineStr">
        <is>
          <t>14</t>
        </is>
      </c>
      <c r="H35" s="34" t="inlineStr">
        <is>
          <t>15</t>
        </is>
      </c>
      <c r="I35" s="35" t="n">
        <v>1</v>
      </c>
      <c r="J35" s="34" t="inlineStr">
        <is>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5" s="35" t="n"/>
      <c r="L35" s="34" t="inlineStr">
        <is>
          <t>Pharmaceutical Calculations</t>
        </is>
      </c>
      <c r="M35" s="35" t="inlineStr">
        <is>
          <t>Product</t>
        </is>
      </c>
      <c r="N35" s="34" t="inlineStr">
        <is>
          <t>ข้อสอบจริง Product ปี 2558 ข้อ 21</t>
        </is>
      </c>
      <c r="O35" s="35" t="inlineStr">
        <is>
          <t>ข้อสอบจริง</t>
        </is>
      </c>
      <c r="P35" s="35" t="inlineStr">
        <is>
          <t>ปี 2558</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73"/>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35" t="n">
        <v>1</v>
      </c>
      <c r="B3" s="34" t="inlineStr">
        <is>
          <t>ยายหยอดตามีส่วนประกอบดังนี้ Neomycin sulfate, Polymyxin B sulphate, NaCl, Benzalkonium chloride, Hypromellose, Disodium edetate จากตำรับดังกล่าว Hypromellose มีหน้าที่อะไร</t>
        </is>
      </c>
      <c r="C3" s="35" t="n"/>
      <c r="D3" s="34" t="inlineStr">
        <is>
          <t>เพิ่มการละลายของ Neomycin</t>
        </is>
      </c>
      <c r="E3" s="34" t="inlineStr">
        <is>
          <t>ป้องกันการตกตะกอนขุ่นของสารละลาย</t>
        </is>
      </c>
      <c r="F3" s="34" t="inlineStr">
        <is>
          <t>เพิ่มฤทธิ์ฆ่าเชื้อแบคทีเรีย</t>
        </is>
      </c>
      <c r="G3" s="34" t="inlineStr">
        <is>
          <t>ลดการแสบระคายเคืองตา</t>
        </is>
      </c>
      <c r="H3" s="34" t="inlineStr">
        <is>
          <t>เพิ่มการติดของสารละลายกับดวงตา</t>
        </is>
      </c>
      <c r="I3" s="35" t="n">
        <v>5</v>
      </c>
      <c r="J3" s="34"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35" t="n"/>
      <c r="L3" s="34" t="inlineStr">
        <is>
          <t>Tablet Manufacturing</t>
        </is>
      </c>
      <c r="M3" s="35" t="inlineStr">
        <is>
          <t>Product</t>
        </is>
      </c>
      <c r="N3" s="34" t="inlineStr">
        <is>
          <t>ข้อ 23 Pharma Plus เล่มม่วง (เฉลยข้อ จ)</t>
        </is>
      </c>
      <c r="O3" s="35" t="inlineStr">
        <is>
          <t>Mock</t>
        </is>
      </c>
      <c r="P3" s="35" t="inlineStr">
        <is>
          <t>Pharma Plus เล่มม่วง</t>
        </is>
      </c>
    </row>
    <row r="4" ht="13.2" customHeight="1" s="49">
      <c r="A4" s="35" t="n">
        <v>2</v>
      </c>
      <c r="B4" s="34" t="inlineStr">
        <is>
          <t>คุณสมบัติที่สำคัญที่สุดของยาตา</t>
        </is>
      </c>
      <c r="C4" s="35" t="n"/>
      <c r="D4" s="34" t="inlineStr">
        <is>
          <t>Isotonic</t>
        </is>
      </c>
      <c r="E4" s="34" t="inlineStr">
        <is>
          <t>Sterile</t>
        </is>
      </c>
      <c r="F4" s="34" t="inlineStr">
        <is>
          <t>pH</t>
        </is>
      </c>
      <c r="G4" s="34" t="inlineStr">
        <is>
          <t>Preservative</t>
        </is>
      </c>
      <c r="H4" s="34" t="inlineStr">
        <is>
          <t>ต้องเป็นสารละลาย</t>
        </is>
      </c>
      <c r="I4" s="35" t="n">
        <v>2</v>
      </c>
      <c r="J4" s="34"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35" t="n"/>
      <c r="L4" s="34" t="inlineStr">
        <is>
          <t>Tablet Manufacturing</t>
        </is>
      </c>
      <c r="M4" s="35" t="inlineStr">
        <is>
          <t>Product</t>
        </is>
      </c>
      <c r="N4" s="34" t="inlineStr">
        <is>
          <t>ข้อ 24 Pharma Plus เล่มม่วง (เฉลยข้อ ข)</t>
        </is>
      </c>
      <c r="O4" s="35" t="inlineStr">
        <is>
          <t>Mock</t>
        </is>
      </c>
      <c r="P4" s="35" t="inlineStr">
        <is>
          <t>Pharma Plus เล่มม่วง</t>
        </is>
      </c>
    </row>
    <row r="5" ht="13.2" customHeight="1" s="49">
      <c r="A5" s="35" t="n">
        <v>3</v>
      </c>
      <c r="B5" s="34" t="inlineStr">
        <is>
          <t>Norfloxacin มีค่าการละลายต่ำจึงนำมาใช้ร่วมกับ B-cyclodextrin ข้อใดคือกลไกของ B-cyclodextrin</t>
        </is>
      </c>
      <c r="C5" s="35" t="n"/>
      <c r="D5" s="34" t="inlineStr">
        <is>
          <t>pH</t>
        </is>
      </c>
      <c r="E5" s="34" t="inlineStr">
        <is>
          <t>ลดค่า dielectric constant</t>
        </is>
      </c>
      <c r="F5" s="34" t="inlineStr">
        <is>
          <t>Micelle</t>
        </is>
      </c>
      <c r="G5" s="34" t="inlineStr">
        <is>
          <t>Co-solvent</t>
        </is>
      </c>
      <c r="H5" s="34" t="inlineStr">
        <is>
          <t>Complexation</t>
        </is>
      </c>
      <c r="I5" s="35" t="n">
        <v>5</v>
      </c>
      <c r="J5" s="34"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35" t="n"/>
      <c r="L5" s="34" t="inlineStr">
        <is>
          <t>Tablet Manufacturing</t>
        </is>
      </c>
      <c r="M5" s="35" t="inlineStr">
        <is>
          <t>Product</t>
        </is>
      </c>
      <c r="N5" s="34" t="inlineStr">
        <is>
          <t>ข้อ 25 Pharma Plus เล่มม่วง (เฉลยข้อ จ)</t>
        </is>
      </c>
      <c r="O5" s="35" t="inlineStr">
        <is>
          <t>Mock</t>
        </is>
      </c>
      <c r="P5" s="35" t="inlineStr">
        <is>
          <t>Pharma Plus เล่มม่วง</t>
        </is>
      </c>
    </row>
    <row r="6" ht="13.2" customHeight="1" s="49">
      <c r="A6" s="35" t="n">
        <v>4</v>
      </c>
      <c r="B6" s="34" t="inlineStr">
        <is>
          <t>หากต้องการพัฒนาสูตรตำรับยาคุมกำเนิดปัญหาใดที่มีความสำคัญที่สุดและต้องแก้ไข</t>
        </is>
      </c>
      <c r="C6" s="35" t="n"/>
      <c r="D6" s="34" t="inlineStr">
        <is>
          <t>ความหนาของเม็ดยาต้องเท่ากัน</t>
        </is>
      </c>
      <c r="E6" s="34" t="inlineStr">
        <is>
          <t>ความแข็งของเม็ดยา เนื่องจากต้องพกติดตัว</t>
        </is>
      </c>
      <c r="F6" s="34" t="inlineStr">
        <is>
          <t>ความสม่ำเสมอของตัวยาสำคัญ</t>
        </is>
      </c>
      <c r="G6" s="34" t="inlineStr">
        <is>
          <t>ความกร่อน</t>
        </is>
      </c>
      <c r="H6" s="34" t="inlineStr">
        <is>
          <t>การละลายของยา</t>
        </is>
      </c>
      <c r="I6" s="35" t="n">
        <v>3</v>
      </c>
      <c r="J6" s="34"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35" t="n"/>
      <c r="L6" s="34" t="inlineStr">
        <is>
          <t>Tablet Manufacturing</t>
        </is>
      </c>
      <c r="M6" s="35" t="inlineStr">
        <is>
          <t>Product</t>
        </is>
      </c>
      <c r="N6" s="34" t="inlineStr">
        <is>
          <t>ข้อ 26 Pharma Plus เล่มม่วง (เฉลยข้อ ค)</t>
        </is>
      </c>
      <c r="O6" s="35" t="inlineStr">
        <is>
          <t>Mock</t>
        </is>
      </c>
      <c r="P6" s="35" t="inlineStr">
        <is>
          <t>Pharma Plus เล่มม่วง</t>
        </is>
      </c>
    </row>
    <row r="7" ht="13.2" customHeight="1" s="49">
      <c r="A7" s="35" t="n">
        <v>5</v>
      </c>
      <c r="B7" s="34" t="inlineStr">
        <is>
          <t>สาเหตุความไม่คงตัวดังข้อ 71 คือ</t>
        </is>
      </c>
      <c r="C7" s="35" t="n"/>
      <c r="D7" s="34" t="inlineStr">
        <is>
          <t>อนุภาคมีขนาดใหญ่เกินไป</t>
        </is>
      </c>
      <c r="E7" s="34" t="inlineStr">
        <is>
          <t>วัตภาคน้ำมันมีปริมาณมากเกินไป</t>
        </is>
      </c>
      <c r="F7" s="34" t="inlineStr">
        <is>
          <t>ความหนืดของวัตภาคภายนอกสูงเกินไป</t>
        </is>
      </c>
      <c r="G7" s="34" t="inlineStr">
        <is>
          <t>ไม่มีสารก่ออิมัลชัน (emulsifier) ในตำรับ</t>
        </is>
      </c>
      <c r="H7" s="34" t="inlineStr">
        <is>
          <t>ความหนาแน่นของวัตภาคในและนอกมีค่าใกล้เคียงกัน</t>
        </is>
      </c>
      <c r="I7" s="35" t="n">
        <v>4</v>
      </c>
      <c r="J7" s="34"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35" t="n"/>
      <c r="L7" s="34" t="inlineStr">
        <is>
          <t>Tablet Manufacturing</t>
        </is>
      </c>
      <c r="M7" s="35" t="inlineStr">
        <is>
          <t>Product</t>
        </is>
      </c>
      <c r="N7" s="34" t="inlineStr">
        <is>
          <t>ข้อ 72 Pharma Plus เล่มม่วง (เฉลยข้อ ง)</t>
        </is>
      </c>
      <c r="O7" s="35" t="inlineStr">
        <is>
          <t>Mock</t>
        </is>
      </c>
      <c r="P7" s="35" t="inlineStr">
        <is>
          <t>Pharma Plus เล่มม่วง</t>
        </is>
      </c>
    </row>
    <row r="8" ht="13.2" customHeight="1" s="49">
      <c r="A8" s="35" t="n">
        <v>6</v>
      </c>
      <c r="B8" s="34" t="inlineStr">
        <is>
          <t>สัดส่วนที่เหมาะสมของสารก่ออิมัลชันที่ใช้สำหรับตำรับข้อ 71 เพื่อให้เกิดเป็น o/w</t>
        </is>
      </c>
      <c r="C8" s="35" t="n"/>
      <c r="D8" s="34" t="inlineStr">
        <is>
          <t>Tween 80 : Span 80 = 8.43 : 2.87</t>
        </is>
      </c>
      <c r="E8" s="34" t="inlineStr">
        <is>
          <t>Tween 80 : Span 80 = 2.87 : 8.43</t>
        </is>
      </c>
      <c r="F8" s="34" t="inlineStr">
        <is>
          <t>Tween 80 : Span 80 = 15.0 : 3.7</t>
        </is>
      </c>
      <c r="G8" s="34" t="inlineStr">
        <is>
          <t>Tween 80 : Span 80 = 3.7 : 15.0</t>
        </is>
      </c>
      <c r="H8" s="34" t="inlineStr">
        <is>
          <t>Tween 80 : Span 80 = 1.5 : 2.5</t>
        </is>
      </c>
      <c r="I8" s="35" t="n">
        <v>1</v>
      </c>
      <c r="J8" s="34"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35" t="n"/>
      <c r="L8" s="34" t="inlineStr">
        <is>
          <t>Tablet Manufacturing</t>
        </is>
      </c>
      <c r="M8" s="35" t="inlineStr">
        <is>
          <t>Product</t>
        </is>
      </c>
      <c r="N8" s="34" t="inlineStr">
        <is>
          <t>ข้อ 74 Pharma Plus เล่มม่วง (เฉลยข้อ )</t>
        </is>
      </c>
      <c r="O8" s="35" t="inlineStr">
        <is>
          <t>Mock</t>
        </is>
      </c>
      <c r="P8" s="35" t="inlineStr">
        <is>
          <t>Pharma Plus เล่มม่วง</t>
        </is>
      </c>
    </row>
    <row r="9" ht="13.2" customHeight="1" s="49">
      <c r="A9" s="35" t="n">
        <v>7</v>
      </c>
      <c r="B9" s="34" t="inlineStr">
        <is>
          <t>เพราะเหตุใดอิมัลชันที่เตรียมได้ตามสูตรข้างต้นเป็นอิมัลชันชนิด o/w</t>
        </is>
      </c>
      <c r="C9" s="35" t="n"/>
      <c r="D9" s="34" t="inlineStr">
        <is>
          <t>มีปริมาตรวัตภาคบ้า(น้ำ)สูงกว่าวัตภาคน้ำมัน และระบบสารก่ออิมัลชัน (emulsifier system) มีค่า HLB ที่สูง</t>
        </is>
      </c>
      <c r="E9" s="34" t="inlineStr">
        <is>
          <t>มีปริมาตรวัตภาคบ้า(น้ำ)สูงกว่าวัตภาคน้ำมัน และระบบสารก่ออิมัลชัน (emulsifier system) มีค่า HLB ที่ต่ำ</t>
        </is>
      </c>
      <c r="F9" s="34" t="inlineStr">
        <is>
          <t>มีปริมาตรวัตภาคน้ำมันสูงกว่าวัตภาคบ้า(น้ำ) และระบบสารก่ออิมัลชัน (emulsifier system) มีค่า HLB ที่สูง</t>
        </is>
      </c>
      <c r="G9" s="34" t="inlineStr">
        <is>
          <t>มีปริมาตรวัตภาคน้ำมันสูงกว่าวัตภาคบ้า(น้ำ) และระบบสารก่ออิมัลชัน (emulsifier system) มีค่า HLB ที่ต่ำ</t>
        </is>
      </c>
      <c r="H9" s="34" t="inlineStr">
        <is>
          <t>มีปริมาตรวัตภาคน้ำมันและวัตภาคน้ำเท่าๆกัน และระบบสารก่ออิมัลชัน (emulsifier system) มีค่า HLB ที่สูง</t>
        </is>
      </c>
      <c r="I9" s="35" t="n">
        <v>1</v>
      </c>
      <c r="J9" s="34"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35" t="n"/>
      <c r="L9" s="34" t="inlineStr">
        <is>
          <t>Tablet Manufacturing</t>
        </is>
      </c>
      <c r="M9" s="35" t="inlineStr">
        <is>
          <t>Product</t>
        </is>
      </c>
      <c r="N9" s="34" t="inlineStr">
        <is>
          <t>ข้อ 75 Pharma Plus เล่มม่วง (เฉลยข้อ ก)</t>
        </is>
      </c>
      <c r="O9" s="35" t="inlineStr">
        <is>
          <t>Mock</t>
        </is>
      </c>
      <c r="P9" s="35" t="inlineStr">
        <is>
          <t>Pharma Plus เล่มม่วง</t>
        </is>
      </c>
    </row>
    <row r="10" ht="13.2" customHeight="1" s="49">
      <c r="A10" s="35" t="n">
        <v>8</v>
      </c>
      <c r="B10" s="34" t="inlineStr">
        <is>
          <t>ในการผลิตยาเม็ด gemfibrozil พบว่าเมื่อตอกแล้วยาเม็ดติดสาก แก้ไขโดยการเติมสารใด</t>
        </is>
      </c>
      <c r="C10" s="35" t="n"/>
      <c r="D10" s="34" t="inlineStr">
        <is>
          <t>Lactose</t>
        </is>
      </c>
      <c r="E10" s="34" t="inlineStr">
        <is>
          <t>Calcium carbonate</t>
        </is>
      </c>
      <c r="F10" s="34" t="inlineStr">
        <is>
          <t>HPMC</t>
        </is>
      </c>
      <c r="G10" s="34" t="inlineStr">
        <is>
          <t>Magnesium stearate</t>
        </is>
      </c>
      <c r="H10" s="34" t="inlineStr">
        <is>
          <t>Alcohol</t>
        </is>
      </c>
      <c r="I10" s="35" t="n">
        <v>4</v>
      </c>
      <c r="J10" s="34"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35" t="n"/>
      <c r="L10" s="34" t="inlineStr">
        <is>
          <t>Tablet Defects</t>
        </is>
      </c>
      <c r="M10" s="35" t="inlineStr">
        <is>
          <t>Product</t>
        </is>
      </c>
      <c r="N10" s="34" t="inlineStr">
        <is>
          <t>ข้อ 76 Pharma Plus เล่มม่วง (เฉลยข้อ ง)</t>
        </is>
      </c>
      <c r="O10" s="35" t="inlineStr">
        <is>
          <t>Mock</t>
        </is>
      </c>
      <c r="P10" s="35" t="inlineStr">
        <is>
          <t>Pharma Plus เล่มม่วง</t>
        </is>
      </c>
    </row>
    <row r="11" ht="13.2" customHeight="1" s="49">
      <c r="A11" s="35" t="n">
        <v>9</v>
      </c>
      <c r="B11" s="34" t="inlineStr">
        <is>
          <t>หากต้องการเพิ่มความสามารถในการแตกตัวของยาเม็ด colchicine ควรใช้สารใด</t>
        </is>
      </c>
      <c r="C11" s="35" t="n"/>
      <c r="D11" s="34" t="inlineStr">
        <is>
          <t>Lactose</t>
        </is>
      </c>
      <c r="E11" s="34" t="inlineStr">
        <is>
          <t>Starch paste</t>
        </is>
      </c>
      <c r="F11" s="34" t="inlineStr">
        <is>
          <t>Microcrystalline cellulose</t>
        </is>
      </c>
      <c r="G11" s="34" t="inlineStr">
        <is>
          <t>Magnesium stearate</t>
        </is>
      </c>
      <c r="H11" s="34" t="inlineStr">
        <is>
          <t>Dicalcium phosphate</t>
        </is>
      </c>
      <c r="I11" s="35" t="n">
        <v>3</v>
      </c>
      <c r="J11" s="34"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35" t="n"/>
      <c r="L11" s="34" t="inlineStr">
        <is>
          <t>Tablet Manufacturing</t>
        </is>
      </c>
      <c r="M11" s="35" t="inlineStr">
        <is>
          <t>Product</t>
        </is>
      </c>
      <c r="N11" s="34" t="inlineStr">
        <is>
          <t>ข้อ 77 Pharma Plus เล่มม่วง (เฉลยข้อ ค)</t>
        </is>
      </c>
      <c r="O11" s="35" t="inlineStr">
        <is>
          <t>Mock</t>
        </is>
      </c>
      <c r="P11" s="35" t="inlineStr">
        <is>
          <t>Pharma Plus เล่มม่วง</t>
        </is>
      </c>
    </row>
    <row r="12" ht="13.2" customHeight="1" s="49">
      <c r="A12" s="35" t="n">
        <v>10</v>
      </c>
      <c r="B12" s="34" t="inlineStr">
        <is>
          <t>ในการควบคุมคุณภาพของยาเม็ด colchicine tablet 0.6 mg ตามข้อกำหนดใน USP สิ่งที่ไม่ต้องทำคือ</t>
        </is>
      </c>
      <c r="C12" s="35" t="n"/>
      <c r="D12" s="34" t="inlineStr">
        <is>
          <t>Friability test</t>
        </is>
      </c>
      <c r="E12" s="34" t="inlineStr">
        <is>
          <t>Content uniformity</t>
        </is>
      </c>
      <c r="F12" s="34" t="inlineStr">
        <is>
          <t>Weight variation</t>
        </is>
      </c>
      <c r="G12" s="34" t="inlineStr">
        <is>
          <t>Dissolution test</t>
        </is>
      </c>
      <c r="H12" s="34" t="inlineStr">
        <is>
          <t>Disintegration test</t>
        </is>
      </c>
      <c r="I12" s="35" t="n">
        <v>1</v>
      </c>
      <c r="J12" s="34"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35" t="n"/>
      <c r="L12" s="34" t="inlineStr">
        <is>
          <t>Tablet Manufacturing</t>
        </is>
      </c>
      <c r="M12" s="35" t="inlineStr">
        <is>
          <t>Product</t>
        </is>
      </c>
      <c r="N12" s="34" t="inlineStr">
        <is>
          <t>ข้อ 78 Pharma Plus เล่มม่วง (เฉลยข้อ ก)</t>
        </is>
      </c>
      <c r="O12" s="35" t="inlineStr">
        <is>
          <t>Mock</t>
        </is>
      </c>
      <c r="P12" s="35" t="inlineStr">
        <is>
          <t>Pharma Plus เล่มม่วง</t>
        </is>
      </c>
    </row>
    <row r="13" ht="13.2" customHeight="1" s="49">
      <c r="A13" s="35" t="n">
        <v>11</v>
      </c>
      <c r="B13" s="34" t="inlineStr">
        <is>
          <t>ถ้าต้องการเตรียมยา Intra-arthricular corticosteroids (ampule) ต้องผ่านการควบคุมคุณภาพต่อไปนี้ ยกเว้นข้อใด</t>
        </is>
      </c>
      <c r="C13" s="35" t="n"/>
      <c r="D13" s="34" t="inlineStr">
        <is>
          <t>Sterility test</t>
        </is>
      </c>
      <c r="E13" s="34" t="inlineStr">
        <is>
          <t>Clarity test</t>
        </is>
      </c>
      <c r="F13" s="34" t="inlineStr">
        <is>
          <t>Pyrogen test</t>
        </is>
      </c>
      <c r="G13" s="34" t="inlineStr">
        <is>
          <t>Compatibility test</t>
        </is>
      </c>
      <c r="H13" s="34" t="inlineStr">
        <is>
          <t>Leaker test</t>
        </is>
      </c>
      <c r="I13" s="35" t="n">
        <v>4</v>
      </c>
      <c r="J13" s="34"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35" t="n"/>
      <c r="L13" s="34" t="inlineStr">
        <is>
          <t>Tablet Manufacturing</t>
        </is>
      </c>
      <c r="M13" s="35" t="inlineStr">
        <is>
          <t>Product</t>
        </is>
      </c>
      <c r="N13" s="34" t="inlineStr">
        <is>
          <t>ข้อ 79 Pharma Plus เล่มม่วง (เฉลยข้อ ง)</t>
        </is>
      </c>
      <c r="O13" s="35" t="inlineStr">
        <is>
          <t>Mock</t>
        </is>
      </c>
      <c r="P13" s="35" t="inlineStr">
        <is>
          <t>Pharma Plus เล่มม่วง</t>
        </is>
      </c>
    </row>
    <row r="14" ht="13.2" customHeight="1" s="49">
      <c r="A14" s="35" t="n">
        <v>12</v>
      </c>
      <c r="B14" s="34"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35" t="n"/>
      <c r="D14" s="34" t="inlineStr">
        <is>
          <t>0.8 g</t>
        </is>
      </c>
      <c r="E14" s="34" t="inlineStr">
        <is>
          <t>1.2 g</t>
        </is>
      </c>
      <c r="F14" s="34" t="inlineStr">
        <is>
          <t>1.5 g</t>
        </is>
      </c>
      <c r="G14" s="34" t="inlineStr">
        <is>
          <t>2.2 g</t>
        </is>
      </c>
      <c r="H14" s="34" t="inlineStr">
        <is>
          <t>3.0 g</t>
        </is>
      </c>
      <c r="I14" s="35" t="n">
        <v>4</v>
      </c>
      <c r="J14" s="34"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35" t="n"/>
      <c r="L14" s="34" t="inlineStr">
        <is>
          <t>Tablet Manufacturing</t>
        </is>
      </c>
      <c r="M14" s="35" t="inlineStr">
        <is>
          <t>Product</t>
        </is>
      </c>
      <c r="N14" s="34" t="inlineStr">
        <is>
          <t>ข้อ 80 Pharma Plus เล่มม่วง (เฉลยข้อ ง)</t>
        </is>
      </c>
      <c r="O14" s="35" t="inlineStr">
        <is>
          <t>Mock</t>
        </is>
      </c>
      <c r="P14" s="35" t="inlineStr">
        <is>
          <t>Pharma Plus เล่มม่วง</t>
        </is>
      </c>
    </row>
    <row r="15" ht="13.2" customHeight="1" s="49">
      <c r="A15" s="35" t="n">
        <v>13</v>
      </c>
      <c r="B15" s="34" t="inlineStr">
        <is>
          <t>ผู้ป่วยควรเก็บ insulin ที่ภาวะใด</t>
        </is>
      </c>
      <c r="C15" s="35" t="n"/>
      <c r="D15" s="34" t="inlineStr">
        <is>
          <t>Cold</t>
        </is>
      </c>
      <c r="E15" s="34" t="inlineStr">
        <is>
          <t>Refrigerator</t>
        </is>
      </c>
      <c r="F15" s="34" t="inlineStr">
        <is>
          <t>Cool</t>
        </is>
      </c>
      <c r="G15" s="34" t="inlineStr">
        <is>
          <t>Room temperature</t>
        </is>
      </c>
      <c r="H15" s="34" t="inlineStr">
        <is>
          <t>Warm</t>
        </is>
      </c>
      <c r="I15" s="35" t="n">
        <v>2</v>
      </c>
      <c r="J15" s="34"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35" t="n"/>
      <c r="L15" s="34" t="inlineStr">
        <is>
          <t>Tablet Manufacturing</t>
        </is>
      </c>
      <c r="M15" s="35" t="inlineStr">
        <is>
          <t>Product</t>
        </is>
      </c>
      <c r="N15" s="34" t="inlineStr">
        <is>
          <t>ข้อ 81 Pharma Plus เล่มม่วง (เฉลยข้อ ข)</t>
        </is>
      </c>
      <c r="O15" s="35" t="inlineStr">
        <is>
          <t>Mock</t>
        </is>
      </c>
      <c r="P15" s="35" t="inlineStr">
        <is>
          <t>Pharma Plus เล่มม่วง</t>
        </is>
      </c>
    </row>
    <row r="16" ht="13.2" customHeight="1" s="49">
      <c r="A16" s="35" t="n">
        <v>14</v>
      </c>
      <c r="B16" s="34" t="inlineStr">
        <is>
          <t>ท่านคิดว่า metformin tablet ไม่จำเป็นต้องทำ finished product quality control ข้อใด</t>
        </is>
      </c>
      <c r="C16" s="35" t="n"/>
      <c r="D16" s="34" t="inlineStr">
        <is>
          <t>Friability test</t>
        </is>
      </c>
      <c r="E16" s="34" t="inlineStr">
        <is>
          <t>Disintegration test</t>
        </is>
      </c>
      <c r="F16" s="34" t="inlineStr">
        <is>
          <t>Dissolution test</t>
        </is>
      </c>
      <c r="G16" s="34" t="inlineStr">
        <is>
          <t>Freeze-thaw cycle</t>
        </is>
      </c>
      <c r="H16" s="34" t="inlineStr">
        <is>
          <t>Weight variation</t>
        </is>
      </c>
      <c r="I16" s="35" t="n">
        <v>1</v>
      </c>
      <c r="J16" s="34"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35" t="n"/>
      <c r="L16" s="34" t="inlineStr">
        <is>
          <t>Tablet Manufacturing</t>
        </is>
      </c>
      <c r="M16" s="35" t="inlineStr">
        <is>
          <t>Product</t>
        </is>
      </c>
      <c r="N16" s="34" t="inlineStr">
        <is>
          <t>ข้อ 82 Pharma Plus เล่มม่วง (เฉลยข้อ ก)</t>
        </is>
      </c>
      <c r="O16" s="35" t="inlineStr">
        <is>
          <t>Mock</t>
        </is>
      </c>
      <c r="P16" s="35" t="inlineStr">
        <is>
          <t>Pharma Plus เล่มม่วง</t>
        </is>
      </c>
    </row>
    <row r="17" ht="13.2" customHeight="1" s="49">
      <c r="A17" s="35" t="n">
        <v>15</v>
      </c>
      <c r="B17" s="34" t="inlineStr">
        <is>
          <t>ข้อใดไม่ใช่ข้อดีของการทำ film coated tablet ที่เหนือกว่า sugar coated tablet</t>
        </is>
      </c>
      <c r="C17" s="35" t="n"/>
      <c r="D17" s="34" t="inlineStr">
        <is>
          <t>น้ำหนักของเม็ดยาเพิ่มมากขึ้น มากกว่า sugar coated tablet เนื่องจาก material ที่ใช้เป็นสารสังเคราะห์ที่มีน้ำหนักโมเลกุลสูง</t>
        </is>
      </c>
      <c r="E17" s="34" t="inlineStr">
        <is>
          <t>พื้นผิวเม็ดยามีความเรียบและ สีสม่ำเสมอกว่า sugar coated tablet</t>
        </is>
      </c>
      <c r="F17" s="34" t="inlineStr">
        <is>
          <t>กระบวนการทำ film coated tablet รวดเร็วกว่า sugar coated tablet</t>
        </is>
      </c>
      <c r="G17" s="34" t="inlineStr">
        <is>
          <t>กระบวนการทำ film coated tablet ไม่เกิดปัญหา dead spot</t>
        </is>
      </c>
      <c r="H17" s="34" t="inlineStr">
        <is>
          <t>film coated tabletไม่มีการทำ polishing ด้วย wax จึงไม่เกิดปัญหาที่เรียกว่า marbled เหมือน sugar coated tablet</t>
        </is>
      </c>
      <c r="I17" s="35" t="n">
        <v>1</v>
      </c>
      <c r="J17" s="34"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35" t="n"/>
      <c r="L17" s="34" t="inlineStr">
        <is>
          <t>Tablet Coating</t>
        </is>
      </c>
      <c r="M17" s="35" t="inlineStr">
        <is>
          <t>Product</t>
        </is>
      </c>
      <c r="N17" s="34" t="inlineStr">
        <is>
          <t>ข้อ 83 Pharma Plus เล่มม่วง (เฉลยข้อ ก)</t>
        </is>
      </c>
      <c r="O17" s="35" t="inlineStr">
        <is>
          <t>Mock</t>
        </is>
      </c>
      <c r="P17" s="35" t="inlineStr">
        <is>
          <t>Pharma Plus เล่มม่วง</t>
        </is>
      </c>
    </row>
    <row r="18" ht="13.2" customHeight="1" s="49">
      <c r="A18" s="35" t="n">
        <v>16</v>
      </c>
      <c r="B18" s="34" t="inlineStr">
        <is>
          <t>Antacid เป็นยาเตรียมประเภทใด</t>
        </is>
      </c>
      <c r="C18" s="35" t="n"/>
      <c r="D18" s="34" t="inlineStr">
        <is>
          <t>Gel</t>
        </is>
      </c>
      <c r="E18" s="34" t="inlineStr">
        <is>
          <t>Emulsion</t>
        </is>
      </c>
      <c r="F18" s="34" t="inlineStr">
        <is>
          <t>Suspension</t>
        </is>
      </c>
      <c r="G18" s="34" t="inlineStr">
        <is>
          <t>Solution</t>
        </is>
      </c>
      <c r="H18" s="34" t="inlineStr">
        <is>
          <t>Elixir</t>
        </is>
      </c>
      <c r="I18" s="35" t="n">
        <v>3</v>
      </c>
      <c r="J18" s="34"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35" t="n"/>
      <c r="L18" s="34" t="inlineStr">
        <is>
          <t>Tablet Manufacturing</t>
        </is>
      </c>
      <c r="M18" s="35" t="inlineStr">
        <is>
          <t>Product</t>
        </is>
      </c>
      <c r="N18" s="34" t="inlineStr">
        <is>
          <t>ข้อ 96 Pharma Plus เล่มม่วง (เฉลยข้อ ค)</t>
        </is>
      </c>
      <c r="O18" s="35" t="inlineStr">
        <is>
          <t>Mock</t>
        </is>
      </c>
      <c r="P18" s="35" t="inlineStr">
        <is>
          <t>Pharma Plus เล่มม่วง</t>
        </is>
      </c>
    </row>
    <row r="19" ht="13.2" customHeight="1" s="49">
      <c r="A19" s="35" t="n">
        <v>17</v>
      </c>
      <c r="B19" s="34"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35" t="n"/>
      <c r="D19" s="34" t="inlineStr">
        <is>
          <t>Hard Gelatin Capsule filling</t>
        </is>
      </c>
      <c r="E19" s="34" t="inlineStr">
        <is>
          <t>Soft Gelatin Capsule encapsulation</t>
        </is>
      </c>
      <c r="F19" s="34" t="inlineStr">
        <is>
          <t>1 และ 3</t>
        </is>
      </c>
      <c r="G19" s="34" t="inlineStr">
        <is>
          <t>2 และ 3</t>
        </is>
      </c>
      <c r="H19" s="34" t="inlineStr">
        <is>
          <t>ไม่มีข้อใดถูก</t>
        </is>
      </c>
      <c r="I19" s="35" t="n">
        <v>3</v>
      </c>
      <c r="J19" s="34"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35" t="n"/>
      <c r="L19" s="34" t="inlineStr">
        <is>
          <t>Tablet Manufacturing</t>
        </is>
      </c>
      <c r="M19" s="35" t="inlineStr">
        <is>
          <t>Product</t>
        </is>
      </c>
      <c r="N19" s="34" t="inlineStr">
        <is>
          <t>ข้อ 97 Pharma Plus เล่มม่วง (เฉลยข้อ ค)</t>
        </is>
      </c>
      <c r="O19" s="35" t="inlineStr">
        <is>
          <t>Mock</t>
        </is>
      </c>
      <c r="P19" s="35" t="inlineStr">
        <is>
          <t>Pharma Plus เล่มม่วง</t>
        </is>
      </c>
    </row>
    <row r="20" ht="13.2" customHeight="1" s="49">
      <c r="A20" s="35" t="n">
        <v>18</v>
      </c>
      <c r="B20" s="34" t="inlineStr">
        <is>
          <t>ในการตอก ciprofloxacin tablet พบว่าผงยาไหลไม่ดี เภสัชกรฝ่าย R&amp;D อย่างท่านควรพัฒนาสูตรตำรับอย่างไรจึงจะเหมาะสม</t>
        </is>
      </c>
      <c r="C20" s="35" t="n"/>
      <c r="D20" s="34" t="inlineStr">
        <is>
          <t>เปลี่ยนสูตรตำรับเป็นยาน้ำ</t>
        </is>
      </c>
      <c r="E20" s="34" t="inlineStr">
        <is>
          <t>ทำ wet granulation</t>
        </is>
      </c>
      <c r="F20" s="34" t="inlineStr">
        <is>
          <t>นำไปผ่าน sieve เพื่อคัดขนาดอนุภาค</t>
        </is>
      </c>
      <c r="G20" s="34" t="inlineStr">
        <is>
          <t>เพิ่มแรงตอก</t>
        </is>
      </c>
      <c r="H20" s="34" t="inlineStr">
        <is>
          <t>เพิ่ม diluent</t>
        </is>
      </c>
      <c r="I20" s="35" t="n">
        <v>2</v>
      </c>
      <c r="J20" s="34"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35" t="n"/>
      <c r="L20" s="34" t="inlineStr">
        <is>
          <t>Powders &amp; Granules</t>
        </is>
      </c>
      <c r="M20" s="35" t="inlineStr">
        <is>
          <t>Product</t>
        </is>
      </c>
      <c r="N20" s="34" t="inlineStr">
        <is>
          <t>ข้อ 99 Pharma Plus เล่มม่วง (เฉลยข้อ ข)</t>
        </is>
      </c>
      <c r="O20" s="35" t="inlineStr">
        <is>
          <t>Mock</t>
        </is>
      </c>
      <c r="P20" s="35" t="inlineStr">
        <is>
          <t>Pharma Plus เล่มม่วง</t>
        </is>
      </c>
    </row>
    <row r="21" ht="13.2" customHeight="1" s="49">
      <c r="A21" s="35" t="n">
        <v>19</v>
      </c>
      <c r="B21" s="34" t="inlineStr">
        <is>
          <t>เภสัชกรผู้หนึ่งทำการสุ่ม atenolol tablets ระหว่างการผลิตพบว่ายาเม็ดเกิดการแยกฝา เรียกปรากฏการณ์นี้ว่า</t>
        </is>
      </c>
      <c r="C21" s="35" t="n"/>
      <c r="D21" s="34" t="inlineStr">
        <is>
          <t>Breaking</t>
        </is>
      </c>
      <c r="E21" s="34" t="inlineStr">
        <is>
          <t>Cracking</t>
        </is>
      </c>
      <c r="F21" s="34" t="inlineStr">
        <is>
          <t>Capping</t>
        </is>
      </c>
      <c r="G21" s="34" t="inlineStr">
        <is>
          <t>Segregation</t>
        </is>
      </c>
      <c r="H21" s="34" t="inlineStr">
        <is>
          <t>Sticking</t>
        </is>
      </c>
      <c r="I21" s="35" t="n">
        <v>3</v>
      </c>
      <c r="J21" s="34"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35" t="n"/>
      <c r="L21" s="34" t="inlineStr">
        <is>
          <t>Tablet Defects</t>
        </is>
      </c>
      <c r="M21" s="35" t="inlineStr">
        <is>
          <t>Product</t>
        </is>
      </c>
      <c r="N21" s="34" t="inlineStr">
        <is>
          <t>ข้อ 100 Pharma Plus เล่มม่วง (เฉลยข้อ ค)</t>
        </is>
      </c>
      <c r="O21" s="35" t="inlineStr">
        <is>
          <t>Mock</t>
        </is>
      </c>
      <c r="P21" s="35" t="inlineStr">
        <is>
          <t>Pharma Plus เล่มม่วง</t>
        </is>
      </c>
    </row>
    <row r="22" ht="13.2" customHeight="1" s="49">
      <c r="A22" s="35" t="n">
        <v>20</v>
      </c>
      <c r="B22" s="34" t="inlineStr">
        <is>
          <t>จะแก้ไขปรากฏการณ์ข้อ 100 ได้อย่างไร</t>
        </is>
      </c>
      <c r="C22" s="35" t="n"/>
      <c r="D22" s="34" t="inlineStr">
        <is>
          <t>เติม anti-adherent</t>
        </is>
      </c>
      <c r="E22" s="34" t="inlineStr">
        <is>
          <t>เติม binder</t>
        </is>
      </c>
      <c r="F22" s="34" t="inlineStr">
        <is>
          <t>ลดขนาดอนุภาคให้ใกล้เคียงกัน</t>
        </is>
      </c>
      <c r="G22" s="34" t="inlineStr">
        <is>
          <t>ปรับความเร็วในการตอกให้ลดลง</t>
        </is>
      </c>
      <c r="H22" s="34" t="inlineStr">
        <is>
          <t>ข. และ ง. ถูก</t>
        </is>
      </c>
      <c r="I22" s="35" t="n">
        <v>5</v>
      </c>
      <c r="J22" s="34"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35" t="n"/>
      <c r="L22" s="34" t="inlineStr">
        <is>
          <t>Tablet Manufacturing</t>
        </is>
      </c>
      <c r="M22" s="35" t="inlineStr">
        <is>
          <t>Product</t>
        </is>
      </c>
      <c r="N22" s="34" t="inlineStr">
        <is>
          <t>ข้อ 101 Pharma Plus เล่มม่วง (เฉลยข้อ จ)</t>
        </is>
      </c>
      <c r="O22" s="35" t="inlineStr">
        <is>
          <t>Mock</t>
        </is>
      </c>
      <c r="P22" s="35" t="inlineStr">
        <is>
          <t>Pharma Plus เล่มม่วง</t>
        </is>
      </c>
    </row>
    <row r="23" ht="13.2" customHeight="1" s="49">
      <c r="A23" s="35" t="n">
        <v>21</v>
      </c>
      <c r="B23" s="34" t="inlineStr">
        <is>
          <t>ORS Formulation
Sodium chloride: 2.6 g/L
Glucose anhydrous: 13.5 g/L
Potassium chloride: 1.5 g/L
Trisodium citrate dihydrate: 2.9 g/L
จากสูตร ORS ที่กำหนดให้ จงคำนวณหา mOsmol ของ NaCl (MW NaCl = 58.5)</t>
        </is>
      </c>
      <c r="C23" s="35" t="n"/>
      <c r="D23" s="34" t="n">
        <v>44.44</v>
      </c>
      <c r="E23" s="34" t="n">
        <v>75.88</v>
      </c>
      <c r="F23" s="34" t="n">
        <v>80.58</v>
      </c>
      <c r="G23" s="34" t="n">
        <v>85</v>
      </c>
      <c r="H23" s="34" t="n">
        <v>88.89</v>
      </c>
      <c r="I23" s="35" t="n">
        <v>5</v>
      </c>
      <c r="J23" s="34"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35" t="n"/>
      <c r="L23" s="34" t="inlineStr">
        <is>
          <t>Tablet Manufacturing</t>
        </is>
      </c>
      <c r="M23" s="35" t="inlineStr">
        <is>
          <t>Product</t>
        </is>
      </c>
      <c r="N23" s="34" t="inlineStr">
        <is>
          <t>ข้อ 105 Pharma Plus เล่มม่วง (เฉลยข้อ จ)</t>
        </is>
      </c>
      <c r="O23" s="35" t="inlineStr">
        <is>
          <t>Mock</t>
        </is>
      </c>
      <c r="P23" s="35" t="inlineStr">
        <is>
          <t>Pharma Plus เล่มม่วง</t>
        </is>
      </c>
    </row>
    <row r="24" ht="13.2" customHeight="1" s="49">
      <c r="A24" s="35" t="n">
        <v>22</v>
      </c>
      <c r="B24" s="34"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35" t="n"/>
      <c r="D24" s="34" t="inlineStr">
        <is>
          <t>155 g</t>
        </is>
      </c>
      <c r="E24" s="34" t="inlineStr">
        <is>
          <t>175 g</t>
        </is>
      </c>
      <c r="F24" s="34" t="inlineStr">
        <is>
          <t>180 g</t>
        </is>
      </c>
      <c r="G24" s="34" t="inlineStr">
        <is>
          <t>197 g</t>
        </is>
      </c>
      <c r="H24" s="34" t="inlineStr">
        <is>
          <t>200 g</t>
        </is>
      </c>
      <c r="I24" s="35" t="n">
        <v>3</v>
      </c>
      <c r="J24" s="34"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35" t="n"/>
      <c r="L24" s="34" t="inlineStr">
        <is>
          <t>Tablet Manufacturing</t>
        </is>
      </c>
      <c r="M24" s="35" t="inlineStr">
        <is>
          <t>Product</t>
        </is>
      </c>
      <c r="N24" s="34" t="inlineStr">
        <is>
          <t>ข้อ 107 Pharma Plus เล่มม่วง (เฉลยข้อ ค)</t>
        </is>
      </c>
      <c r="O24" s="35" t="inlineStr">
        <is>
          <t>Mock</t>
        </is>
      </c>
      <c r="P24" s="35" t="inlineStr">
        <is>
          <t>Pharma Plus เล่มม่วง</t>
        </is>
      </c>
    </row>
    <row r="25" ht="13.2" customHeight="1" s="49">
      <c r="A25" s="35" t="n">
        <v>23</v>
      </c>
      <c r="B25" s="34" t="inlineStr">
        <is>
          <t>ในการเตรียม D-5-S จำนวน 100 ขวด (ขวดละ 1000 mL) จะต้องใช้ NaCl หนักเท่าใด</t>
        </is>
      </c>
      <c r="C25" s="35" t="n"/>
      <c r="D25" s="34" t="inlineStr">
        <is>
          <t>45 กรัม</t>
        </is>
      </c>
      <c r="E25" s="34" t="inlineStr">
        <is>
          <t>450 กรัม</t>
        </is>
      </c>
      <c r="F25" s="34" t="inlineStr">
        <is>
          <t>90 กรัม</t>
        </is>
      </c>
      <c r="G25" s="34" t="inlineStr">
        <is>
          <t>900 กรัม</t>
        </is>
      </c>
      <c r="H25" s="34" t="inlineStr">
        <is>
          <t>ไม่มีคำตอบใดถูก</t>
        </is>
      </c>
      <c r="I25" s="35" t="n">
        <v>4</v>
      </c>
      <c r="J25" s="34"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35" t="n"/>
      <c r="L25" s="34" t="inlineStr">
        <is>
          <t>Tablet Manufacturing</t>
        </is>
      </c>
      <c r="M25" s="35" t="inlineStr">
        <is>
          <t>Product</t>
        </is>
      </c>
      <c r="N25" s="34" t="inlineStr">
        <is>
          <t>ข้อ 108 Pharma Plus เล่มม่วง (เฉลยข้อ ง)</t>
        </is>
      </c>
      <c r="O25" s="35" t="inlineStr">
        <is>
          <t>Mock</t>
        </is>
      </c>
      <c r="P25" s="35" t="inlineStr">
        <is>
          <t>Pharma Plus เล่มม่วง</t>
        </is>
      </c>
    </row>
    <row r="26" ht="13.2" customHeight="1" s="49">
      <c r="A26" s="35" t="n">
        <v>24</v>
      </c>
      <c r="B26" s="34" t="inlineStr">
        <is>
          <t>หลังจากบรรจุเสร็จ จะนำขวดน้ำเกลือดังกล่าวไปฆ่าเชื้อโดยผ่านเครื่องมือใด ที่อุณหภูมิในข้อใด จึงจะเหมาะสม</t>
        </is>
      </c>
      <c r="C26" s="35" t="n"/>
      <c r="D26" s="34" t="inlineStr">
        <is>
          <t>Hot air oven 160 องศาเซลเซียส นาน 3 ชั่วโมง</t>
        </is>
      </c>
      <c r="E26" s="34" t="inlineStr">
        <is>
          <t>Hot air oven 121 องศาเซลเซียส นาน 20-30 นาที</t>
        </is>
      </c>
      <c r="F26" s="34" t="inlineStr">
        <is>
          <t>Autoclave 121 องศาเซลเซียส นาน 20-30 นาที</t>
        </is>
      </c>
      <c r="G26" s="34" t="inlineStr">
        <is>
          <t>Autoclave 160 องศาเซลเซียส นาน 3 ชั่วโมง</t>
        </is>
      </c>
      <c r="H26" s="34" t="inlineStr">
        <is>
          <t>Autoclave 100 องศาเซลเซียส นาน 30 นาที</t>
        </is>
      </c>
      <c r="I26" s="35" t="n">
        <v>3</v>
      </c>
      <c r="J26" s="34"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35" t="n"/>
      <c r="L26" s="34" t="inlineStr">
        <is>
          <t>Tablet Manufacturing</t>
        </is>
      </c>
      <c r="M26" s="35" t="inlineStr">
        <is>
          <t>Product</t>
        </is>
      </c>
      <c r="N26" s="34" t="inlineStr">
        <is>
          <t>ข้อ 109 Pharma Plus เล่มม่วง (เฉลยข้อ ค)</t>
        </is>
      </c>
      <c r="O26" s="35" t="inlineStr">
        <is>
          <t>Mock</t>
        </is>
      </c>
      <c r="P26" s="35" t="inlineStr">
        <is>
          <t>Pharma Plus เล่มม่วง</t>
        </is>
      </c>
    </row>
    <row r="27" ht="13.2" customHeight="1" s="49">
      <c r="A27" s="35" t="n">
        <v>25</v>
      </c>
      <c r="B27" s="34" t="inlineStr">
        <is>
          <t>ยา ISDN เหมาะกับอาการขณะกำเริบ คือ dosage form ใด</t>
        </is>
      </c>
      <c r="C27" s="35" t="n"/>
      <c r="D27" s="34" t="inlineStr">
        <is>
          <t>Extent release</t>
        </is>
      </c>
      <c r="E27" s="34" t="inlineStr">
        <is>
          <t>Ointment</t>
        </is>
      </c>
      <c r="F27" s="34" t="inlineStr">
        <is>
          <t>Solution</t>
        </is>
      </c>
      <c r="G27" s="34" t="inlineStr">
        <is>
          <t>Sublingual tablet</t>
        </is>
      </c>
      <c r="H27" s="34" t="inlineStr">
        <is>
          <t>Transdermal</t>
        </is>
      </c>
      <c r="I27" s="35" t="n">
        <v>4</v>
      </c>
      <c r="J27" s="34"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35" t="n"/>
      <c r="L27" s="34" t="inlineStr">
        <is>
          <t>Tablet Manufacturing</t>
        </is>
      </c>
      <c r="M27" s="35" t="inlineStr">
        <is>
          <t>Product</t>
        </is>
      </c>
      <c r="N27" s="34" t="inlineStr">
        <is>
          <t>ข้อ 122 Pharma Plus เล่มม่วง (เฉลยข้อ ง)</t>
        </is>
      </c>
      <c r="O27" s="35" t="inlineStr">
        <is>
          <t>Mock</t>
        </is>
      </c>
      <c r="P27" s="35" t="inlineStr">
        <is>
          <t>Pharma Plus เล่มม่วง</t>
        </is>
      </c>
    </row>
    <row r="28" ht="13.2" customHeight="1" s="49">
      <c r="A28" s="35" t="n">
        <v>26</v>
      </c>
      <c r="B28" s="34" t="inlineStr">
        <is>
          <t>ยาที่ผู้ป่วยได้รับก่อนมารพ. คือ nifedipine SR เป็นการปลดยารูปแบบใด</t>
        </is>
      </c>
      <c r="C28" s="35" t="n"/>
      <c r="D28" s="34" t="inlineStr">
        <is>
          <t>ปลดปล่อยยาทันทีหลังรับประทานอาหาร</t>
        </is>
      </c>
      <c r="E28" s="34" t="inlineStr">
        <is>
          <t>ปลดปล่อยยาอย่างเร็ว</t>
        </is>
      </c>
      <c r="F28" s="34" t="inlineStr">
        <is>
          <t>ปลดปล่อยยาในปริมาณที่แน่นอน</t>
        </is>
      </c>
      <c r="G28" s="34" t="inlineStr">
        <is>
          <t>ค่อย ๆ ปล่อยยาออกมาอย่าง ช้า ๆ</t>
        </is>
      </c>
      <c r="H28" s="34" t="inlineStr">
        <is>
          <t>ค่อย ๆปลดปล่อยยาออกมาในปริมาณน้อย</t>
        </is>
      </c>
      <c r="I28" s="35" t="n">
        <v>4</v>
      </c>
      <c r="J28" s="34"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35" t="n"/>
      <c r="L28" s="34" t="inlineStr">
        <is>
          <t>Tablet Manufacturing</t>
        </is>
      </c>
      <c r="M28" s="35" t="inlineStr">
        <is>
          <t>Product</t>
        </is>
      </c>
      <c r="N28" s="34" t="inlineStr">
        <is>
          <t>ข้อ 123 Pharma Plus เล่มม่วง (เฉลยข้อ ง)</t>
        </is>
      </c>
      <c r="O28" s="35" t="inlineStr">
        <is>
          <t>Mock</t>
        </is>
      </c>
      <c r="P28" s="35" t="inlineStr">
        <is>
          <t>Pharma Plus เล่มม่วง</t>
        </is>
      </c>
    </row>
    <row r="29" ht="13.2" customHeight="1" s="49">
      <c r="A29" s="35" t="n">
        <v>27</v>
      </c>
      <c r="B29" s="34" t="inlineStr">
        <is>
          <t>ข้อมูลข้อมีความจำเป็นน้อยที่สุดในการนำพริกมาบรรจุในแคปซูลเพื่อรับประทาน</t>
        </is>
      </c>
      <c r="C29" s="35" t="n"/>
      <c r="D29" s="34" t="inlineStr">
        <is>
          <t>Solubility</t>
        </is>
      </c>
      <c r="E29" s="34" t="inlineStr">
        <is>
          <t>Angle of repose</t>
        </is>
      </c>
      <c r="F29" s="34" t="inlineStr">
        <is>
          <t>Capsule's size and volume</t>
        </is>
      </c>
      <c r="G29" s="34" t="inlineStr">
        <is>
          <t>Tap density</t>
        </is>
      </c>
      <c r="H29" s="34" t="inlineStr">
        <is>
          <t>Therapeutic dose</t>
        </is>
      </c>
      <c r="I29" s="35" t="n">
        <v>1</v>
      </c>
      <c r="J29" s="34"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35" t="n"/>
      <c r="L29" s="34" t="inlineStr">
        <is>
          <t>Hard &amp; Soft Gelatin Capsules</t>
        </is>
      </c>
      <c r="M29" s="35" t="inlineStr">
        <is>
          <t>Product</t>
        </is>
      </c>
      <c r="N29" s="34" t="inlineStr">
        <is>
          <t>ข้อ 125 Pharma Plus เล่มม่วง (เฉลยข้อ ก)</t>
        </is>
      </c>
      <c r="O29" s="35" t="inlineStr">
        <is>
          <t>Mock</t>
        </is>
      </c>
      <c r="P29" s="35" t="inlineStr">
        <is>
          <t>Pharma Plus เล่มม่วง</t>
        </is>
      </c>
    </row>
    <row r="30" ht="13.2" customHeight="1" s="49">
      <c r="A30" s="35" t="n">
        <v>28</v>
      </c>
      <c r="B30" s="34"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35" t="n"/>
      <c r="D30" s="34" t="inlineStr">
        <is>
          <t>ใช้ 25% NaHCO3 6 mL และปรับปริมาตรให้ได้ 100 mL</t>
        </is>
      </c>
      <c r="E30" s="34" t="inlineStr">
        <is>
          <t>ใช้ 25% NaHCO3 6 mL และปรับปริมาตรให้ได้ 30 mL</t>
        </is>
      </c>
      <c r="F30" s="34" t="inlineStr">
        <is>
          <t>ใช้ 25% NaHCO3 20 mL และปรับปริมาตรให้ได้ 100 mL</t>
        </is>
      </c>
      <c r="G30" s="34" t="inlineStr">
        <is>
          <t>ใช้ 25% NaHCO3 20 mL และปรับปริมาตรให้ได้ 30 mL</t>
        </is>
      </c>
      <c r="H30" s="34" t="inlineStr">
        <is>
          <t>ใช้ 25% NaHCO3 10 mL และปรับปริมาตรให้ได้ 100 mL</t>
        </is>
      </c>
      <c r="I30" s="35" t="n">
        <v>2</v>
      </c>
      <c r="J30" s="34"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35" t="n"/>
      <c r="L30" s="34" t="inlineStr">
        <is>
          <t>Tablet Manufacturing</t>
        </is>
      </c>
      <c r="M30" s="35" t="inlineStr">
        <is>
          <t>Product</t>
        </is>
      </c>
      <c r="N30" s="34" t="inlineStr">
        <is>
          <t>ข้อ 126 Pharma Plus เล่มม่วง (เฉลยข้อ ข)</t>
        </is>
      </c>
      <c r="O30" s="35" t="inlineStr">
        <is>
          <t>Mock</t>
        </is>
      </c>
      <c r="P30" s="35" t="inlineStr">
        <is>
          <t>Pharma Plus เล่มม่วง</t>
        </is>
      </c>
    </row>
    <row r="31" ht="13.2" customHeight="1" s="49">
      <c r="A31" s="35" t="n">
        <v>29</v>
      </c>
      <c r="B31" s="34" t="inlineStr">
        <is>
          <t>เมื่อเตรียมตำรับยาข้างต้นในข้อ 126 ส่วนประกอบใดไม่จำเป็นในการเตรียมยาใช้ในช่องหู</t>
        </is>
      </c>
      <c r="C31" s="35" t="n"/>
      <c r="D31" s="34" t="inlineStr">
        <is>
          <t>Antioxidant</t>
        </is>
      </c>
      <c r="E31" s="34" t="inlineStr">
        <is>
          <t>Buffering agent</t>
        </is>
      </c>
      <c r="F31" s="34" t="inlineStr">
        <is>
          <t>Structure vehicle</t>
        </is>
      </c>
      <c r="G31" s="34" t="inlineStr">
        <is>
          <t>Preservative</t>
        </is>
      </c>
      <c r="H31" s="34" t="inlineStr">
        <is>
          <t>Viscosity agent</t>
        </is>
      </c>
      <c r="I31" s="35" t="n">
        <v>2</v>
      </c>
      <c r="J31" s="34"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35" t="n"/>
      <c r="L31" s="34" t="inlineStr">
        <is>
          <t>Tablet Manufacturing</t>
        </is>
      </c>
      <c r="M31" s="35" t="inlineStr">
        <is>
          <t>Product</t>
        </is>
      </c>
      <c r="N31" s="34" t="inlineStr">
        <is>
          <t>ข้อ 127 Pharma Plus เล่มม่วง (เฉลยข้อ ข)</t>
        </is>
      </c>
      <c r="O31" s="35" t="inlineStr">
        <is>
          <t>Mock</t>
        </is>
      </c>
      <c r="P31" s="35" t="inlineStr">
        <is>
          <t>Pharma Plus เล่มม่วง</t>
        </is>
      </c>
    </row>
    <row r="32" ht="13.2" customHeight="1" s="49">
      <c r="A32" s="35" t="n">
        <v>30</v>
      </c>
      <c r="B32" s="34"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35" t="n"/>
      <c r="D32" s="34" t="inlineStr">
        <is>
          <t>0.27 g</t>
        </is>
      </c>
      <c r="E32" s="34" t="inlineStr">
        <is>
          <t>0.18 g</t>
        </is>
      </c>
      <c r="F32" s="34" t="inlineStr">
        <is>
          <t>0.09 g</t>
        </is>
      </c>
      <c r="G32" s="34" t="inlineStr">
        <is>
          <t>0.04 g</t>
        </is>
      </c>
      <c r="H32" s="34" t="inlineStr">
        <is>
          <t>0.12 g</t>
        </is>
      </c>
      <c r="I32" s="35" t="n">
        <v>3</v>
      </c>
      <c r="J32" s="34"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35" t="n"/>
      <c r="L32" s="34" t="inlineStr">
        <is>
          <t>Tablet Manufacturing</t>
        </is>
      </c>
      <c r="M32" s="35" t="inlineStr">
        <is>
          <t>Product</t>
        </is>
      </c>
      <c r="N32" s="34" t="inlineStr">
        <is>
          <t>ข้อ 152 Pharma Plus เล่มม่วง (เฉลยข้อ ค)</t>
        </is>
      </c>
      <c r="O32" s="35" t="inlineStr">
        <is>
          <t>Mock</t>
        </is>
      </c>
      <c r="P32" s="35" t="inlineStr">
        <is>
          <t>Pharma Plus เล่มม่วง</t>
        </is>
      </c>
    </row>
    <row r="33" ht="13.2" customHeight="1" s="49">
      <c r="A33" s="35" t="n">
        <v>31</v>
      </c>
      <c r="B33" s="34" t="inlineStr">
        <is>
          <t>ข้อใดไม่เกี่ยวกับการควบคุมคุณภาพ ยาเม็ด norfloxacin</t>
        </is>
      </c>
      <c r="C33" s="35" t="n"/>
      <c r="D33" s="34" t="inlineStr">
        <is>
          <t>Content Uniformity</t>
        </is>
      </c>
      <c r="E33" s="34" t="inlineStr">
        <is>
          <t>Dissolution test</t>
        </is>
      </c>
      <c r="F33" s="34" t="inlineStr">
        <is>
          <t>Disintegration</t>
        </is>
      </c>
      <c r="G33" s="34" t="inlineStr">
        <is>
          <t>Weight Variation</t>
        </is>
      </c>
      <c r="H33" s="34" t="inlineStr">
        <is>
          <t>Limulus Amoebocyte Lysate test</t>
        </is>
      </c>
      <c r="I33" s="35" t="n">
        <v>5</v>
      </c>
      <c r="J33" s="34"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35" t="n"/>
      <c r="L33" s="34" t="inlineStr">
        <is>
          <t>Tablet Manufacturing</t>
        </is>
      </c>
      <c r="M33" s="35" t="inlineStr">
        <is>
          <t>Product</t>
        </is>
      </c>
      <c r="N33" s="34" t="inlineStr">
        <is>
          <t>ข้อ 153 Pharma Plus เล่มม่วง (เฉลยข้อ จ)</t>
        </is>
      </c>
      <c r="O33" s="35" t="inlineStr">
        <is>
          <t>Mock</t>
        </is>
      </c>
      <c r="P33" s="35" t="inlineStr">
        <is>
          <t>Pharma Plus เล่มม่วง</t>
        </is>
      </c>
    </row>
    <row r="34" ht="13.2" customHeight="1" s="49">
      <c r="A34" s="35" t="n">
        <v>32</v>
      </c>
      <c r="B34" s="34"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35" t="n"/>
      <c r="D34" s="34" t="inlineStr">
        <is>
          <t>Sodium alginate, bentonite, methylcellulose</t>
        </is>
      </c>
      <c r="E34" s="34" t="inlineStr">
        <is>
          <t>Tragacanth, carbomer, methylcellulose</t>
        </is>
      </c>
      <c r="F34" s="34" t="inlineStr">
        <is>
          <t>Carbomer, methylcellulose, hydroxypropyl cellulose</t>
        </is>
      </c>
      <c r="G34" s="34" t="inlineStr">
        <is>
          <t>Pectin, guar gum, carbomer</t>
        </is>
      </c>
      <c r="H34" s="34" t="inlineStr">
        <is>
          <t>Tragacanth, carboxymethylcellulose, carbomer</t>
        </is>
      </c>
      <c r="I34" s="35" t="n">
        <v>5</v>
      </c>
      <c r="J34" s="34"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35" t="n"/>
      <c r="L34" s="34" t="inlineStr">
        <is>
          <t>Tablet Manufacturing</t>
        </is>
      </c>
      <c r="M34" s="35" t="inlineStr">
        <is>
          <t>Product</t>
        </is>
      </c>
      <c r="N34" s="34" t="inlineStr">
        <is>
          <t>ข้อ 155 Pharma Plus เล่มม่วง (เฉลยข้อ จ)</t>
        </is>
      </c>
      <c r="O34" s="35" t="inlineStr">
        <is>
          <t>Mock</t>
        </is>
      </c>
      <c r="P34" s="35" t="inlineStr">
        <is>
          <t>Pharma Plus เล่มม่วง</t>
        </is>
      </c>
    </row>
    <row r="35" ht="13.2" customHeight="1" s="49">
      <c r="A35" s="35" t="n">
        <v>33</v>
      </c>
      <c r="B35" s="34" t="inlineStr">
        <is>
          <t>สาร polymer ตัวใดนิยมใช้ในการทำ film coat tablet</t>
        </is>
      </c>
      <c r="C35" s="35" t="n"/>
      <c r="D35" s="34" t="inlineStr">
        <is>
          <t>HPMC</t>
        </is>
      </c>
      <c r="E35" s="34" t="inlineStr">
        <is>
          <t>CMC</t>
        </is>
      </c>
      <c r="F35" s="34" t="inlineStr">
        <is>
          <t>Polymeric methacrylates</t>
        </is>
      </c>
      <c r="G35" s="34" t="inlineStr">
        <is>
          <t>Carbopol</t>
        </is>
      </c>
      <c r="H35" s="34" t="inlineStr">
        <is>
          <t>Veegum</t>
        </is>
      </c>
      <c r="I35" s="35" t="n">
        <v>1</v>
      </c>
      <c r="J35" s="34"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35" t="n"/>
      <c r="L35" s="34" t="inlineStr">
        <is>
          <t>Tablet Coating</t>
        </is>
      </c>
      <c r="M35" s="35" t="inlineStr">
        <is>
          <t>Product</t>
        </is>
      </c>
      <c r="N35" s="34" t="inlineStr">
        <is>
          <t>ข้อ 163 Pharma Plus เล่มม่วง (เฉลยข้อ ก)</t>
        </is>
      </c>
      <c r="O35" s="35" t="inlineStr">
        <is>
          <t>Mock</t>
        </is>
      </c>
      <c r="P35" s="35" t="inlineStr">
        <is>
          <t>Pharma Plus เล่มม่วง</t>
        </is>
      </c>
    </row>
    <row r="36" ht="13.2" customHeight="1" s="49">
      <c r="A36" s="35" t="n">
        <v>34</v>
      </c>
      <c r="B36" s="34" t="inlineStr">
        <is>
          <t>ข้อใดกล่าวผิดเกี่ยวกับยารูปแบบเม็ด</t>
        </is>
      </c>
      <c r="C36" s="35" t="n"/>
      <c r="D36" s="34" t="inlineStr">
        <is>
          <t>การเตรียมยา solution ทำได้โดยการใช้ตัวทำละลายร่วมที่เป็น organic solvent เพื่อช่วยละลาย</t>
        </is>
      </c>
      <c r="E36" s="34" t="inlineStr">
        <is>
          <t>ยารูปแบบ solution มักมีค่าความต้านทานการไหลและแรงตึงผิวภายในสารละลายใกล้เคียงกับน้ำ</t>
        </is>
      </c>
      <c r="F36" s="34" t="inlineStr">
        <is>
          <t>Suspension ใช้เป็นยาฉีดเข้าหลอดเลือดได้ ถ้าขนาดอนุภาคเล็กมากๆ</t>
        </is>
      </c>
      <c r="G36" s="34" t="inlineStr">
        <is>
          <t>Emulsion ใช้เป็นอาหารทางหลอดเลือดดำได้แต่ควรเป็นการเตรียมใหม่ๆ</t>
        </is>
      </c>
      <c r="H36" s="34" t="inlineStr">
        <is>
          <t>การลดความเจ็บปวดเมื่อฉีดทำได้โดยเติมสารบางชนิดเช่น buffer</t>
        </is>
      </c>
      <c r="I36" s="35" t="n">
        <v>1</v>
      </c>
      <c r="J36" s="34"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35" t="n"/>
      <c r="L36" s="34" t="inlineStr">
        <is>
          <t>Tablet Manufacturing</t>
        </is>
      </c>
      <c r="M36" s="35" t="inlineStr">
        <is>
          <t>Product</t>
        </is>
      </c>
      <c r="N36" s="34" t="inlineStr">
        <is>
          <t>ข้อ 164 Pharma Plus เล่มม่วง (เฉลยข้อ ไมมีคำตอบ)</t>
        </is>
      </c>
      <c r="O36" s="35" t="inlineStr">
        <is>
          <t>Mock</t>
        </is>
      </c>
      <c r="P36" s="35" t="inlineStr">
        <is>
          <t>Pharma Plus เล่มม่วง</t>
        </is>
      </c>
    </row>
    <row r="37" ht="13.2" customHeight="1" s="49">
      <c r="A37" s="35" t="n">
        <v>35</v>
      </c>
      <c r="B37" s="34" t="inlineStr">
        <is>
          <t>ข้อใดถูกต้องที่สุดเกี่ยวกับ tonicity ของยาฉีด</t>
        </is>
      </c>
      <c r="C37" s="35" t="n"/>
      <c r="D37" s="34" t="inlineStr">
        <is>
          <t>จัดเป็น colligative property</t>
        </is>
      </c>
      <c r="E37" s="34" t="inlineStr">
        <is>
          <t>สามารถปรับได้โดยเติมสารบางชนิด เช่น phosphate acetate ซึ่งนิยมมาก</t>
        </is>
      </c>
      <c r="F37" s="34" t="inlineStr">
        <is>
          <t>การฉีด hypertonic solution ก่อให้เกิด cell lysis ได้</t>
        </is>
      </c>
      <c r="G37" s="34" t="inlineStr">
        <is>
          <t>การฉีดยา isotonic ต่อระบบเลือด มักเป็น isotonic ต่อเนื้อเยื่ออื่นด้วย</t>
        </is>
      </c>
      <c r="H37" s="34" t="inlineStr">
        <is>
          <t>Normal saline เป็นทั้ง isotonic และ iso-osmotic</t>
        </is>
      </c>
      <c r="I37" s="35" t="n">
        <v>5</v>
      </c>
      <c r="J37" s="34"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35" t="n"/>
      <c r="L37" s="34" t="inlineStr">
        <is>
          <t>Tablet Manufacturing</t>
        </is>
      </c>
      <c r="M37" s="35" t="inlineStr">
        <is>
          <t>Product</t>
        </is>
      </c>
      <c r="N37" s="34" t="inlineStr">
        <is>
          <t>ข้อ 165 Pharma Plus เล่มม่วง (เฉลยข้อ จ)</t>
        </is>
      </c>
      <c r="O37" s="35" t="inlineStr">
        <is>
          <t>Mock</t>
        </is>
      </c>
      <c r="P37" s="35" t="inlineStr">
        <is>
          <t>Pharma Plus เล่มม่วง</t>
        </is>
      </c>
    </row>
    <row r="38" ht="13.2" customHeight="1" s="49">
      <c r="A38" s="35" t="n">
        <v>36</v>
      </c>
      <c r="B38" s="34"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35" t="n"/>
      <c r="D38" s="34" t="inlineStr">
        <is>
          <t>Spray dried lactose</t>
        </is>
      </c>
      <c r="E38" s="34" t="inlineStr">
        <is>
          <t>Microcrystalline cellulose</t>
        </is>
      </c>
      <c r="F38" s="34" t="inlineStr">
        <is>
          <t>Tapioca starch</t>
        </is>
      </c>
      <c r="G38" s="34" t="inlineStr">
        <is>
          <t>Dibasic calcium phosphate</t>
        </is>
      </c>
      <c r="H38" s="34" t="inlineStr">
        <is>
          <t>Mannitol</t>
        </is>
      </c>
      <c r="I38" s="35" t="n">
        <v>1</v>
      </c>
      <c r="J38" s="34"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35" t="n"/>
      <c r="L38" s="34" t="inlineStr">
        <is>
          <t>Hard &amp; Soft Gelatin Capsules</t>
        </is>
      </c>
      <c r="M38" s="35" t="inlineStr">
        <is>
          <t>Product</t>
        </is>
      </c>
      <c r="N38" s="34" t="inlineStr">
        <is>
          <t>ข้อ 166 Pharma Plus เล่มม่วง (เฉลยข้อ ก)</t>
        </is>
      </c>
      <c r="O38" s="35" t="inlineStr">
        <is>
          <t>Mock</t>
        </is>
      </c>
      <c r="P38" s="35" t="inlineStr">
        <is>
          <t>Pharma Plus เล่มม่วง</t>
        </is>
      </c>
    </row>
    <row r="39" ht="13.2" customHeight="1" s="49">
      <c r="A39" s="35" t="n">
        <v>37</v>
      </c>
      <c r="B39" s="34"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35" t="n"/>
      <c r="D39" s="34" t="inlineStr">
        <is>
          <t>ผงยามีการกระจายขนาดอนุภาคในช่วงแคบ</t>
        </is>
      </c>
      <c r="E39" s="34" t="inlineStr">
        <is>
          <t>ผงยามีค่า angle of repose ต่ำ</t>
        </is>
      </c>
      <c r="F39" s="34" t="inlineStr">
        <is>
          <t>สารเจือจางมีความหนาแน่นใกล้เคียงตัวยาสำคัญ</t>
        </is>
      </c>
      <c r="G39" s="34" t="inlineStr">
        <is>
          <t>ปริมาณของตัวยาและสารช่วยรวมกัน ควรบรรจุขอบ body ของเปลือก capsule ได้เต็มหรือเกือบเต็ม</t>
        </is>
      </c>
      <c r="H39" s="34" t="inlineStr">
        <is>
          <t>สารช่วยการไหลที่ใช้มีคุณสมบัติเป็น true lubricant มากกว่า glidant</t>
        </is>
      </c>
      <c r="I39" s="35" t="n">
        <v>5</v>
      </c>
      <c r="J39" s="34"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35" t="n"/>
      <c r="L39" s="34" t="inlineStr">
        <is>
          <t>Hard &amp; Soft Gelatin Capsules</t>
        </is>
      </c>
      <c r="M39" s="35" t="inlineStr">
        <is>
          <t>Product</t>
        </is>
      </c>
      <c r="N39" s="34" t="inlineStr">
        <is>
          <t>ข้อ 167 Pharma Plus เล่มม่วง (เฉลยข้อ จ)</t>
        </is>
      </c>
      <c r="O39" s="35" t="inlineStr">
        <is>
          <t>Mock</t>
        </is>
      </c>
      <c r="P39" s="35" t="inlineStr">
        <is>
          <t>Pharma Plus เล่มม่วง</t>
        </is>
      </c>
    </row>
    <row r="40" ht="13.2" customHeight="1" s="49">
      <c r="A40" s="35" t="n">
        <v>38</v>
      </c>
      <c r="B40" s="34"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35" t="n"/>
      <c r="D40" s="34" t="inlineStr">
        <is>
          <t>ผ่านการทดสอบใน S1 ทั้งหกเม็ด</t>
        </is>
      </c>
      <c r="E40" s="34" t="inlineStr">
        <is>
          <t>มี 3 เม็ดไม่ผ่านการทดสอบใน S1</t>
        </is>
      </c>
      <c r="F40" s="34" t="inlineStr">
        <is>
          <t>มี 1 เม็ดไม่ผ่านการทดสอบใน S1</t>
        </is>
      </c>
      <c r="G40" s="34" t="inlineStr">
        <is>
          <t>ต้องทำการทดสอบเพิ่มอีก 12 เม็ด</t>
        </is>
      </c>
      <c r="H40" s="34" t="inlineStr">
        <is>
          <t>มี 4 เม็ดไม่ผ่านการทดสอบ</t>
        </is>
      </c>
      <c r="I40" s="35" t="n">
        <v>1</v>
      </c>
      <c r="J40" s="34"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35" t="n"/>
      <c r="L40" s="34" t="inlineStr">
        <is>
          <t>Tablet Manufacturing</t>
        </is>
      </c>
      <c r="M40" s="35" t="inlineStr">
        <is>
          <t>Product</t>
        </is>
      </c>
      <c r="N40" s="34" t="inlineStr">
        <is>
          <t>ข้อ 180 Pharma Plus เล่มม่วง (เฉลยข้อ )</t>
        </is>
      </c>
      <c r="O40" s="35" t="inlineStr">
        <is>
          <t>Mock</t>
        </is>
      </c>
      <c r="P40" s="35" t="inlineStr">
        <is>
          <t>Pharma Plus เล่มม่วง</t>
        </is>
      </c>
    </row>
    <row r="41" ht="13.2" customHeight="1" s="49">
      <c r="A41" s="35" t="n">
        <v>39</v>
      </c>
      <c r="B41" s="34" t="inlineStr">
        <is>
          <t>ยาของบริษัทใดมีความสามารถในการละลายน้ำที่ดีกว่ากัน</t>
        </is>
      </c>
      <c r="C41" s="35" t="n"/>
      <c r="D41" s="34" t="inlineStr">
        <is>
          <t>ยาของบริษัท A ละลายน้ำได้ดีกว่า บริษัท B เนื่องจากมี lactose ทำให้ละลายน้ำได้ดีกว่า</t>
        </is>
      </c>
      <c r="E41" s="34" t="inlineStr">
        <is>
          <t>ยาของบริษัท A ละลายน้ำได้ดีกว่า บริษัท B เนื่องจากมีปริมาณ magnesium stearate มากกว่า</t>
        </is>
      </c>
      <c r="F41" s="34" t="inlineStr">
        <is>
          <t>ยาของบริษัท B ละลายน้ำได้ดีกว่า บริษัท A เนื่องจากมี microcrystalline cellulose ช่วยในการละลาย</t>
        </is>
      </c>
      <c r="G41" s="34" t="inlineStr">
        <is>
          <t>ยาของบริษัท B ละลายน้ำได้ดีกว่า บริษัท A เนื่องจากมี sodium lauryl sulfate เป็น wetting agent</t>
        </is>
      </c>
      <c r="H41" s="34" t="inlineStr">
        <is>
          <t>ยาของบริษัท A และ B ละลายน้ำได้เท่ากันเนื่องจากยา allopurinol มีคุณสมบัติละลายน้ำได้น้อยอยู่แล้ว</t>
        </is>
      </c>
      <c r="I41" s="35" t="n">
        <v>1</v>
      </c>
      <c r="J41" s="34"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35" t="n"/>
      <c r="L41" s="34" t="inlineStr">
        <is>
          <t>Tablet Manufacturing</t>
        </is>
      </c>
      <c r="M41" s="35" t="inlineStr">
        <is>
          <t>Product</t>
        </is>
      </c>
      <c r="N41" s="34" t="inlineStr">
        <is>
          <t>ข้อ 181 Pharma Plus เล่มม่วง (เฉลยข้อ )</t>
        </is>
      </c>
      <c r="O41" s="35" t="inlineStr">
        <is>
          <t>Mock</t>
        </is>
      </c>
      <c r="P41" s="35" t="inlineStr">
        <is>
          <t>Pharma Plus เล่มม่วง</t>
        </is>
      </c>
    </row>
    <row r="42" ht="13.2" customHeight="1" s="49">
      <c r="A42" s="35" t="n">
        <v>40</v>
      </c>
      <c r="B42" s="34" t="inlineStr">
        <is>
          <t>ยาเม็ดคุมกำเนิด ไม่ต้องทำการทดสอบตัวข้อใด (ตามมาตรฐานของ USP)</t>
        </is>
      </c>
      <c r="C42" s="35" t="n"/>
      <c r="D42" s="34" t="inlineStr">
        <is>
          <t>Dissolution</t>
        </is>
      </c>
      <c r="E42" s="34" t="inlineStr">
        <is>
          <t>Hardness</t>
        </is>
      </c>
      <c r="F42" s="34" t="inlineStr">
        <is>
          <t>Disintegration</t>
        </is>
      </c>
      <c r="G42" s="34" t="inlineStr">
        <is>
          <t>Content of Uniformity</t>
        </is>
      </c>
      <c r="H42" s="34" t="inlineStr">
        <is>
          <t>Percent labeled amount</t>
        </is>
      </c>
      <c r="I42" s="35" t="n">
        <v>2</v>
      </c>
      <c r="J42" s="34"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35" t="n"/>
      <c r="L42" s="34" t="inlineStr">
        <is>
          <t>Tablet Manufacturing</t>
        </is>
      </c>
      <c r="M42" s="35" t="inlineStr">
        <is>
          <t>Product</t>
        </is>
      </c>
      <c r="N42" s="34" t="inlineStr">
        <is>
          <t>ข้อ 182 Pharma Plus เล่มม่วง (เฉลยข้อ ข)</t>
        </is>
      </c>
      <c r="O42" s="35" t="inlineStr">
        <is>
          <t>Mock</t>
        </is>
      </c>
      <c r="P42" s="35" t="inlineStr">
        <is>
          <t>Pharma Plus เล่มม่วง</t>
        </is>
      </c>
    </row>
    <row r="43" ht="13.2" customHeight="1" s="49">
      <c r="A43" s="35" t="n">
        <v>41</v>
      </c>
      <c r="B43" s="34" t="inlineStr">
        <is>
          <t>ข้อใดผิดเกี่ยวกับการเตรียมยาเม็ดด้วยวิธีตอกอัดโดยตรง</t>
        </is>
      </c>
      <c r="C43" s="35" t="n"/>
      <c r="D43" s="34" t="inlineStr">
        <is>
          <t>เป็นวิธีที่สะดวกรวดเร็ว</t>
        </is>
      </c>
      <c r="E43" s="34" t="inlineStr">
        <is>
          <t>ไม่ใช้น้ำและความร้อนในการตอก</t>
        </is>
      </c>
      <c r="F43" s="34" t="inlineStr">
        <is>
          <t>ยาเม็ดที่ได้มีการกระจายของสีที่สม่ำเสมอกว่าการทำแกรนูลเปียก</t>
        </is>
      </c>
      <c r="G43" s="34" t="inlineStr">
        <is>
          <t>ยาที่ตอกควรมีคุณสมบัติในการไหลและยึดเกาะกันได้ดี</t>
        </is>
      </c>
      <c r="H43" s="34" t="inlineStr">
        <is>
          <t>สารช่วยควรไหลได้ดีและตอกอัดได้</t>
        </is>
      </c>
      <c r="I43" s="35" t="n">
        <v>3</v>
      </c>
      <c r="J43" s="34"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35" t="n"/>
      <c r="L43" s="34" t="inlineStr">
        <is>
          <t>Tablet Manufacturing</t>
        </is>
      </c>
      <c r="M43" s="35" t="inlineStr">
        <is>
          <t>Product</t>
        </is>
      </c>
      <c r="N43" s="34" t="inlineStr">
        <is>
          <t>ข้อ 183 Pharma Plus เล่มม่วง (เฉลยข้อ ค)</t>
        </is>
      </c>
      <c r="O43" s="35" t="inlineStr">
        <is>
          <t>Mock</t>
        </is>
      </c>
      <c r="P43" s="35" t="inlineStr">
        <is>
          <t>Pharma Plus เล่มม่วง</t>
        </is>
      </c>
    </row>
    <row r="44" ht="13.2" customHeight="1" s="49">
      <c r="A44" s="35" t="n">
        <v>42</v>
      </c>
      <c r="B44" s="34"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35" t="n"/>
      <c r="D44" s="34" t="inlineStr">
        <is>
          <t>Cosolvency</t>
        </is>
      </c>
      <c r="E44" s="34" t="inlineStr">
        <is>
          <t>Complexation</t>
        </is>
      </c>
      <c r="F44" s="34" t="inlineStr">
        <is>
          <t>Micelle</t>
        </is>
      </c>
      <c r="G44" s="34" t="inlineStr">
        <is>
          <t>Liposome</t>
        </is>
      </c>
      <c r="H44" s="34" t="inlineStr">
        <is>
          <t>Crystallization</t>
        </is>
      </c>
      <c r="I44" s="35" t="n">
        <v>1</v>
      </c>
      <c r="J44" s="34"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35" t="n"/>
      <c r="L44" s="34" t="inlineStr">
        <is>
          <t>Tablet Manufacturing</t>
        </is>
      </c>
      <c r="M44" s="35" t="inlineStr">
        <is>
          <t>Product</t>
        </is>
      </c>
      <c r="N44" s="34" t="inlineStr">
        <is>
          <t>ข้อ 184 Pharma Plus เล่มม่วง (เฉลยข้อ ก)</t>
        </is>
      </c>
      <c r="O44" s="35" t="inlineStr">
        <is>
          <t>Mock</t>
        </is>
      </c>
      <c r="P44" s="35" t="inlineStr">
        <is>
          <t>Pharma Plus เล่มม่วง</t>
        </is>
      </c>
    </row>
    <row r="45" ht="13.2" customHeight="1" s="49">
      <c r="A45" s="35" t="n">
        <v>43</v>
      </c>
      <c r="B45" s="34"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35" t="n"/>
      <c r="D45" s="34" t="inlineStr">
        <is>
          <t>Cosolvency</t>
        </is>
      </c>
      <c r="E45" s="34" t="inlineStr">
        <is>
          <t>pH adjustment</t>
        </is>
      </c>
      <c r="F45" s="34" t="inlineStr">
        <is>
          <t>Complexation</t>
        </is>
      </c>
      <c r="G45" s="34" t="inlineStr">
        <is>
          <t>Prodrug formation</t>
        </is>
      </c>
      <c r="H45" s="34" t="inlineStr">
        <is>
          <t>Micelle solubilization</t>
        </is>
      </c>
      <c r="I45" s="35" t="n">
        <v>1</v>
      </c>
      <c r="J45" s="34"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35" t="n"/>
      <c r="L45" s="34" t="inlineStr">
        <is>
          <t>Tablet Manufacturing</t>
        </is>
      </c>
      <c r="M45" s="35" t="inlineStr">
        <is>
          <t>Product</t>
        </is>
      </c>
      <c r="N45" s="34" t="inlineStr">
        <is>
          <t>ข้อ 185 Pharma Plus เล่มม่วง (เฉลยข้อ ก)</t>
        </is>
      </c>
      <c r="O45" s="35" t="inlineStr">
        <is>
          <t>Mock</t>
        </is>
      </c>
      <c r="P45" s="35" t="inlineStr">
        <is>
          <t>Pharma Plus เล่มม่วง</t>
        </is>
      </c>
    </row>
    <row r="46" ht="13.2" customHeight="1" s="49">
      <c r="A46" s="35" t="n">
        <v>44</v>
      </c>
      <c r="B46" s="34"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35" t="n"/>
      <c r="D46" s="34" t="inlineStr">
        <is>
          <t>Caking</t>
        </is>
      </c>
      <c r="E46" s="34" t="inlineStr">
        <is>
          <t>Cracking</t>
        </is>
      </c>
      <c r="F46" s="34" t="inlineStr">
        <is>
          <t>Bleeding</t>
        </is>
      </c>
      <c r="G46" s="34" t="inlineStr">
        <is>
          <t>Creaming</t>
        </is>
      </c>
      <c r="H46" s="34" t="inlineStr">
        <is>
          <t>Phase inversion</t>
        </is>
      </c>
      <c r="I46" s="35" t="n">
        <v>2</v>
      </c>
      <c r="J46" s="34"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35" t="n"/>
      <c r="L46" s="34" t="inlineStr">
        <is>
          <t>Tablet Manufacturing</t>
        </is>
      </c>
      <c r="M46" s="35" t="inlineStr">
        <is>
          <t>Product</t>
        </is>
      </c>
      <c r="N46" s="34" t="inlineStr">
        <is>
          <t>ข้อ 186 Pharma Plus เล่มม่วง (เฉลยข้อ ข)</t>
        </is>
      </c>
      <c r="O46" s="35" t="inlineStr">
        <is>
          <t>Mock</t>
        </is>
      </c>
      <c r="P46" s="35" t="inlineStr">
        <is>
          <t>Pharma Plus เล่มม่วง</t>
        </is>
      </c>
    </row>
    <row r="47" ht="13.2" customHeight="1" s="49">
      <c r="A47" s="35" t="n">
        <v>45</v>
      </c>
      <c r="B47" s="34" t="inlineStr">
        <is>
          <t>มีสูตรตำรับโลชั่นพริก เกิดแยกตัว เขย่าไม่กลับคืนเกิดจากสาเหตุใดได้</t>
        </is>
      </c>
      <c r="C47" s="35" t="n"/>
      <c r="D47" s="34" t="inlineStr">
        <is>
          <t>เฟสน้ำมันมีมากไป</t>
        </is>
      </c>
      <c r="E47" s="34" t="inlineStr">
        <is>
          <t>สัดส่วนระหว่างวัดภาคน้ำและน้ำมันต่างกันมาก</t>
        </is>
      </c>
      <c r="F47" s="34" t="inlineStr">
        <is>
          <t>ไม่มี emulsifier</t>
        </is>
      </c>
      <c r="G47" s="34" t="inlineStr">
        <is>
          <t>Emulsifier ไม่เพียงพอ</t>
        </is>
      </c>
      <c r="H47" s="34" t="inlineStr">
        <is>
          <t>ความหนาแน่นเฟสน้ำกับน้ำมันมีความแตกต่างกันมาก</t>
        </is>
      </c>
      <c r="I47" s="35" t="n">
        <v>4</v>
      </c>
      <c r="J47" s="34"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35" t="n"/>
      <c r="L47" s="34" t="inlineStr">
        <is>
          <t>Tablet Manufacturing</t>
        </is>
      </c>
      <c r="M47" s="35" t="inlineStr">
        <is>
          <t>Product</t>
        </is>
      </c>
      <c r="N47" s="34" t="inlineStr">
        <is>
          <t>ข้อ 187 Pharma Plus เล่มม่วง (เฉลยข้อ ง)</t>
        </is>
      </c>
      <c r="O47" s="35" t="inlineStr">
        <is>
          <t>Mock</t>
        </is>
      </c>
      <c r="P47" s="35" t="inlineStr">
        <is>
          <t>Pharma Plus เล่มม่วง</t>
        </is>
      </c>
    </row>
    <row r="48" ht="13.2" customHeight="1" s="49">
      <c r="A48" s="35" t="n">
        <v>46</v>
      </c>
      <c r="B48" s="34" t="inlineStr">
        <is>
          <t>ถ้าจะเตรียมยาเพื่อให้ไม่ผ่านกระบวนการ metabolite ที่ตับ เราควรจะเตรียมในรูปแบบใด</t>
        </is>
      </c>
      <c r="C48" s="35" t="n"/>
      <c r="D48" s="34" t="inlineStr">
        <is>
          <t>Film coated tablets</t>
        </is>
      </c>
      <c r="E48" s="34" t="inlineStr">
        <is>
          <t>Enteric coated tablets</t>
        </is>
      </c>
      <c r="F48" s="34" t="inlineStr">
        <is>
          <t>Osmotic pump tablets</t>
        </is>
      </c>
      <c r="G48" s="34" t="inlineStr">
        <is>
          <t>Matrix tablets</t>
        </is>
      </c>
      <c r="H48" s="34" t="inlineStr">
        <is>
          <t>Rectal suppositories</t>
        </is>
      </c>
      <c r="I48" s="35" t="n">
        <v>4</v>
      </c>
      <c r="J48" s="34"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35" t="n"/>
      <c r="L48" s="34" t="inlineStr">
        <is>
          <t>Tablet Manufacturing</t>
        </is>
      </c>
      <c r="M48" s="35" t="inlineStr">
        <is>
          <t>Product</t>
        </is>
      </c>
      <c r="N48" s="34" t="inlineStr">
        <is>
          <t>ข้อ 188 Pharma Plus เล่มม่วง (เฉลยข้อ ง)</t>
        </is>
      </c>
      <c r="O48" s="35" t="inlineStr">
        <is>
          <t>Mock</t>
        </is>
      </c>
      <c r="P48" s="35" t="inlineStr">
        <is>
          <t>Pharma Plus เล่มม่วง</t>
        </is>
      </c>
    </row>
    <row r="49" ht="13.2" customHeight="1" s="49">
      <c r="A49" s="35" t="n">
        <v>47</v>
      </c>
      <c r="B49" s="34" t="inlineStr">
        <is>
          <t>ระบบควบคุมการปลดปล่อยยาแบบใดสามารถหักแบ่งครึ่งเม็ดได้</t>
        </is>
      </c>
      <c r="C49" s="35" t="n"/>
      <c r="D49" s="34" t="inlineStr">
        <is>
          <t>Enteric coated</t>
        </is>
      </c>
      <c r="E49" s="34" t="inlineStr">
        <is>
          <t>Reservoir</t>
        </is>
      </c>
      <c r="F49" s="34" t="inlineStr">
        <is>
          <t>Osmotic control</t>
        </is>
      </c>
      <c r="G49" s="34" t="inlineStr">
        <is>
          <t>Matrix control</t>
        </is>
      </c>
      <c r="H49" s="34" t="inlineStr">
        <is>
          <t>Film diffuse control</t>
        </is>
      </c>
      <c r="I49" s="35" t="n">
        <v>5</v>
      </c>
      <c r="J49" s="34"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35" t="n"/>
      <c r="L49" s="34" t="inlineStr">
        <is>
          <t>Tablet Manufacturing</t>
        </is>
      </c>
      <c r="M49" s="35" t="inlineStr">
        <is>
          <t>Product</t>
        </is>
      </c>
      <c r="N49" s="34" t="inlineStr">
        <is>
          <t>ข้อ 189 Pharma Plus เล่มม่วง (เฉลยข้อ จ)</t>
        </is>
      </c>
      <c r="O49" s="35" t="inlineStr">
        <is>
          <t>Mock</t>
        </is>
      </c>
      <c r="P49" s="35" t="inlineStr">
        <is>
          <t>Pharma Plus เล่มม่วง</t>
        </is>
      </c>
    </row>
    <row r="50" ht="13.2" customHeight="1" s="49">
      <c r="A50" s="35" t="n">
        <v>48</v>
      </c>
      <c r="B50" s="34"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35" t="n"/>
      <c r="D50" s="34" t="inlineStr">
        <is>
          <t>Titanium dioxide เป็น binder</t>
        </is>
      </c>
      <c r="E50" s="34" t="inlineStr">
        <is>
          <t>Microcrystalline cellulose เป็น filler</t>
        </is>
      </c>
      <c r="F50" s="34" t="inlineStr">
        <is>
          <t>Sodium starch glycolate เป็น superdisintegrant</t>
        </is>
      </c>
      <c r="G50" s="34" t="inlineStr">
        <is>
          <t>Magnesium stearate เป็น glidant</t>
        </is>
      </c>
      <c r="H50" s="34" t="inlineStr">
        <is>
          <t>Corn starch เป็น disintegrant</t>
        </is>
      </c>
      <c r="I50" s="35" t="n">
        <v>5</v>
      </c>
      <c r="J50" s="34"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35" t="n"/>
      <c r="L50" s="34" t="inlineStr">
        <is>
          <t>Powders &amp; Granules</t>
        </is>
      </c>
      <c r="M50" s="35" t="inlineStr">
        <is>
          <t>Product</t>
        </is>
      </c>
      <c r="N50" s="34" t="inlineStr">
        <is>
          <t>ข้อ 190 Pharma Plus เล่มม่วง (เฉลยข้อ จ)</t>
        </is>
      </c>
      <c r="O50" s="35" t="inlineStr">
        <is>
          <t>Mock</t>
        </is>
      </c>
      <c r="P50" s="35" t="inlineStr">
        <is>
          <t>Pharma Plus เล่มม่วง</t>
        </is>
      </c>
    </row>
    <row r="51" ht="13.2" customHeight="1" s="49">
      <c r="A51" s="35" t="n">
        <v>49</v>
      </c>
      <c r="B51" s="34" t="inlineStr">
        <is>
          <t>ยาทาสิว Benzoyl peroxide gel 5% มีส่วนประกอบดังนี้ Carbomer 940, Hydroxypropylmethylcellulose, Tween 20, Ethanol, Glycerin, Triethanolamine, Triclosan, Purified water
ข้อใดต่อไปนี้ถูกต้อง</t>
        </is>
      </c>
      <c r="C51" s="35" t="n"/>
      <c r="D51" s="34" t="inlineStr">
        <is>
          <t>มีสารก่อเจล 2 ชนิด</t>
        </is>
      </c>
      <c r="E51" s="34" t="inlineStr">
        <is>
          <t>Carbopol ละลายในน้ำเดือด แล้วเติมน้ำเย็นละลายทันที</t>
        </is>
      </c>
      <c r="F51" s="34" t="inlineStr">
        <is>
          <t>Triclosan ช่วยให้เจลแข็งตัวจากการปรับ pH</t>
        </is>
      </c>
      <c r="G51" s="34" t="inlineStr">
        <is>
          <t>Triethanolamine เป็น preservative ของตำรับ</t>
        </is>
      </c>
      <c r="H51" s="34" t="inlineStr">
        <is>
          <t>Carbopol ละลายได้ดีใน alcohol</t>
        </is>
      </c>
      <c r="I51" s="35" t="n">
        <v>4</v>
      </c>
      <c r="J51" s="34"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35" t="n"/>
      <c r="L51" s="34" t="inlineStr">
        <is>
          <t>Tablet Manufacturing</t>
        </is>
      </c>
      <c r="M51" s="35" t="inlineStr">
        <is>
          <t>Product</t>
        </is>
      </c>
      <c r="N51" s="34" t="inlineStr">
        <is>
          <t>ข้อ 191 Pharma Plus เล่มม่วง (เฉลยข้อ ง)</t>
        </is>
      </c>
      <c r="O51" s="35" t="inlineStr">
        <is>
          <t>Mock</t>
        </is>
      </c>
      <c r="P51" s="35" t="inlineStr">
        <is>
          <t>Pharma Plus เล่มม่วง</t>
        </is>
      </c>
    </row>
    <row r="52" ht="13.2" customHeight="1" s="49">
      <c r="A52" s="35" t="n">
        <v>50</v>
      </c>
      <c r="B52" s="34" t="inlineStr">
        <is>
          <t>โจทย์ให้สูตรตำรับของ tetracycline capsule มา ได้แก่ lactose, magnesium stearate ... (โจทย์ไม่ครบ) ตำรับ tetracycline capsule
ข้อใดถูกต้อง</t>
        </is>
      </c>
      <c r="C52" s="35" t="n"/>
      <c r="D52" s="34" t="inlineStr">
        <is>
          <t>เหมาะจะเตรียมเป็น soft gelatin capsule</t>
        </is>
      </c>
      <c r="E52" s="34" t="inlineStr">
        <is>
          <t>Capsule เบอร์ 000 เล็กสุด เบอร์ 5 ใหญ่สุด</t>
        </is>
      </c>
      <c r="F52" s="34" t="inlineStr">
        <is>
          <t>Lactose เพิ่มความหวาน</t>
        </is>
      </c>
      <c r="G52" s="34" t="inlineStr">
        <is>
          <t>Magnesium stearate เพิ่มการแตกตัว</t>
        </is>
      </c>
      <c r="H52" s="34" t="inlineStr">
        <is>
          <t>Silicon dioxide เพิ่มการไหล</t>
        </is>
      </c>
      <c r="I52" s="35" t="n">
        <v>1</v>
      </c>
      <c r="J52" s="34"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35" t="n"/>
      <c r="L52" s="34" t="inlineStr">
        <is>
          <t>Hard &amp; Soft Gelatin Capsules</t>
        </is>
      </c>
      <c r="M52" s="35" t="inlineStr">
        <is>
          <t>Product</t>
        </is>
      </c>
      <c r="N52" s="34" t="inlineStr">
        <is>
          <t>ข้อ 192 Pharma Plus เล่มม่วง (เฉลยข้อ ก)</t>
        </is>
      </c>
      <c r="O52" s="35" t="inlineStr">
        <is>
          <t>Mock</t>
        </is>
      </c>
      <c r="P52" s="35" t="inlineStr">
        <is>
          <t>Pharma Plus เล่มม่วง</t>
        </is>
      </c>
    </row>
    <row r="53" ht="13.2" customHeight="1" s="49">
      <c r="A53" s="35" t="n">
        <v>51</v>
      </c>
      <c r="B53" s="34"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35" t="n"/>
      <c r="D53" s="34" t="inlineStr">
        <is>
          <t>Hydroxypropyl methyl cellulose</t>
        </is>
      </c>
      <c r="E53" s="34" t="inlineStr">
        <is>
          <t>Magnesium stearate</t>
        </is>
      </c>
      <c r="F53" s="34" t="inlineStr">
        <is>
          <t>Microcrystalline cellulose</t>
        </is>
      </c>
      <c r="G53" s="34" t="inlineStr">
        <is>
          <t>Colloidal silica</t>
        </is>
      </c>
      <c r="H53" s="34" t="inlineStr">
        <is>
          <t>Pre-gelatinized starch</t>
        </is>
      </c>
      <c r="I53" s="35" t="n">
        <v>5</v>
      </c>
      <c r="J53" s="34"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35" t="n"/>
      <c r="L53" s="34" t="inlineStr">
        <is>
          <t>Tablet Manufacturing</t>
        </is>
      </c>
      <c r="M53" s="35" t="inlineStr">
        <is>
          <t>Product</t>
        </is>
      </c>
      <c r="N53" s="34" t="inlineStr">
        <is>
          <t>ข้อ 193 Pharma Plus เล่มม่วง (เฉลยข้อ จ)</t>
        </is>
      </c>
      <c r="O53" s="35" t="inlineStr">
        <is>
          <t>Mock</t>
        </is>
      </c>
      <c r="P53" s="35" t="inlineStr">
        <is>
          <t>Pharma Plus เล่มม่วง</t>
        </is>
      </c>
    </row>
    <row r="54" ht="13.2" customHeight="1" s="49">
      <c r="A54" s="35" t="n">
        <v>52</v>
      </c>
      <c r="B54" s="34" t="inlineStr">
        <is>
          <t>ในการพิสูจน์ Bioequivalence ระหว่างยา 2 ตัว จะต้องคำนึงถึง parameter ใดบ้าง
ข้อใดต่อไปนี้ถูกต้อง</t>
        </is>
      </c>
      <c r="C54" s="35" t="n"/>
      <c r="D54" s="34" t="inlineStr">
        <is>
          <t>AUC0-inf และ Tmax</t>
        </is>
      </c>
      <c r="E54" s="34" t="inlineStr">
        <is>
          <t>AUC0-inf และ Cmax</t>
        </is>
      </c>
      <c r="F54" s="34" t="inlineStr">
        <is>
          <t>AUC0-inf และ Elimination half life</t>
        </is>
      </c>
      <c r="G54" s="34" t="inlineStr">
        <is>
          <t>Cmax และ Elimination half life</t>
        </is>
      </c>
      <c r="H54" s="34" t="inlineStr">
        <is>
          <t>Tmax และ Elimination half life</t>
        </is>
      </c>
      <c r="I54" s="35" t="n">
        <v>5</v>
      </c>
      <c r="J54" s="34"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35" t="n"/>
      <c r="L54" s="34" t="inlineStr">
        <is>
          <t>Tablet Manufacturing</t>
        </is>
      </c>
      <c r="M54" s="35" t="inlineStr">
        <is>
          <t>Product</t>
        </is>
      </c>
      <c r="N54" s="34" t="inlineStr">
        <is>
          <t>ข้อ 194 Pharma Plus เล่มม่วง (เฉลยข้อ จ)</t>
        </is>
      </c>
      <c r="O54" s="35" t="inlineStr">
        <is>
          <t>Mock</t>
        </is>
      </c>
      <c r="P54" s="35" t="inlineStr">
        <is>
          <t>Pharma Plus เล่มม่วง</t>
        </is>
      </c>
    </row>
    <row r="55" ht="13.2" customHeight="1" s="49">
      <c r="A55" s="35" t="n">
        <v>53</v>
      </c>
      <c r="B55" s="34"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35" t="n"/>
      <c r="D55" s="34" t="inlineStr">
        <is>
          <t>Direct compression</t>
        </is>
      </c>
      <c r="E55" s="34" t="inlineStr">
        <is>
          <t>Extrusion and spheronization</t>
        </is>
      </c>
      <c r="F55" s="34" t="inlineStr">
        <is>
          <t>Rolling compaction</t>
        </is>
      </c>
      <c r="G55" s="34" t="inlineStr">
        <is>
          <t>Slugging</t>
        </is>
      </c>
      <c r="H55" s="34" t="inlineStr">
        <is>
          <t>Wet granulation</t>
        </is>
      </c>
      <c r="I55" s="35" t="inlineStr">
        <is>
          <t>5</t>
        </is>
      </c>
      <c r="J55" s="34"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35" t="n"/>
      <c r="L55" s="34" t="inlineStr">
        <is>
          <t>Tablet Manufacturing</t>
        </is>
      </c>
      <c r="M55" s="35" t="inlineStr">
        <is>
          <t>Product</t>
        </is>
      </c>
      <c r="N55" s="34" t="inlineStr">
        <is>
          <t>Mock PLE-CC 1 ข้อ 6</t>
        </is>
      </c>
      <c r="O55" s="35" t="inlineStr">
        <is>
          <t>Mock</t>
        </is>
      </c>
      <c r="P55" s="35" t="inlineStr">
        <is>
          <t>Mock RxCU83</t>
        </is>
      </c>
    </row>
    <row r="56" ht="13.2" customHeight="1" s="49">
      <c r="A56" s="35" t="n">
        <v>54</v>
      </c>
      <c r="B56" s="34" t="inlineStr">
        <is>
          <t>ข้อใดคือเหตุผลสำคัญที่สุดในการเลือกผลิตยา Ramipril ในรูปแบบแคปซูลเจลาตินแข็งแทนรูปแบบยาเม็ดทั่วไป</t>
        </is>
      </c>
      <c r="C56" s="35" t="n"/>
      <c r="D56" s="34" t="inlineStr">
        <is>
          <t>ป้องกันแสง</t>
        </is>
      </c>
      <c r="E56" s="34" t="inlineStr">
        <is>
          <t>ป้องกันความชื้น</t>
        </is>
      </c>
      <c r="F56" s="34" t="inlineStr">
        <is>
          <t>ลดความแปรปรวนของอัตราการละลาย</t>
        </is>
      </c>
      <c r="G56" s="34" t="inlineStr">
        <is>
          <t>แก้ปัญหาผงยาตอกอัดไม่ดี</t>
        </is>
      </c>
      <c r="H56" s="34" t="inlineStr">
        <is>
          <t>เพิ่มการออกฤทธิ์เนิ่นโดยไม่ต้องเคลือบ</t>
        </is>
      </c>
      <c r="I56" s="35" t="inlineStr">
        <is>
          <t>2</t>
        </is>
      </c>
      <c r="J56" s="34"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35" t="n"/>
      <c r="L56" s="34" t="inlineStr">
        <is>
          <t>Capsule Formulation</t>
        </is>
      </c>
      <c r="M56" s="35" t="inlineStr">
        <is>
          <t>Product</t>
        </is>
      </c>
      <c r="N56" s="34" t="inlineStr">
        <is>
          <t>Mock PLE-CC 1 ข้อ 19</t>
        </is>
      </c>
      <c r="O56" s="35" t="inlineStr">
        <is>
          <t>Mock</t>
        </is>
      </c>
      <c r="P56" s="35" t="inlineStr">
        <is>
          <t>Mock RxCU83</t>
        </is>
      </c>
    </row>
    <row r="57" ht="13.2" customHeight="1" s="49">
      <c r="A57" s="35" t="n">
        <v>55</v>
      </c>
      <c r="B57" s="34"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35" t="n"/>
      <c r="D57" s="34" t="inlineStr">
        <is>
          <t>ทุก lot ผ่านเกณฑ์ทั้งหมด</t>
        </is>
      </c>
      <c r="E57" s="34" t="inlineStr">
        <is>
          <t>ผ่านเฉพาะ lot 1</t>
        </is>
      </c>
      <c r="F57" s="34" t="inlineStr">
        <is>
          <t>ผ่านเฉพาะ lot 3</t>
        </is>
      </c>
      <c r="G57" s="34" t="inlineStr">
        <is>
          <t>ผ่านเฉพาะ lot 1 และ lot 3</t>
        </is>
      </c>
      <c r="H57" s="34" t="inlineStr">
        <is>
          <t>ไม่มี lot ใดผ่านเกณฑ์</t>
        </is>
      </c>
      <c r="I57" s="35" t="inlineStr">
        <is>
          <t>3</t>
        </is>
      </c>
      <c r="J57" s="34"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35" t="n"/>
      <c r="L57" s="34" t="inlineStr">
        <is>
          <t>Dissolution Testing</t>
        </is>
      </c>
      <c r="M57" s="35" t="inlineStr">
        <is>
          <t>Product</t>
        </is>
      </c>
      <c r="N57" s="34" t="inlineStr">
        <is>
          <t>Mock PLE-CC 1 ข้อ 22</t>
        </is>
      </c>
      <c r="O57" s="35" t="inlineStr">
        <is>
          <t>Mock</t>
        </is>
      </c>
      <c r="P57" s="35" t="inlineStr">
        <is>
          <t>Mock RxCU83</t>
        </is>
      </c>
    </row>
    <row r="58" ht="13.2" customHeight="1" s="49">
      <c r="A58" s="35" t="n">
        <v>56</v>
      </c>
      <c r="B58" s="34" t="inlineStr">
        <is>
          <t>สารในข้อใดไม่ใช่สารช่วยที่ใช้ในกระบวนการเคลือบน้ำตาลของยาเม็ด (Sugar-coated tablet)</t>
        </is>
      </c>
      <c r="C58" s="35" t="n"/>
      <c r="D58" s="34" t="inlineStr">
        <is>
          <t>Calcium carbonate</t>
        </is>
      </c>
      <c r="E58" s="34" t="inlineStr">
        <is>
          <t>Beeswax / Carnauba wax</t>
        </is>
      </c>
      <c r="F58" s="34" t="inlineStr">
        <is>
          <t>Gelatin</t>
        </is>
      </c>
      <c r="G58" s="34" t="inlineStr">
        <is>
          <t>Colloidal silicon dioxide (CSD)</t>
        </is>
      </c>
      <c r="H58" s="34" t="inlineStr">
        <is>
          <t>Acrylate polymer (Eudragit)</t>
        </is>
      </c>
      <c r="I58" s="35" t="inlineStr">
        <is>
          <t>5</t>
        </is>
      </c>
      <c r="J58" s="34"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35" t="n"/>
      <c r="L58" s="34" t="inlineStr">
        <is>
          <t>Sugar Coating</t>
        </is>
      </c>
      <c r="M58" s="35" t="inlineStr">
        <is>
          <t>Product</t>
        </is>
      </c>
      <c r="N58" s="34" t="inlineStr">
        <is>
          <t>Mock PLE-CC 1 ข้อ 89</t>
        </is>
      </c>
      <c r="O58" s="35" t="inlineStr">
        <is>
          <t>Mock</t>
        </is>
      </c>
      <c r="P58" s="35" t="inlineStr">
        <is>
          <t>Mock RxCU83</t>
        </is>
      </c>
    </row>
    <row r="59" ht="13.2" customHeight="1" s="49">
      <c r="A59" s="35" t="n">
        <v>57</v>
      </c>
      <c r="B59" s="34"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35" t="n"/>
      <c r="D59" s="34" t="inlineStr">
        <is>
          <t>Uniformity of dosage units</t>
        </is>
      </c>
      <c r="E59" s="34" t="inlineStr">
        <is>
          <t>Weight gain</t>
        </is>
      </c>
      <c r="F59" s="34" t="inlineStr">
        <is>
          <t>Hardness</t>
        </is>
      </c>
      <c r="G59" s="34" t="inlineStr">
        <is>
          <t>Dissolution test</t>
        </is>
      </c>
      <c r="H59" s="34" t="inlineStr">
        <is>
          <t>Disintegration test</t>
        </is>
      </c>
      <c r="I59" s="35" t="inlineStr">
        <is>
          <t>2</t>
        </is>
      </c>
      <c r="J59" s="34"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35" t="n"/>
      <c r="L59" s="34" t="inlineStr">
        <is>
          <t>Sugar Coating IPC</t>
        </is>
      </c>
      <c r="M59" s="35" t="inlineStr">
        <is>
          <t>Product</t>
        </is>
      </c>
      <c r="N59" s="34" t="inlineStr">
        <is>
          <t>Mock PLE-CC 1 ข้อ 90</t>
        </is>
      </c>
      <c r="O59" s="35" t="inlineStr">
        <is>
          <t>Mock</t>
        </is>
      </c>
      <c r="P59" s="35" t="inlineStr">
        <is>
          <t>Mock RxCU83</t>
        </is>
      </c>
    </row>
    <row r="60" ht="13.2" customHeight="1" s="49">
      <c r="A60" s="35" t="n">
        <v>58</v>
      </c>
      <c r="B60" s="34" t="inlineStr">
        <is>
          <t>ข้อใดกล่าวไม่ถูกต้องเกี่ยวกับยาเม็ดเคลือบน้ำตาล (Sugar-coated tablets)</t>
        </is>
      </c>
      <c r="C60" s="35" t="n"/>
      <c r="D60" s="34" t="inlineStr">
        <is>
          <t>จัดเป็นยาเม็ดในรูปแบบปลดปล่อยทันที (Immediate release)</t>
        </is>
      </c>
      <c r="E60" s="34" t="inlineStr">
        <is>
          <t>หากผู้ป่วยมือเปียกสัมผัสเม็ดยา จะทำให้ชั้นนอกของเม็ดเคลือบละลายเหนียวทันที</t>
        </is>
      </c>
      <c r="F60" s="34" t="inlineStr">
        <is>
          <t>ผู้ป่วยที่เป็นโรคเบาหวานสามารถรับประทานยาเม็ดเคลือบน้ำตาลได้ตามปกติ</t>
        </is>
      </c>
      <c r="G60" s="34" t="inlineStr">
        <is>
          <t>มีส่วนประกอบของ sucrose และ polyols ในน้ำเชื่อมเคลือบ</t>
        </is>
      </c>
      <c r="H60" s="34" t="inlineStr">
        <is>
          <t>เหมาะสำหรับสูตรตำรับตัวยาสำคัญที่ไวต่อความชื้นและน้ำอย่างยิ่ง</t>
        </is>
      </c>
      <c r="I60" s="35" t="inlineStr">
        <is>
          <t>5</t>
        </is>
      </c>
      <c r="J60" s="34"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35" t="n"/>
      <c r="L60" s="34" t="inlineStr">
        <is>
          <t>Sugar Coating Evaluation</t>
        </is>
      </c>
      <c r="M60" s="35" t="inlineStr">
        <is>
          <t>Product</t>
        </is>
      </c>
      <c r="N60" s="34" t="inlineStr">
        <is>
          <t>Mock PLE-CC 1 ข้อ 91</t>
        </is>
      </c>
      <c r="O60" s="35" t="inlineStr">
        <is>
          <t>Mock</t>
        </is>
      </c>
      <c r="P60" s="35" t="inlineStr">
        <is>
          <t>Mock RxCU83</t>
        </is>
      </c>
    </row>
    <row r="61" ht="13.2" customHeight="1" s="49">
      <c r="A61" s="35" t="n">
        <v>59</v>
      </c>
      <c r="B61" s="34"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35" t="n"/>
      <c r="D61" s="34" t="inlineStr">
        <is>
          <t>Sterile vehicle / Solvent</t>
        </is>
      </c>
      <c r="E61" s="34" t="inlineStr">
        <is>
          <t>Propellant (สารขับดัน)</t>
        </is>
      </c>
      <c r="F61" s="34" t="inlineStr">
        <is>
          <t>Tonicity adjusting agent</t>
        </is>
      </c>
      <c r="G61" s="34" t="inlineStr">
        <is>
          <t>Antimicrobial preservative</t>
        </is>
      </c>
      <c r="H61" s="34" t="inlineStr">
        <is>
          <t>Solubilizer</t>
        </is>
      </c>
      <c r="I61" s="35" t="inlineStr">
        <is>
          <t>2</t>
        </is>
      </c>
      <c r="J61" s="34"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35" t="n"/>
      <c r="L61" s="34" t="inlineStr">
        <is>
          <t>Inhalation Formulation</t>
        </is>
      </c>
      <c r="M61" s="35" t="inlineStr">
        <is>
          <t>Product</t>
        </is>
      </c>
      <c r="N61" s="34" t="inlineStr">
        <is>
          <t>Mock PLE-CC 1 ข้อ 101</t>
        </is>
      </c>
      <c r="O61" s="35" t="inlineStr">
        <is>
          <t>Mock</t>
        </is>
      </c>
      <c r="P61" s="35" t="inlineStr">
        <is>
          <t>Mock RxCU83</t>
        </is>
      </c>
    </row>
    <row r="62" ht="13.2" customHeight="1" s="49">
      <c r="A62" s="35" t="n">
        <v>60</v>
      </c>
      <c r="B62" s="34"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35" t="n"/>
      <c r="D62" s="34" t="inlineStr">
        <is>
          <t>Effervescent tablet</t>
        </is>
      </c>
      <c r="E62" s="34" t="inlineStr">
        <is>
          <t>Enteric coated tablet</t>
        </is>
      </c>
      <c r="F62" s="34" t="inlineStr">
        <is>
          <t>Plain uncoated tablet</t>
        </is>
      </c>
      <c r="G62" s="34" t="inlineStr">
        <is>
          <t>Film coated tablet</t>
        </is>
      </c>
      <c r="H62" s="34" t="inlineStr">
        <is>
          <t>Compaction coated tablet</t>
        </is>
      </c>
      <c r="I62" s="35" t="inlineStr">
        <is>
          <t>4</t>
        </is>
      </c>
      <c r="J62" s="34"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35" t="n"/>
      <c r="L62" s="34" t="inlineStr">
        <is>
          <t>Film Coating Formulation</t>
        </is>
      </c>
      <c r="M62" s="35" t="inlineStr">
        <is>
          <t>Product</t>
        </is>
      </c>
      <c r="N62" s="34" t="inlineStr">
        <is>
          <t>Mock PLE-CC 1 ข้อ 113</t>
        </is>
      </c>
      <c r="O62" s="35" t="inlineStr">
        <is>
          <t>Mock</t>
        </is>
      </c>
      <c r="P62" s="35" t="inlineStr">
        <is>
          <t>Mock RxCU83</t>
        </is>
      </c>
    </row>
    <row r="63" ht="13.2" customHeight="1" s="49">
      <c r="A63" s="35" t="n">
        <v>61</v>
      </c>
      <c r="B63" s="34"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35" t="n"/>
      <c r="D63" s="34" t="inlineStr">
        <is>
          <t>Microcrystalline cellulose</t>
        </is>
      </c>
      <c r="E63" s="34" t="inlineStr">
        <is>
          <t>Lactose</t>
        </is>
      </c>
      <c r="F63" s="34" t="inlineStr">
        <is>
          <t>Croscarmellose sodium</t>
        </is>
      </c>
      <c r="G63" s="34" t="inlineStr">
        <is>
          <t>Magnesium stearate</t>
        </is>
      </c>
      <c r="H63" s="34" t="inlineStr">
        <is>
          <t>Triacetin (Plasticizer)</t>
        </is>
      </c>
      <c r="I63" s="35" t="inlineStr">
        <is>
          <t>5</t>
        </is>
      </c>
      <c r="J63" s="34"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35" t="n"/>
      <c r="L63" s="34" t="inlineStr">
        <is>
          <t>Coating Stability &amp; Packaging</t>
        </is>
      </c>
      <c r="M63" s="35" t="inlineStr">
        <is>
          <t>Product</t>
        </is>
      </c>
      <c r="N63" s="34" t="inlineStr">
        <is>
          <t>Mock PLE-CC 1 ข้อ 114</t>
        </is>
      </c>
      <c r="O63" s="35" t="inlineStr">
        <is>
          <t>Mock</t>
        </is>
      </c>
      <c r="P63" s="35" t="inlineStr">
        <is>
          <t>Mock RxCU83</t>
        </is>
      </c>
    </row>
    <row r="64" ht="13.2" customHeight="1" s="49">
      <c r="A64" s="35" t="n">
        <v>62</v>
      </c>
      <c r="B64" s="34"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35" t="n"/>
      <c r="D64" s="34" t="inlineStr">
        <is>
          <t>Monotropic polymorphs (Stable form)</t>
        </is>
      </c>
      <c r="E64" s="34" t="inlineStr">
        <is>
          <t>Enantiotropic polymorphs</t>
        </is>
      </c>
      <c r="F64" s="34" t="inlineStr">
        <is>
          <t>Amorphous anhydrates</t>
        </is>
      </c>
      <c r="G64" s="34" t="inlineStr">
        <is>
          <t>Crystalline hydrates</t>
        </is>
      </c>
      <c r="H64" s="34" t="inlineStr">
        <is>
          <t>Mixed solvates</t>
        </is>
      </c>
      <c r="I64" s="35" t="inlineStr">
        <is>
          <t>1</t>
        </is>
      </c>
      <c r="J64" s="34"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35" t="n"/>
      <c r="L64" s="34" t="inlineStr">
        <is>
          <t>Preformulation &amp; Polymorphism</t>
        </is>
      </c>
      <c r="M64" s="35" t="inlineStr">
        <is>
          <t>Product</t>
        </is>
      </c>
      <c r="N64" s="34" t="inlineStr">
        <is>
          <t>Mock PLE-CC 1 ข้อ 115</t>
        </is>
      </c>
      <c r="O64" s="35" t="inlineStr">
        <is>
          <t>Mock</t>
        </is>
      </c>
      <c r="P64" s="35" t="inlineStr">
        <is>
          <t>Mock RxCU83</t>
        </is>
      </c>
    </row>
    <row r="65" ht="13.2" customHeight="1" s="49">
      <c r="A65" s="35" t="n">
        <v>63</v>
      </c>
      <c r="B65" s="34"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35" t="n"/>
      <c r="D65" s="34" t="inlineStr">
        <is>
          <t>Mupirocin 2% ointment ทาวันละ 2-3 ครั้ง</t>
        </is>
      </c>
      <c r="E65" s="34" t="inlineStr">
        <is>
          <t>Moisturizing cream ทาวันละ 2-3 ครั้ง</t>
        </is>
      </c>
      <c r="F65" s="34" t="inlineStr">
        <is>
          <t>Acyclovir 5% cream ทาวันละ 5 ครั้ง</t>
        </is>
      </c>
      <c r="G65" s="34" t="inlineStr">
        <is>
          <t>Acyclovir 400 mg tablet รับประทานวันละ 5 ครั้ง</t>
        </is>
      </c>
      <c r="H65" s="34" t="inlineStr">
        <is>
          <t>Desoximetasone 0.25% cream ทาวันละ 2 ครั้ง</t>
        </is>
      </c>
      <c r="I65" s="35" t="inlineStr">
        <is>
          <t>1</t>
        </is>
      </c>
      <c r="J65" s="34"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35" t="n"/>
      <c r="L65" s="34" t="inlineStr">
        <is>
          <t>Dermatology &amp; Topicals</t>
        </is>
      </c>
      <c r="M65" s="35" t="inlineStr">
        <is>
          <t>Clinic</t>
        </is>
      </c>
      <c r="N65" s="34" t="inlineStr">
        <is>
          <t>Mock PLE-CC 1 ข้อ 120</t>
        </is>
      </c>
      <c r="O65" s="35" t="inlineStr">
        <is>
          <t>Mock</t>
        </is>
      </c>
      <c r="P65" s="35" t="inlineStr">
        <is>
          <t>Mock RxCU83</t>
        </is>
      </c>
    </row>
    <row r="66" ht="13.2" customHeight="1" s="49">
      <c r="A66" s="35" t="n">
        <v>64</v>
      </c>
      <c r="B66" s="34"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35" t="n"/>
      <c r="D66" s="34" t="inlineStr">
        <is>
          <t>Microcrystalline cellulose</t>
        </is>
      </c>
      <c r="E66" s="34" t="inlineStr">
        <is>
          <t>Starch</t>
        </is>
      </c>
      <c r="F66" s="34" t="inlineStr">
        <is>
          <t>Lactose</t>
        </is>
      </c>
      <c r="G66" s="34" t="inlineStr">
        <is>
          <t>Colloidal silicon dioxide</t>
        </is>
      </c>
      <c r="H66" s="34" t="inlineStr">
        <is>
          <t>Sodium Lauryl Sulfate</t>
        </is>
      </c>
      <c r="I66" s="35" t="inlineStr">
        <is>
          <t>4</t>
        </is>
      </c>
      <c r="J66" s="34"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35" t="n"/>
      <c r="L66" s="34" t="inlineStr">
        <is>
          <t>Tablet Excipients &amp; Glidants</t>
        </is>
      </c>
      <c r="M66" s="35" t="inlineStr">
        <is>
          <t>Product</t>
        </is>
      </c>
      <c r="N66" s="34" t="inlineStr">
        <is>
          <t>ข้อสอบเก่า 2567 ข้อ 15</t>
        </is>
      </c>
      <c r="O66" s="35" t="inlineStr">
        <is>
          <t>ข้อสอบเก่า</t>
        </is>
      </c>
      <c r="P66" s="35" t="inlineStr">
        <is>
          <t>2567</t>
        </is>
      </c>
    </row>
    <row r="67" ht="13.2" customHeight="1" s="49">
      <c r="A67" s="35" t="n">
        <v>65</v>
      </c>
      <c r="B67" s="34" t="inlineStr">
        <is>
          <t>Alkaline stearate (sodium stearate, magnesium stearate)</t>
        </is>
      </c>
      <c r="C67" s="35" t="n"/>
      <c r="D67" s="34" t="inlineStr">
        <is>
          <t>Tablet &amp; Solid Dosage</t>
        </is>
      </c>
      <c r="E67" s="34" t="inlineStr">
        <is>
          <t>Film Coating with Hydroxypropyl methylcellulose (HPMC)</t>
        </is>
      </c>
      <c r="F67" s="34" t="inlineStr">
        <is>
          <t>Enteric Coating with Cellulose acetate phthalate (CAP)</t>
        </is>
      </c>
      <c r="G67" s="34" t="inlineStr">
        <is>
          <t>Hard Gelatin Capsule filling</t>
        </is>
      </c>
      <c r="H67" s="34" t="inlineStr">
        <is>
          <t>Soft Gelatin Capsule encapsulation</t>
        </is>
      </c>
      <c r="I67" s="35" t="inlineStr">
        <is>
          <t>1</t>
        </is>
      </c>
      <c r="J67"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67" s="35" t="n"/>
      <c r="L67" s="34" t="inlineStr">
        <is>
          <t>Tablet Manufacturing</t>
        </is>
      </c>
      <c r="M67" s="35" t="inlineStr">
        <is>
          <t>Tablet &amp; Solid Dosage</t>
        </is>
      </c>
      <c r="N67" s="34" t="inlineStr">
        <is>
          <t>PLE_CC1_2567_Key ข้อ 1</t>
        </is>
      </c>
      <c r="O67" s="35" t="inlineStr">
        <is>
          <t>ข้อสอบจริง</t>
        </is>
      </c>
      <c r="P67" s="35" t="inlineStr">
        <is>
          <t>ปี 2567</t>
        </is>
      </c>
    </row>
    <row r="68" ht="13.2" customHeight="1" s="49">
      <c r="A68" s="33" t="n">
        <v>66</v>
      </c>
      <c r="B68" s="34"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35" t="n"/>
      <c r="D68" s="34" t="inlineStr">
        <is>
          <t>Weight Variation (WV)</t>
        </is>
      </c>
      <c r="E68" s="34" t="inlineStr">
        <is>
          <t>Content Uniformity (CU)</t>
        </is>
      </c>
      <c r="F68" s="34" t="inlineStr">
        <is>
          <t>Dissolution test</t>
        </is>
      </c>
      <c r="G68" s="34" t="inlineStr">
        <is>
          <t>Assay test</t>
        </is>
      </c>
      <c r="H68" s="34" t="inlineStr">
        <is>
          <t>Disintegration test</t>
        </is>
      </c>
      <c r="I68" s="33" t="inlineStr">
        <is>
          <t>1</t>
        </is>
      </c>
      <c r="J68" s="34"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35" t="n"/>
      <c r="L68" s="34" t="inlineStr">
        <is>
          <t>Uniformity of Dosage Units</t>
        </is>
      </c>
      <c r="M68" s="35" t="inlineStr">
        <is>
          <t>Product</t>
        </is>
      </c>
      <c r="N68" s="34" t="inlineStr">
        <is>
          <t>ข้อสอบเก่า 2567 ข้อ 17</t>
        </is>
      </c>
      <c r="O68" s="35" t="inlineStr">
        <is>
          <t>ข้อสอบเก่า</t>
        </is>
      </c>
      <c r="P68" s="35" t="inlineStr">
        <is>
          <t>2567</t>
        </is>
      </c>
      <c r="Q68" s="2" t="n"/>
    </row>
    <row r="69" ht="13.2" customHeight="1" s="49">
      <c r="A69" s="33" t="n">
        <v>67</v>
      </c>
      <c r="B69" s="34"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35" t="n"/>
      <c r="D69" s="34" t="inlineStr">
        <is>
          <t>Polyethylene Glycol (PEG)</t>
        </is>
      </c>
      <c r="E69" s="34" t="inlineStr">
        <is>
          <t>Calcium phosphate dibasic</t>
        </is>
      </c>
      <c r="F69" s="34" t="inlineStr">
        <is>
          <t>Titanium Dioxide (TiO2)</t>
        </is>
      </c>
      <c r="G69" s="34" t="inlineStr">
        <is>
          <t>Kaolin / Clay</t>
        </is>
      </c>
      <c r="H69" s="34" t="inlineStr">
        <is>
          <t>Colloidal silica (Colloidal silicon dioxide)</t>
        </is>
      </c>
      <c r="I69" s="33" t="inlineStr">
        <is>
          <t>5</t>
        </is>
      </c>
      <c r="J69" s="34"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35" t="n"/>
      <c r="L69" s="34" t="inlineStr">
        <is>
          <t>Tableting Problems &amp; Glidants</t>
        </is>
      </c>
      <c r="M69" s="35" t="inlineStr">
        <is>
          <t>Product</t>
        </is>
      </c>
      <c r="N69" s="34" t="inlineStr">
        <is>
          <t>ข้อสอบเก่า 2567 ข้อ 96</t>
        </is>
      </c>
      <c r="O69" s="35" t="inlineStr">
        <is>
          <t>ข้อสอบเก่า</t>
        </is>
      </c>
      <c r="P69" s="35" t="inlineStr">
        <is>
          <t>2567</t>
        </is>
      </c>
      <c r="Q69" s="2" t="n"/>
    </row>
    <row r="70" ht="13.2" customHeight="1" s="49">
      <c r="A70" s="33" t="n">
        <v>68</v>
      </c>
      <c r="B70" s="34" t="inlineStr">
        <is>
          <t>การทดสอบใดไม่จำเป็นต้องทำในยาเม็ดรูปแบบ uncoated มีตัวยาสำคัญ 10 mg และมีน้ำหนักเม็ดยาเฉลี่ย 200 mg</t>
        </is>
      </c>
      <c r="C70" s="35" t="n"/>
      <c r="D70" s="34" t="inlineStr">
        <is>
          <t>Tablet &amp; Solid Dosage</t>
        </is>
      </c>
      <c r="E70" s="34" t="inlineStr">
        <is>
          <t>ยาอันตราย ขย1 ขายได้</t>
        </is>
      </c>
      <c r="F70" s="34" t="inlineStr">
        <is>
          <t>วจ2 โรงพยาบาลเท่านั้น และสั่งใช้โดยแพทย์</t>
        </is>
      </c>
      <c r="G70" s="34" t="inlineStr">
        <is>
          <t>ยส3 ขย1 ขายได้ ต้องมีใบสั่งแพทย์</t>
        </is>
      </c>
      <c r="H70" s="34" t="inlineStr">
        <is>
          <t>วจ4 ขย1 ขายได้ ต้องมีใบสั่งแพทย์</t>
        </is>
      </c>
      <c r="I70" s="33" t="inlineStr">
        <is>
          <t>1</t>
        </is>
      </c>
      <c r="J70"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วจ2 โรงพยาบาลเท่านั้น และสั่งใช้โดยแพทย์ ไม่ตรงกับข้อบ่งใช้หรือกลไกการออกฤทธิ์ที่ถูกต้องตาม Thai Pharmacopoeia / USP &lt;1151&gt; GMP Guidelines
• ข้อ ง. (ยส3 ขย1 ขายได้ ต้องมีใบสั่งแพทย์): ยส3 ขย1 ขายได้ ต้องมีใบสั่งแพทย์ ไม่ตรงกับข้อบ่งใช้หรือกลไกการออกฤทธิ์ที่ถูกต้องตาม Thai Pharmacopoeia / USP &lt;1151&gt; GMP Guidelines
• ข้อ จ. (วจ4 ขย1 ขายได้ ต้องมีใบสั่งแพทย์): วจ4 ขย1 ขายได้ ต้องมีใบสั่งแพทย์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0" s="35" t="n"/>
      <c r="L70" s="34" t="inlineStr">
        <is>
          <t>Tablet Coating</t>
        </is>
      </c>
      <c r="M70" s="35" t="inlineStr">
        <is>
          <t>Tablet &amp; Solid Dosage</t>
        </is>
      </c>
      <c r="N70" s="34" t="inlineStr">
        <is>
          <t>PLE_CC1_2567_Set1_Key ข้อ 64</t>
        </is>
      </c>
      <c r="O70" s="35" t="inlineStr">
        <is>
          <t>ข้อสอบจริง</t>
        </is>
      </c>
      <c r="P70" s="35" t="inlineStr">
        <is>
          <t>ปี 2567</t>
        </is>
      </c>
      <c r="Q70" s="2" t="n"/>
    </row>
    <row r="71" ht="13.2" customHeight="1" s="49">
      <c r="A71" s="33" t="n">
        <v>69</v>
      </c>
      <c r="B71" s="34" t="inlineStr">
        <is>
          <t>ยาเม็ดมีป-ญหาน้ำหนักไม6สม่ำเสมอ เนื่องจากผงยาไหลลงเข@าไม6เท6ากันจากการไหลไม6ดี ควรเติมสารใด</t>
        </is>
      </c>
      <c r="C71" s="35" t="n"/>
      <c r="D71" s="34" t="inlineStr">
        <is>
          <t>Tablet &amp; Solid Dosage</t>
        </is>
      </c>
      <c r="E71" s="34" t="inlineStr">
        <is>
          <t>Enteric Coating with Cellulose acetate phthalate (CAP)</t>
        </is>
      </c>
      <c r="F71" s="34" t="inlineStr">
        <is>
          <t>Hard Gelatin Capsule filling</t>
        </is>
      </c>
      <c r="G71" s="34" t="inlineStr">
        <is>
          <t>Soft Gelatin Capsule encapsulation</t>
        </is>
      </c>
      <c r="H71" s="34" t="inlineStr">
        <is>
          <t>Microcrystalline cellulose</t>
        </is>
      </c>
      <c r="I71" s="33" t="inlineStr">
        <is>
          <t>1</t>
        </is>
      </c>
      <c r="J71"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1" s="35" t="n"/>
      <c r="L71" s="34" t="inlineStr">
        <is>
          <t>Tablet Manufacturing</t>
        </is>
      </c>
      <c r="M71" s="35" t="inlineStr">
        <is>
          <t>Tablet &amp; Solid Dosage</t>
        </is>
      </c>
      <c r="N71" s="34" t="inlineStr">
        <is>
          <t>PLE_CC1_2567_Set1_Key ข้อ 96</t>
        </is>
      </c>
      <c r="O71" s="35" t="inlineStr">
        <is>
          <t>ข้อสอบจริง</t>
        </is>
      </c>
      <c r="P71" s="35" t="inlineStr">
        <is>
          <t>ปี 2567</t>
        </is>
      </c>
      <c r="Q71" s="2" t="n"/>
    </row>
    <row r="72" ht="13.2" customHeight="1" s="49">
      <c r="A72" s="33" t="n">
        <v>70</v>
      </c>
      <c r="B72" s="34" t="inlineStr">
        <is>
          <t>ข@อใดไม6เกี่ยวกับการทดสอบเชื้อจุลชีพใน tablets</t>
        </is>
      </c>
      <c r="C72" s="35" t="n"/>
      <c r="D72" s="34" t="inlineStr">
        <is>
          <t>Tablet &amp; Solid Dosage</t>
        </is>
      </c>
      <c r="E72" s="34" t="inlineStr">
        <is>
          <t>Container-closure integrity</t>
        </is>
      </c>
      <c r="F72" s="34" t="inlineStr">
        <is>
          <t>Sterility test</t>
        </is>
      </c>
      <c r="G72" s="34" t="inlineStr">
        <is>
          <t>Moisture test</t>
        </is>
      </c>
      <c r="H72" s="34" t="inlineStr">
        <is>
          <t>Microbial enumeration test</t>
        </is>
      </c>
      <c r="I72" s="33" t="inlineStr">
        <is>
          <t>1</t>
        </is>
      </c>
      <c r="J72"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Container-closure integrity ไม่ตรงกับข้อบ่งใช้หรือกลไกการออกฤทธิ์ที่ถูกต้องตาม Thai Pharmacopoeia / USP &lt;1151&gt; GMP Guidelines
• ข้อ ค. (Sterility test): Sterility test ไม่ตรงกับข้อบ่งใช้หรือกลไกการออกฤทธิ์ที่ถูกต้องตาม Thai Pharmacopoeia / USP &lt;1151&gt; GMP Guidelines
• ข้อ ง. (Moisture test): Moisture test ไม่ตรงกับข้อบ่งใช้หรือกลไกการออกฤทธิ์ที่ถูกต้องตาม Thai Pharmacopoeia / USP &lt;1151&gt; GMP Guidelines
• ข้อ จ. (Microbial enumeration test): Microbial enumeration test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2" s="35" t="n"/>
      <c r="L72" s="34" t="inlineStr">
        <is>
          <t>Tablet Manufacturing</t>
        </is>
      </c>
      <c r="M72" s="35" t="inlineStr">
        <is>
          <t>Tablet &amp; Solid Dosage</t>
        </is>
      </c>
      <c r="N72" s="34" t="inlineStr">
        <is>
          <t>PLE_CC1_2567_Set1_Key ข้อ 98</t>
        </is>
      </c>
      <c r="O72" s="35" t="inlineStr">
        <is>
          <t>ข้อสอบจริง</t>
        </is>
      </c>
      <c r="P72" s="35" t="inlineStr">
        <is>
          <t>ปี 2567</t>
        </is>
      </c>
      <c r="Q72" s="2" t="n"/>
    </row>
    <row r="73" ht="13.2" customHeight="1" s="49">
      <c r="A73" s="33" t="n">
        <v>71</v>
      </c>
      <c r="B73" s="34"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35" t="n"/>
      <c r="D73" s="34" t="inlineStr">
        <is>
          <t>Immediate-release tablets</t>
        </is>
      </c>
      <c r="E73" s="34" t="inlineStr">
        <is>
          <t>Extended-release tablets</t>
        </is>
      </c>
      <c r="F73" s="34" t="inlineStr">
        <is>
          <t>Chewable tablets</t>
        </is>
      </c>
      <c r="G73" s="34" t="inlineStr">
        <is>
          <t>Delayed-release tablets (Enteric-coated)</t>
        </is>
      </c>
      <c r="H73" s="34" t="inlineStr">
        <is>
          <t>Sublingual tablets</t>
        </is>
      </c>
      <c r="I73" s="33" t="inlineStr">
        <is>
          <t>4</t>
        </is>
      </c>
      <c r="J73" s="34"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35" t="n"/>
      <c r="L73" s="34" t="inlineStr">
        <is>
          <t>Dissolution of Enteric Dosage Forms</t>
        </is>
      </c>
      <c r="M73" s="35" t="inlineStr">
        <is>
          <t>Product</t>
        </is>
      </c>
      <c r="N73" s="34" t="inlineStr">
        <is>
          <t>ข้อสอบเก่า 2566 Day 1 ข้อ 25</t>
        </is>
      </c>
      <c r="O73" s="35" t="inlineStr">
        <is>
          <t>ข้อสอบเก่า</t>
        </is>
      </c>
      <c r="P73" s="35" t="inlineStr">
        <is>
          <t>2566</t>
        </is>
      </c>
      <c r="Q73" s="2" t="n"/>
    </row>
    <row r="74" ht="13.2" customHeight="1" s="49">
      <c r="A74" s="33" t="n">
        <v>72</v>
      </c>
      <c r="B74" s="34"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35" t="n"/>
      <c r="D74" s="34" t="inlineStr">
        <is>
          <t>Dissolution test</t>
        </is>
      </c>
      <c r="E74" s="34" t="inlineStr">
        <is>
          <t>Disintegration test</t>
        </is>
      </c>
      <c r="F74" s="34" t="inlineStr">
        <is>
          <t>Weight variation (WV)</t>
        </is>
      </c>
      <c r="G74" s="34" t="inlineStr">
        <is>
          <t>Assay test</t>
        </is>
      </c>
      <c r="H74" s="34" t="inlineStr">
        <is>
          <t>Content uniformity (CU)</t>
        </is>
      </c>
      <c r="I74" s="33" t="inlineStr">
        <is>
          <t>3</t>
        </is>
      </c>
      <c r="J74" s="34"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35" t="n"/>
      <c r="L74" s="34" t="inlineStr">
        <is>
          <t>Sugar Coating Quality Control</t>
        </is>
      </c>
      <c r="M74" s="35" t="inlineStr">
        <is>
          <t>Product</t>
        </is>
      </c>
      <c r="N74" s="34" t="inlineStr">
        <is>
          <t>ข้อสอบเก่า 2566 Day 1 ข้อ 46</t>
        </is>
      </c>
      <c r="O74" s="35" t="inlineStr">
        <is>
          <t>ข้อสอบเก่า</t>
        </is>
      </c>
      <c r="P74" s="35" t="inlineStr">
        <is>
          <t>2566</t>
        </is>
      </c>
      <c r="Q74" s="2" t="n"/>
    </row>
    <row r="75" ht="13.2" customHeight="1" s="49">
      <c r="A75" s="33" t="n">
        <v>73</v>
      </c>
      <c r="B75" s="34"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35" t="n"/>
      <c r="D75" s="34" t="inlineStr">
        <is>
          <t>แต่ละเม็ดต้องละลายได้ไม่ต่ำกว่า 75%</t>
        </is>
      </c>
      <c r="E75" s="34" t="inlineStr">
        <is>
          <t>แต่ละเม็ดต้องละลายได้ไม่ต่ำกว่า 80% (Q)</t>
        </is>
      </c>
      <c r="F75" s="34" t="inlineStr">
        <is>
          <t>แต่ละเม็ดต้องละลายได้ไม่ต่ำกว่า 85% (Q + 5%)</t>
        </is>
      </c>
      <c r="G75" s="34" t="inlineStr">
        <is>
          <t>แต่ละเม็ดต้องละลายได้ไม่ต่ำกว่า 90% (Q + 10%)</t>
        </is>
      </c>
      <c r="H75" s="34" t="inlineStr">
        <is>
          <t>ค่าเฉลี่ยของ 6 เม็ดต้องไม่ต่ำกว่า 80% และไม่มีเม็ดใดต่ำกว่า 65%</t>
        </is>
      </c>
      <c r="I75" s="33" t="inlineStr">
        <is>
          <t>3</t>
        </is>
      </c>
      <c r="J75" s="34"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35" t="n"/>
      <c r="L75" s="34" t="inlineStr">
        <is>
          <t>Dissolution Testing USP &lt;711&gt;</t>
        </is>
      </c>
      <c r="M75" s="35" t="inlineStr">
        <is>
          <t>Product</t>
        </is>
      </c>
      <c r="N75" s="34" t="inlineStr">
        <is>
          <t>ข้อสอบเก่า 2566 Day 2 ข้อ 89</t>
        </is>
      </c>
      <c r="O75" s="35" t="inlineStr">
        <is>
          <t>ข้อสอบเก่า</t>
        </is>
      </c>
      <c r="P75" s="35" t="inlineStr">
        <is>
          <t>2566</t>
        </is>
      </c>
      <c r="Q75" s="2" t="n"/>
    </row>
    <row r="76" ht="13.2" customHeight="1" s="49">
      <c r="A76" s="33" t="n">
        <v>74</v>
      </c>
      <c r="B76" s="34" t="inlineStr">
        <is>
          <t>ชื่อยา imdur (ยี่หอ) ใหส;วนประกอบยามา จำไดแค;มี magnesium stearate ขอใดถูกตอง เ,น Lubricant</t>
        </is>
      </c>
      <c r="C76" s="35" t="n"/>
      <c r="D76" s="34" t="inlineStr">
        <is>
          <t>Tablet &amp; Solid Dosage</t>
        </is>
      </c>
      <c r="E76" s="34" t="inlineStr">
        <is>
          <t>ระบบ matrix ของยาสามารถหักแบ;งไดแต;หามเคี้ยว (ไม;ชัวรç)</t>
        </is>
      </c>
      <c r="F76" s="34" t="inlineStr">
        <is>
          <t>ระบบ reservoir ของยาตัวนี้สามารถหักแบ;งและเคี้ยวได(ไม;ชัวรç)</t>
        </is>
      </c>
      <c r="G76" s="34" t="inlineStr">
        <is>
          <t>กินพรอมยาลดกรดได</t>
        </is>
      </c>
      <c r="H76" s="34" t="inlineStr">
        <is>
          <t>Na stearate ทำหนาที่คลาย Mg stearate ในนี้</t>
        </is>
      </c>
      <c r="I76" s="33" t="inlineStr">
        <is>
          <t>1</t>
        </is>
      </c>
      <c r="J76"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ระบบ matrix ของยาสามารถหักแบ;งไดแต;หามเคี้ยว (ไม;ชัวรç) ไม่ตรงกับข้อบ่งใช้หรือกลไกการออกฤทธิ์ที่ถูกต้องตาม Thai Pharmacopoeia / USP &lt;1151&gt; GMP Guidelines
• ข้อ ค. (ระบบ reservoir ของยาตัวนี้สามารถหักแบ;งและเคี้ยวได(ไม;ชัวรç)): IR (Infrared) spectroscopy วิเคราะห์ functional groups จาก stretching/bending vibrations C=O ~1700 cm-1, O-H ~3200-3550 cm-1
• ข้อ ง. (กินพรอมยาลดกรดได): กินพรอมยาลดกรดได ไม่ตรงกับข้อบ่งใช้หรือกลไกการออกฤทธิ์ที่ถูกต้องตาม Thai Pharmacopoeia / USP &lt;1151&gt; GMP Guidelines
• ข้อ จ. (Na stearate ทำหนาที่คลาย Mg stearate ในนี้): Na stearate ทำหนาที่คลาย Mg stearate ในนี้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6" s="35" t="n"/>
      <c r="L76" s="34" t="inlineStr">
        <is>
          <t>Tablet Manufacturing</t>
        </is>
      </c>
      <c r="M76" s="35" t="inlineStr">
        <is>
          <t>Tablet &amp; Solid Dosage</t>
        </is>
      </c>
      <c r="N76" s="34" t="inlineStr">
        <is>
          <t>PLE_CC1_2565_Day1_Key ข้อ 9</t>
        </is>
      </c>
      <c r="O76" s="35" t="inlineStr">
        <is>
          <t>ข้อสอบจริง</t>
        </is>
      </c>
      <c r="P76" s="35" t="inlineStr">
        <is>
          <t>ปี 2565</t>
        </is>
      </c>
      <c r="Q76" s="2" t="n"/>
    </row>
    <row r="77" ht="13.2" customHeight="1" s="49">
      <c r="A77" s="33" t="n">
        <v>75</v>
      </c>
      <c r="B77" s="34" t="inlineStr">
        <is>
          <t>หากบุตรสาวตองไดรับ prednisolone tablet เปMนระยะเวลานาน ไม;ควรไดวัคซีนใด</t>
        </is>
      </c>
      <c r="C77" s="35" t="n"/>
      <c r="D77" s="34" t="inlineStr">
        <is>
          <t>Tablet &amp; Solid Dosage</t>
        </is>
      </c>
      <c r="E77" s="34" t="inlineStr">
        <is>
          <t>MMR</t>
        </is>
      </c>
      <c r="F77" s="34" t="inlineStr">
        <is>
          <t>Hepatitis B</t>
        </is>
      </c>
      <c r="G77" s="34" t="inlineStr">
        <is>
          <t>Influenza</t>
        </is>
      </c>
      <c r="H77" s="34" t="inlineStr">
        <is>
          <t>Rabies</t>
        </is>
      </c>
      <c r="I77" s="33" t="inlineStr">
        <is>
          <t>1</t>
        </is>
      </c>
      <c r="J77" s="34"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Hepatitis B ไม่ตรงกับข้อบ่งใช้หรือกลไกการออกฤทธิ์ที่ถูกต้องตาม Thai Pharmacopoeia / USP &lt;1151&gt; GMP Guidelines
• ข้อ ง. (Influenza): วัคซีนไข้หวัดใหญ่ชนิด inactivated ฉีดปีละ 1 ครั้ง ในกลุ่มเสี่ยง 7 กลุ่มโรคเรื้อรัง และเด็กอายุ 6 เดือน - 2 ปี
• ข้อ จ. (Rabies): Rabies ไม่ตรงกับข้อบ่งใช้หรือกลไกการออกฤทธิ์ที่ถูกต้องตาม Thai Pharmacopoeia / USP &lt;1151&gt; GMP Guidelines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7" s="35" t="n"/>
      <c r="L77" s="34" t="inlineStr">
        <is>
          <t>Tablet Manufacturing</t>
        </is>
      </c>
      <c r="M77" s="35" t="inlineStr">
        <is>
          <t>Tablet &amp; Solid Dosage</t>
        </is>
      </c>
      <c r="N77" s="34" t="inlineStr">
        <is>
          <t>PLE_CC1_2565_Day1_Key ข้อ 55</t>
        </is>
      </c>
      <c r="O77" s="35" t="inlineStr">
        <is>
          <t>ข้อสอบจริง</t>
        </is>
      </c>
      <c r="P77" s="35" t="inlineStr">
        <is>
          <t>ปี 2565</t>
        </is>
      </c>
      <c r="Q77" s="2" t="n"/>
    </row>
    <row r="78" ht="13.2" customHeight="1" s="49">
      <c r="A78" s="33" t="n">
        <v>76</v>
      </c>
      <c r="B78" s="34"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78" s="35" t="n"/>
      <c r="D78" s="34" t="inlineStr">
        <is>
          <t>Tablet &amp; Solid Dosage</t>
        </is>
      </c>
      <c r="E78" s="34" t="inlineStr">
        <is>
          <t>ใน monograph นี้ใชbasket ทดสอบ</t>
        </is>
      </c>
      <c r="F78" s="34" t="inlineStr">
        <is>
          <t>เกณฑçผ;านมาตรฐาน = 75%</t>
        </is>
      </c>
      <c r="G78" s="34" t="inlineStr">
        <is>
          <t>เปMนการทดสอบ disintegration</t>
        </is>
      </c>
      <c r="H78" s="34" t="inlineStr">
        <is>
          <t>เปMนการทดสอบ dissolution</t>
        </is>
      </c>
      <c r="I78" s="33" t="inlineStr">
        <is>
          <t>1</t>
        </is>
      </c>
      <c r="J78" s="34"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ใน monograph นี้ใชbasket ทดสอบ ไม่ตรงกับข้อบ่งใช้หรือกลไกการออกฤทธิ์ที่ถูกต้องตาม Thai Pharmacopoeia / USP &lt;1151&gt; GMP Guidelines
• ข้อ ค. (เกณฑçผ;านมาตรฐาน = 75%): เกณฑçผ;านมาตรฐาน = 75% ไม่ตรงกับข้อบ่งใช้หรือกลไกการออกฤทธิ์ที่ถูกต้องตาม Thai Pharmacopoeia / USP &lt;1151&gt; GMP Guidelines
• ข้อ ง. (เปMนการทดสอบ disintegration): เปMนการทดสอบ disintegration ไม่ตรงกับข้อบ่งใช้หรือกลไกการออกฤทธิ์ที่ถูกต้องตาม Thai Pharmacopoeia / USP &lt;1151&gt; GMP Guidelines
• ข้อ จ. (เปMนการทดสอบ dissolution): เปMนการทดสอบ dissolution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35" t="n"/>
      <c r="L78" s="34" t="inlineStr">
        <is>
          <t>Tablet Manufacturing</t>
        </is>
      </c>
      <c r="M78" s="35" t="inlineStr">
        <is>
          <t>Tablet &amp; Solid Dosage</t>
        </is>
      </c>
      <c r="N78" s="34" t="inlineStr">
        <is>
          <t>PLE_CC1_2565_Day1_Key ข้อ 89</t>
        </is>
      </c>
      <c r="O78" s="35" t="inlineStr">
        <is>
          <t>ข้อสอบจริง</t>
        </is>
      </c>
      <c r="P78" s="35" t="inlineStr">
        <is>
          <t>ปี 2565</t>
        </is>
      </c>
      <c r="Q78" s="2" t="n"/>
    </row>
    <row r="79" ht="13.2" customHeight="1" s="49">
      <c r="A79" s="33" t="n">
        <v>77</v>
      </c>
      <c r="B79" s="34" t="inlineStr">
        <is>
          <t>จากรูปป8ญหายาเม็ดนี้ คืออะไร (รูปจริงเปQนขาวดำทมิฬมาเลยจ$า) ………………………………………………………………………………………………………………………………………………………… …………………………………………………………………………………………………………………………………………………………..</t>
        </is>
      </c>
      <c r="C79" s="35" t="n"/>
      <c r="D79" s="34" t="inlineStr">
        <is>
          <t>Tablet &amp; Solid Dosage</t>
        </is>
      </c>
      <c r="E79" s="34" t="inlineStr">
        <is>
          <t>Soft Gelatin Capsule encapsulation</t>
        </is>
      </c>
      <c r="F79" s="34" t="inlineStr">
        <is>
          <t>Microcrystalline cellulose</t>
        </is>
      </c>
      <c r="G79" s="34" t="inlineStr">
        <is>
          <t>Magnesium stearate (Lubricant 1%)</t>
        </is>
      </c>
      <c r="H79" s="34" t="inlineStr">
        <is>
          <t>Sodium starch glycolate (Superdisintegrant)</t>
        </is>
      </c>
      <c r="I79" s="33" t="inlineStr">
        <is>
          <t>1</t>
        </is>
      </c>
      <c r="J79"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35" t="n"/>
      <c r="L79" s="34" t="inlineStr">
        <is>
          <t>Tablet Manufacturing</t>
        </is>
      </c>
      <c r="M79" s="35" t="inlineStr">
        <is>
          <t>Tablet &amp; Solid Dosage</t>
        </is>
      </c>
      <c r="N79" s="34" t="inlineStr">
        <is>
          <t>PLE_CC1_2565_Day2_Key ข้อ 73</t>
        </is>
      </c>
      <c r="O79" s="35" t="inlineStr">
        <is>
          <t>ข้อสอบจริง</t>
        </is>
      </c>
      <c r="P79" s="33" t="inlineStr">
        <is>
          <t>ปี 2565</t>
        </is>
      </c>
      <c r="Q79" s="2" t="n"/>
    </row>
    <row r="80" ht="13.2" customHeight="1" s="49">
      <c r="A80" s="33" t="n">
        <v>78</v>
      </c>
      <c r="B80" s="34" t="inlineStr">
        <is>
          <t>ผลิตยาเม็ด ferrous บอกว่า each tablet contains 200 mg ferrous fumarate dried equivalent to X mg ferrous fumarate ผลิต 100,000 เม็ด ต้องใช้ยาเท่าไหร่</t>
        </is>
      </c>
      <c r="C80" s="35" t="n"/>
      <c r="D80" s="34" t="inlineStr">
        <is>
          <t>Tablet &amp; Solid Dosage</t>
        </is>
      </c>
      <c r="E80" s="34" t="inlineStr">
        <is>
          <t>ferrous fumarate 20 kg</t>
        </is>
      </c>
      <c r="F80" s="34" t="inlineStr">
        <is>
          <t>ferrous fumarate 20000 kg</t>
        </is>
      </c>
      <c r="G80" s="34" t="inlineStr">
        <is>
          <t>ferrous fumarate anhydrous 200 kg</t>
        </is>
      </c>
      <c r="H80" s="34"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80" s="33" t="inlineStr">
        <is>
          <t>1</t>
        </is>
      </c>
      <c r="J80"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ferrous fumarate 20 kg ไม่ตรงกับข้อบ่งใช้หรือกลไกการออกฤทธิ์ที่ถูกต้องตาม Thai Pharmacopoeia / USP &lt;1151&gt; GMP Guidelines
• ข้อ ค. (ferrous fumarate 20000 kg): ferrous fumarate 20000 kg ไม่ตรงกับข้อบ่งใช้หรือกลไกการออกฤทธิ์ที่ถูกต้องตาม Thai Pharmacopoeia / USP &lt;1151&gt; GMP Guidelines
• ข้อ ง. (ferrous fumarate anhydrous 200 kg): ferrous fumarate anhydrous 200 kg ไม่ตรงกับข้อบ่งใช้หรือกลไกการออกฤทธิ์ที่ถูกต้องตาม Thai Pharmacopoeia / USP &lt;1151&gt; GMP Guidelines
• ข้อ จ. (ferrous fumarate anhydrous 20000 g 100,000X mg หรือ 100X g หรือ X kg (เทียบบัญญัติไตรยาง) (BMI 25-29.9) http://apps.who.int/iris/handle/10665/206936?search-result=true&amp;query=obesity&amp;current- scope=10665%2F137517&amp;rpp=10&amp;sort_by=score&amp;order=desc): IR (Infrared) spectroscopy วิเคราะห์ functional groups จาก stretching/bending vibrations C=O ~1700 cm-1, O-H ~3200-3550 cm-1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35" t="n"/>
      <c r="L80" s="34" t="inlineStr">
        <is>
          <t>Tablet Manufacturing</t>
        </is>
      </c>
      <c r="M80" s="35" t="inlineStr">
        <is>
          <t>Tablet &amp; Solid Dosage</t>
        </is>
      </c>
      <c r="N80" s="34" t="inlineStr">
        <is>
          <t>PLE_CC1_2564_All_Key ข้อ 46</t>
        </is>
      </c>
      <c r="O80" s="35" t="inlineStr">
        <is>
          <t>ข้อสอบจริง</t>
        </is>
      </c>
      <c r="P80" s="35" t="inlineStr">
        <is>
          <t>ปี 2564</t>
        </is>
      </c>
    </row>
    <row r="81" ht="13.2" customHeight="1" s="49">
      <c r="A81" s="33" t="n">
        <v>79</v>
      </c>
      <c r="B81" s="34"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81" s="35" t="n"/>
      <c r="D81" s="34" t="inlineStr">
        <is>
          <t>Tablet &amp; Solid Dosage</t>
        </is>
      </c>
      <c r="E81" s="34" t="inlineStr">
        <is>
          <t>Dry Granulation (Roller Compaction)</t>
        </is>
      </c>
      <c r="F81" s="34" t="inlineStr">
        <is>
          <t>Fluidized Bed Granulation</t>
        </is>
      </c>
      <c r="G81" s="34" t="inlineStr">
        <is>
          <t>Film Coating with Hydroxypropyl methylcellulose (HPMC)</t>
        </is>
      </c>
      <c r="H81" s="34" t="inlineStr">
        <is>
          <t>Enteric Coating with Cellulose acetate phthalate (CAP)</t>
        </is>
      </c>
      <c r="I81" s="33" t="inlineStr">
        <is>
          <t>1</t>
        </is>
      </c>
      <c r="J81"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1" s="35" t="n"/>
      <c r="L81" s="34" t="inlineStr">
        <is>
          <t>Tablet Coating</t>
        </is>
      </c>
      <c r="M81" s="35" t="inlineStr">
        <is>
          <t>Tablet &amp; Solid Dosage</t>
        </is>
      </c>
      <c r="N81" s="34" t="inlineStr">
        <is>
          <t>PLE_CC1_2564_All_Key ข้อ 60</t>
        </is>
      </c>
      <c r="O81" s="35" t="inlineStr">
        <is>
          <t>ข้อสอบจริง</t>
        </is>
      </c>
      <c r="P81" s="33" t="inlineStr">
        <is>
          <t>ปี 2564</t>
        </is>
      </c>
      <c r="Q81" s="2" t="n"/>
    </row>
    <row r="82" ht="13.2" customHeight="1" s="49">
      <c r="A82" s="33" t="n">
        <v>80</v>
      </c>
      <c r="B82" s="34" t="inlineStr">
        <is>
          <t>antifungal vaginal tablet ร้านยาเก็บที่อุณหภูมิที่เท่าไร</t>
        </is>
      </c>
      <c r="C82" s="35" t="n"/>
      <c r="D82" s="34" t="inlineStr">
        <is>
          <t>Tablet &amp; Solid Dosage</t>
        </is>
      </c>
      <c r="E82" s="34" t="inlineStr">
        <is>
          <t>2-8 อC</t>
        </is>
      </c>
      <c r="F82" s="34" t="inlineStr">
        <is>
          <t>25-30 อC</t>
        </is>
      </c>
      <c r="G82" s="34" t="inlineStr">
        <is>
          <t>-25...</t>
        </is>
      </c>
      <c r="H82" s="34" t="inlineStr">
        <is>
          <t>[NEED_REVIEW]</t>
        </is>
      </c>
      <c r="I82" s="33" t="inlineStr">
        <is>
          <t>1</t>
        </is>
      </c>
      <c r="J82"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
🔍 ข้ออื่นผิดเพราะอะไร:
• ข้อ ข. (2-8 อC): 2-8 อC ไม่ตรงกับข้อบ่งใช้หรือกลไกการออกฤทธิ์ที่ถูกต้องตาม Thai Pharmacopoeia / USP &lt;1151&gt; GMP Guidelines
• ข้อ ค. (25-30 อC): 25-30 อC ไม่ตรงกับข้อบ่งใช้หรือกลไกการออกฤทธิ์ที่ถูกต้องตาม Thai Pharmacopoeia / USP &lt;1151&gt; GMP Guidelines
• ข้อ ง. (-25...): -25... ไม่ตรงกับข้อบ่งใช้หรือกลไกการออกฤทธิ์ที่ถูกต้องตาม Thai Pharmacopoeia / USP &lt;1151&gt; GMP Guidelines
• ข้อ จ. (มากกว่า 30 แต่จำช่วงไม่ได้): มากกว่า 30 แต่จำช่วงไม่ได้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2" s="35" t="n"/>
      <c r="L82" s="34" t="inlineStr">
        <is>
          <t>Tablet Manufacturing</t>
        </is>
      </c>
      <c r="M82" s="35" t="inlineStr">
        <is>
          <t>Tablet &amp; Solid Dosage</t>
        </is>
      </c>
      <c r="N82" s="34" t="inlineStr">
        <is>
          <t>PLE_CC1_2564_All_Key ข้อ 115</t>
        </is>
      </c>
      <c r="O82" s="35" t="inlineStr">
        <is>
          <t>ข้อสอบจริง</t>
        </is>
      </c>
      <c r="P82" s="33" t="inlineStr">
        <is>
          <t>ปี 2564</t>
        </is>
      </c>
      <c r="Q82" s="2" t="n"/>
    </row>
    <row r="83" ht="13.2" customHeight="1" s="49">
      <c r="A83" s="33" t="n">
        <v>81</v>
      </c>
      <c r="B83" s="34"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83" s="35" t="n"/>
      <c r="D83" s="34" t="inlineStr">
        <is>
          <t>Tablet &amp; Solid Dosage</t>
        </is>
      </c>
      <c r="E83" s="34" t="inlineStr">
        <is>
          <t>Microcrystalline cellulose</t>
        </is>
      </c>
      <c r="F83" s="34" t="inlineStr">
        <is>
          <t>Magnesium stearate (Lubricant 1%)</t>
        </is>
      </c>
      <c r="G83" s="34" t="inlineStr">
        <is>
          <t>Sodium starch glycolate (Superdisintegrant)</t>
        </is>
      </c>
      <c r="H83" s="34" t="inlineStr">
        <is>
          <t>Direct Compression tableting method</t>
        </is>
      </c>
      <c r="I83" s="33" t="inlineStr">
        <is>
          <t>1</t>
        </is>
      </c>
      <c r="J83"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35" t="n"/>
      <c r="L83" s="34" t="inlineStr">
        <is>
          <t>Powders &amp; Granules</t>
        </is>
      </c>
      <c r="M83" s="35" t="inlineStr">
        <is>
          <t>Tablet &amp; Solid Dosage</t>
        </is>
      </c>
      <c r="N83" s="34" t="inlineStr">
        <is>
          <t>PLE_CC1_2564_All_Key ข้อ 130</t>
        </is>
      </c>
      <c r="O83" s="35" t="inlineStr">
        <is>
          <t>ข้อสอบจริง</t>
        </is>
      </c>
      <c r="P83" s="35" t="inlineStr">
        <is>
          <t>ปี 2564</t>
        </is>
      </c>
      <c r="Q83" s="2" t="n"/>
    </row>
    <row r="84" ht="13.2" customHeight="1" s="49">
      <c r="A84" s="33" t="n">
        <v>82</v>
      </c>
      <c r="B84" s="34"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84" s="35" t="n"/>
      <c r="D84" s="34" t="inlineStr">
        <is>
          <t>Tablet &amp; Solid Dosage</t>
        </is>
      </c>
      <c r="E84" s="34" t="inlineStr">
        <is>
          <t>Direct Compression tableting method</t>
        </is>
      </c>
      <c r="F84" s="34" t="inlineStr">
        <is>
          <t>Wet Granulation tableting method</t>
        </is>
      </c>
      <c r="G84" s="34" t="inlineStr">
        <is>
          <t>Dry Granulation (Roller Compaction)</t>
        </is>
      </c>
      <c r="H84" s="34" t="inlineStr">
        <is>
          <t>Fluidized Bed Granulation</t>
        </is>
      </c>
      <c r="I84" s="33" t="inlineStr">
        <is>
          <t>1</t>
        </is>
      </c>
      <c r="J84" s="34"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35" t="n"/>
      <c r="L84" s="34" t="inlineStr">
        <is>
          <t>Tablet Manufacturing</t>
        </is>
      </c>
      <c r="M84" s="35" t="inlineStr">
        <is>
          <t>Tablet &amp; Solid Dosage</t>
        </is>
      </c>
      <c r="N84" s="34" t="inlineStr">
        <is>
          <t>PLE_CC1_2564_All_Key ข้อ 141</t>
        </is>
      </c>
      <c r="O84" s="35" t="inlineStr">
        <is>
          <t>ข้อสอบจริง</t>
        </is>
      </c>
      <c r="P84" s="35" t="inlineStr">
        <is>
          <t>ปี 2564</t>
        </is>
      </c>
    </row>
    <row r="85" ht="13.2" customHeight="1" s="49">
      <c r="A85" s="33" t="n">
        <v>83</v>
      </c>
      <c r="B85" s="34"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35" t="n"/>
      <c r="D85" s="34" t="inlineStr">
        <is>
          <t>Matrix type</t>
        </is>
      </c>
      <c r="E85" s="34" t="inlineStr">
        <is>
          <t>Reservoir type</t>
        </is>
      </c>
      <c r="F85" s="34" t="inlineStr">
        <is>
          <t>Multiple unit system</t>
        </is>
      </c>
      <c r="G85" s="34" t="inlineStr">
        <is>
          <t>Osmotic pump</t>
        </is>
      </c>
      <c r="H85" s="34" t="inlineStr">
        <is>
          <t>Membrane controlled type</t>
        </is>
      </c>
      <c r="I85" s="33" t="n">
        <v>1</v>
      </c>
      <c r="J85" s="34"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35" t="n"/>
      <c r="L85" s="34" t="inlineStr">
        <is>
          <t>Tablet Manufacturing</t>
        </is>
      </c>
      <c r="M85" s="35" t="inlineStr">
        <is>
          <t>Product</t>
        </is>
      </c>
      <c r="N85" s="34" t="inlineStr">
        <is>
          <t>ข้อ 63 (PLE_CC1_2562_Key.md)</t>
        </is>
      </c>
      <c r="O85" s="35" t="inlineStr">
        <is>
          <t>ข้อสอบจริง</t>
        </is>
      </c>
      <c r="P85" s="35" t="inlineStr">
        <is>
          <t>ปี 2562</t>
        </is>
      </c>
      <c r="Q85" s="2" t="n"/>
    </row>
    <row r="86" ht="13.2" customHeight="1" s="49">
      <c r="A86" s="33" t="n">
        <v>84</v>
      </c>
      <c r="B86" s="34"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86" s="35" t="n"/>
      <c r="D86" s="34" t="inlineStr">
        <is>
          <t>รูปแบบควบคุมการปลดปล่อยยา</t>
        </is>
      </c>
      <c r="E86" s="34" t="inlineStr">
        <is>
          <t>สารช่วยในการปลดปล่อยตัวยา acrylic ester</t>
        </is>
      </c>
      <c r="F86" s="34" t="inlineStr">
        <is>
          <t>สามารถบดเม็ดยา แต่ห้ามเคี้ยว</t>
        </is>
      </c>
      <c r="G86" s="34" t="inlineStr">
        <is>
          <t>หน้าที่ titanium dioxide คือ opacifier</t>
        </is>
      </c>
      <c r="H86" s="34" t="inlineStr">
        <is>
          <t>Croscarmellose ทำให้ตัวยาปลดปล่อยนานกว่า plain tablets</t>
        </is>
      </c>
      <c r="I86" s="33" t="n">
        <v>1</v>
      </c>
      <c r="J86" s="34"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35" t="n"/>
      <c r="L86" s="34" t="inlineStr">
        <is>
          <t>Tablet Manufacturing</t>
        </is>
      </c>
      <c r="M86" s="35" t="inlineStr">
        <is>
          <t>Product</t>
        </is>
      </c>
      <c r="N86" s="34" t="inlineStr">
        <is>
          <t>ข้อ 105 (PLE_CC1_2562_Key.md)</t>
        </is>
      </c>
      <c r="O86" s="35" t="inlineStr">
        <is>
          <t>ข้อสอบจริง</t>
        </is>
      </c>
      <c r="P86" s="33" t="inlineStr">
        <is>
          <t>ปี 2562</t>
        </is>
      </c>
      <c r="Q86" s="2" t="n"/>
    </row>
    <row r="87" ht="13.2" customHeight="1" s="49">
      <c r="A87" s="33" t="n">
        <v>85</v>
      </c>
      <c r="B87" s="34" t="inlineStr">
        <is>
          <t>ข้อใดถูกต้องเกี่ยวกับคุณสมบัติของสารที่เป็นส่วนประกอบในชั้น coat ของ cyclophosphamide coated tablet O</t>
        </is>
      </c>
      <c r="C87" s="35" t="n"/>
      <c r="D87" s="34" t="inlineStr">
        <is>
          <t>Sucrose - sweetening agent</t>
        </is>
      </c>
      <c r="E87" s="34" t="inlineStr">
        <is>
          <t>Titanium dioxide ı opacifier</t>
        </is>
      </c>
      <c r="F87" s="34" t="inlineStr">
        <is>
          <t>Lactose monohydrate ı film former</t>
        </is>
      </c>
      <c r="G87" s="34" t="inlineStr">
        <is>
          <t>Calcium hydrogen phosphate dehydrate ı film former</t>
        </is>
      </c>
      <c r="H87" s="34"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33" t="n">
        <v>1</v>
      </c>
      <c r="J87" s="34"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35" t="n"/>
      <c r="L87" s="34" t="inlineStr">
        <is>
          <t>Tablet Coating</t>
        </is>
      </c>
      <c r="M87" s="35" t="inlineStr">
        <is>
          <t>Product</t>
        </is>
      </c>
      <c r="N87" s="34" t="inlineStr">
        <is>
          <t>ข้อ 117 (PLE_CC1_2562_Key.md)</t>
        </is>
      </c>
      <c r="O87" s="35" t="inlineStr">
        <is>
          <t>ข้อสอบจริง</t>
        </is>
      </c>
      <c r="P87" s="33" t="inlineStr">
        <is>
          <t>ปี 2562</t>
        </is>
      </c>
      <c r="Q87" s="2" t="n"/>
    </row>
    <row r="88" ht="13.2" customHeight="1" s="49">
      <c r="A88" s="33" t="n">
        <v>86</v>
      </c>
      <c r="B88" s="34"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35" t="n"/>
      <c r="D88" s="34" t="inlineStr">
        <is>
          <t>Gelatin</t>
        </is>
      </c>
      <c r="E88" s="34" t="inlineStr">
        <is>
          <t>Corn stearate</t>
        </is>
      </c>
      <c r="F88" s="34" t="inlineStr">
        <is>
          <t>Magnesium stearate</t>
        </is>
      </c>
      <c r="G88" s="34" t="inlineStr">
        <is>
          <t>TiO2</t>
        </is>
      </c>
      <c r="H88" s="34" t="inlineStr">
        <is>
          <t>SLS</t>
        </is>
      </c>
      <c r="I88" s="33" t="n">
        <v>1</v>
      </c>
      <c r="J88" s="34"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35" t="n"/>
      <c r="L88" s="34" t="inlineStr">
        <is>
          <t>Hard &amp; Soft Gelatin Capsules</t>
        </is>
      </c>
      <c r="M88" s="35" t="inlineStr">
        <is>
          <t>Product</t>
        </is>
      </c>
      <c r="N88" s="34" t="inlineStr">
        <is>
          <t>ข้อ 16 (PLE_CC1_2562_Key.md)</t>
        </is>
      </c>
      <c r="O88" s="35" t="inlineStr">
        <is>
          <t>ข้อสอบจริง</t>
        </is>
      </c>
      <c r="P88" s="33" t="inlineStr">
        <is>
          <t>ปี 2562</t>
        </is>
      </c>
      <c r="Q88" s="2" t="n"/>
    </row>
    <row r="89" ht="13.2" customHeight="1" s="49">
      <c r="A89" s="33" t="n">
        <v>87</v>
      </c>
      <c r="B89" s="34" t="inlineStr">
        <is>
          <t>เม็ดยา calcium carbonate 1.5 กรัมมีปัญหากร่อนแตกหักง่ายควรเพิ่มสารใดในตำรับ = - Tunisia X vie Fa .mision120140 X ~ - X binder binder</t>
        </is>
      </c>
      <c r="C89" s="35" t="n"/>
      <c r="D89" s="34" t="inlineStr">
        <is>
          <t>PVP</t>
        </is>
      </c>
      <c r="E89" s="34" t="inlineStr">
        <is>
          <t>Starch</t>
        </is>
      </c>
      <c r="F89" s="34" t="inlineStr">
        <is>
          <t>Colloidal SiO2</t>
        </is>
      </c>
      <c r="G89" s="34" t="inlineStr">
        <is>
          <t>Magnesium stearate</t>
        </is>
      </c>
      <c r="H89" s="34" t="inlineStr">
        <is>
          <t>Crosscamellose sodium binderta Starch paste sitsen anti adherance lubricant disintegrant หË´มนาÆปทาซËาทืกกรณิ ÂวËนาต้จ²ÆดËรงบ¯นืญ´ต /</t>
        </is>
      </c>
      <c r="I89" s="33" t="n">
        <v>1</v>
      </c>
      <c r="J89" s="34"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35" t="n"/>
      <c r="L89" s="34" t="inlineStr">
        <is>
          <t>Tablet Manufacturing</t>
        </is>
      </c>
      <c r="M89" s="35" t="inlineStr">
        <is>
          <t>Product</t>
        </is>
      </c>
      <c r="N89" s="34" t="inlineStr">
        <is>
          <t>ข้อ 80 (PLE_CC1_2562_Key.md)</t>
        </is>
      </c>
      <c r="O89" s="35" t="inlineStr">
        <is>
          <t>ข้อสอบจริง</t>
        </is>
      </c>
      <c r="P89" s="35" t="inlineStr">
        <is>
          <t>ปี 2562</t>
        </is>
      </c>
      <c r="Q89" s="2" t="n"/>
    </row>
    <row r="90" ht="13.2" customHeight="1" s="49">
      <c r="A90" s="33" t="n">
        <v>88</v>
      </c>
      <c r="B90" s="34"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35" t="n"/>
      <c r="D90" s="34" t="inlineStr">
        <is>
          <t>Citric acid, sodium bicarbonate</t>
        </is>
      </c>
      <c r="E90" s="34" t="inlineStr">
        <is>
          <t>Citric acid, sodium benzoate</t>
        </is>
      </c>
      <c r="F90" s="34" t="inlineStr">
        <is>
          <t>Tartaric acid, PVP K30</t>
        </is>
      </c>
      <c r="G90" s="34" t="inlineStr">
        <is>
          <t>Tartaric acid, sodium saccharin</t>
        </is>
      </c>
      <c r="H90" s="34"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33" t="n">
        <v>1</v>
      </c>
      <c r="J90" s="34"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35" t="n"/>
      <c r="L90" s="34" t="inlineStr">
        <is>
          <t>Tablet Manufacturing</t>
        </is>
      </c>
      <c r="M90" s="35" t="inlineStr">
        <is>
          <t>Product</t>
        </is>
      </c>
      <c r="N90" s="34" t="inlineStr">
        <is>
          <t>ข้อ 84 (PLE_CC1_2562_Key.md)</t>
        </is>
      </c>
      <c r="O90" s="35" t="inlineStr">
        <is>
          <t>ข้อสอบจริง</t>
        </is>
      </c>
      <c r="P90" s="35" t="inlineStr">
        <is>
          <t>ปี 2562</t>
        </is>
      </c>
      <c r="Q90" s="2" t="n"/>
    </row>
    <row r="91" ht="13.2" customHeight="1" s="49">
      <c r="A91" s="33" t="n">
        <v>89</v>
      </c>
      <c r="B91" s="34" t="inlineStr">
        <is>
          <t>ผูป%วยรับประทาน diclofenac tablet ที่ซื้อมาจากรานขายของชำ แต!ไม!ไดรับประทานยาที่แพทยTสั่งจ!ายจัดเปEน DRP ชนิดใด</t>
        </is>
      </c>
      <c r="C91" s="35" t="n"/>
      <c r="D91" s="34" t="inlineStr">
        <is>
          <t>Dose too high</t>
        </is>
      </c>
      <c r="E91" s="34" t="inlineStr">
        <is>
          <t>Non-adherence</t>
        </is>
      </c>
      <c r="F91" s="34" t="inlineStr">
        <is>
          <t>Unnecessary drug</t>
        </is>
      </c>
      <c r="G91" s="34" t="inlineStr">
        <is>
          <t>Untreated indication</t>
        </is>
      </c>
      <c r="H91" s="34" t="inlineStr">
        <is>
          <t>Improper drug selection</t>
        </is>
      </c>
      <c r="I91" s="33" t="n">
        <v>1</v>
      </c>
      <c r="J91" s="34"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35" t="n"/>
      <c r="L91" s="34" t="inlineStr">
        <is>
          <t>Tablet Manufacturing</t>
        </is>
      </c>
      <c r="M91" s="35" t="inlineStr">
        <is>
          <t>Product</t>
        </is>
      </c>
      <c r="N91" s="34" t="inlineStr">
        <is>
          <t>ข้อ 21 (PLE_CC1_2561_Key.md)</t>
        </is>
      </c>
      <c r="O91" s="35" t="inlineStr">
        <is>
          <t>ข้อสอบจริง</t>
        </is>
      </c>
      <c r="P91" s="35" t="inlineStr">
        <is>
          <t>ปี 2561</t>
        </is>
      </c>
      <c r="Q91" s="2" t="n"/>
    </row>
    <row r="92" ht="13.2" customHeight="1" s="49">
      <c r="A92" s="33" t="n">
        <v>90</v>
      </c>
      <c r="B92" s="34" t="inlineStr">
        <is>
          <t>ผูป%วยไปซื้อยา diclofenac tablet มาจากรานขายของชำ รานชำ สามารถขายยาชนิดนี้ไดหรือไม!</t>
        </is>
      </c>
      <c r="C92" s="35" t="n"/>
      <c r="D92" s="34" t="inlineStr">
        <is>
          <t>ขายไดเพราะเปEนยาแผนปtจจุบันบรรจุเสร็จ</t>
        </is>
      </c>
      <c r="E92" s="34" t="inlineStr">
        <is>
          <t>[NEED_REVIEW]</t>
        </is>
      </c>
      <c r="F92" s="34" t="inlineStr">
        <is>
          <t>ขายไดเพราะยานี้ไม!จำเปEนตองขายโดยเภสัช</t>
        </is>
      </c>
      <c r="G92" s="34" t="inlineStr">
        <is>
          <t>ขายไม!ไดในรานชำ เพราะเปEนยาอันตราย</t>
        </is>
      </c>
      <c r="H92" s="34" t="inlineStr">
        <is>
          <t>ขายไม!ไดในรานชำ เพราะเปEนยาควบคุมพิเศษ e</t>
        </is>
      </c>
      <c r="I92" s="33" t="n">
        <v>1</v>
      </c>
      <c r="J92" s="34"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35" t="n"/>
      <c r="L92" s="34" t="inlineStr">
        <is>
          <t>Tablet Manufacturing</t>
        </is>
      </c>
      <c r="M92" s="35" t="inlineStr">
        <is>
          <t>Product</t>
        </is>
      </c>
      <c r="N92" s="34" t="inlineStr">
        <is>
          <t>ข้อ 20 (PLE_CC1_2561_Key.md)</t>
        </is>
      </c>
      <c r="O92" s="35" t="inlineStr">
        <is>
          <t>ข้อสอบจริง</t>
        </is>
      </c>
      <c r="P92" s="35" t="inlineStr">
        <is>
          <t>ปี 2561</t>
        </is>
      </c>
    </row>
    <row r="93" ht="13.2" customHeight="1" s="49">
      <c r="A93" s="33" t="n">
        <v>91</v>
      </c>
      <c r="B93" s="34" t="inlineStr">
        <is>
          <t>หากต้องการพัฒนาต้ารับยาเม็ด azitromycin เพื่อให้สามารถแตกตัวได้ดี ควรเติมสารเเตกตัวยิ่งยวด superdisintegrant ตัวใด</t>
        </is>
      </c>
      <c r="C93" s="35" t="n"/>
      <c r="D93" s="34" t="inlineStr">
        <is>
          <t>Pegelatinized starch</t>
        </is>
      </c>
      <c r="E93" s="34" t="inlineStr">
        <is>
          <t>Sodium lauryl sulfate</t>
        </is>
      </c>
      <c r="F93" s="34" t="inlineStr">
        <is>
          <t>Sodium croscarmellose</t>
        </is>
      </c>
      <c r="G93" s="34" t="inlineStr">
        <is>
          <t>HPMC</t>
        </is>
      </c>
      <c r="H93" s="34" t="inlineStr">
        <is>
          <t>Direct Compression tableting method</t>
        </is>
      </c>
      <c r="I93" s="33" t="n">
        <v>1</v>
      </c>
      <c r="J93" s="34"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35" t="n"/>
      <c r="L93" s="34" t="inlineStr">
        <is>
          <t>Tablet Manufacturing</t>
        </is>
      </c>
      <c r="M93" s="35" t="inlineStr">
        <is>
          <t>Product</t>
        </is>
      </c>
      <c r="N93" s="34" t="inlineStr">
        <is>
          <t>ข้อ 8 (PLE_CC1_2560 22 April Set 1.md)</t>
        </is>
      </c>
      <c r="O93" s="35" t="inlineStr">
        <is>
          <t>ข้อสอบจริง</t>
        </is>
      </c>
      <c r="P93" s="35" t="inlineStr">
        <is>
          <t>ปี 2560</t>
        </is>
      </c>
    </row>
    <row r="94" ht="13.2" customHeight="1" s="49">
      <c r="A94" s="33" t="n">
        <v>92</v>
      </c>
      <c r="B94" s="34" t="inlineStr">
        <is>
          <t>Enalapril tablet 10 mg ต้องท้า Direct compression เหตุผลข้อใด เป็นเหตุผลส้าคัญที่ต้องท้าแบบนี</t>
        </is>
      </c>
      <c r="C94" s="35" t="n"/>
      <c r="D94" s="34" t="inlineStr">
        <is>
          <t>ยาทนความชื นได้</t>
        </is>
      </c>
      <c r="E94" s="34" t="inlineStr">
        <is>
          <t>ยาไม่ทนความร้อนสูง</t>
        </is>
      </c>
      <c r="F94" s="34" t="inlineStr">
        <is>
          <t>ยาน้อยท้าให้ผสมเข้ากันได้</t>
        </is>
      </c>
      <c r="G94" s="34" t="inlineStr">
        <is>
          <t>ยาผสมเข้ากับ excipient ในต้ารับได้ง่าย</t>
        </is>
      </c>
      <c r="H94" s="34" t="inlineStr">
        <is>
          <t>ใช้ Roller compactor ในการท้า wet granulation</t>
        </is>
      </c>
      <c r="I94" s="33" t="n">
        <v>1</v>
      </c>
      <c r="J94" s="34"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35" t="n"/>
      <c r="L94" s="34" t="inlineStr">
        <is>
          <t>Tablet Manufacturing</t>
        </is>
      </c>
      <c r="M94" s="35" t="inlineStr">
        <is>
          <t>Product</t>
        </is>
      </c>
      <c r="N94" s="34" t="inlineStr">
        <is>
          <t>ข้อ 7 (PLE_CC1_2560 22 April Set 1.md)</t>
        </is>
      </c>
      <c r="O94" s="35" t="inlineStr">
        <is>
          <t>ข้อสอบจริง</t>
        </is>
      </c>
      <c r="P94" s="35" t="inlineStr">
        <is>
          <t>ปี 2560</t>
        </is>
      </c>
    </row>
    <row r="95" ht="13.2" customHeight="1" s="49">
      <c r="A95" s="33" t="n">
        <v>93</v>
      </c>
      <c r="B95" s="34" t="inlineStr">
        <is>
          <t>ยาเม็ดเคลือบฟิลม์ ผลิตแล้วพบว่าเม็ดยาติดกัน มีวิธีแก้ไขอย่างไร</t>
        </is>
      </c>
      <c r="C95" s="35" t="n"/>
      <c r="D95" s="34" t="inlineStr">
        <is>
          <t>ลดความเข้มข้นของสารเคลือบ</t>
        </is>
      </c>
      <c r="E95" s="34" t="inlineStr">
        <is>
          <t>เพิ่มความร้อนของลมที่เข้าเครื่อง</t>
        </is>
      </c>
      <c r="F95" s="34" t="inlineStr">
        <is>
          <t>เพิ่มอัตราการไหลของสารเคลือบผ่านหัวสเปรย์</t>
        </is>
      </c>
      <c r="G95" s="34" t="inlineStr">
        <is>
          <t>ลดความเร็วของการหมุนถังเคลือบ</t>
        </is>
      </c>
      <c r="H95" s="34" t="inlineStr">
        <is>
          <t>เพิ่มความดันของสเปรย์</t>
        </is>
      </c>
      <c r="I95" s="33" t="n">
        <v>1</v>
      </c>
      <c r="J95" s="34"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35" t="n"/>
      <c r="L95" s="34" t="inlineStr">
        <is>
          <t>Tablet Manufacturing</t>
        </is>
      </c>
      <c r="M95" s="35" t="inlineStr">
        <is>
          <t>Product</t>
        </is>
      </c>
      <c r="N95" s="34" t="inlineStr">
        <is>
          <t>ข้อ 7 (PLE_CC1_2560 22 April Set 1.md)</t>
        </is>
      </c>
      <c r="O95" s="35" t="inlineStr">
        <is>
          <t>ข้อสอบจริง</t>
        </is>
      </c>
      <c r="P95" s="35" t="inlineStr">
        <is>
          <t>ปี 2560</t>
        </is>
      </c>
    </row>
    <row r="96" ht="13.2" customHeight="1" s="49">
      <c r="A96" s="33" t="n">
        <v>94</v>
      </c>
      <c r="B96" s="34" t="inlineStr">
        <is>
          <t>เครื่องมือที่ใช้ในการผสม Magnesium stearate กับ Granule</t>
        </is>
      </c>
      <c r="C96" s="35" t="n"/>
      <c r="D96" s="34" t="inlineStr">
        <is>
          <t>Double cone mixer</t>
        </is>
      </c>
      <c r="E96" s="34" t="inlineStr">
        <is>
          <t>Planetary mixer</t>
        </is>
      </c>
      <c r="F96" s="34" t="inlineStr">
        <is>
          <t>Ribbon mixer</t>
        </is>
      </c>
      <c r="G96" s="34" t="inlineStr">
        <is>
          <t>Sigma blade mixer</t>
        </is>
      </c>
      <c r="H96" s="34" t="inlineStr">
        <is>
          <t>High speed mixer</t>
        </is>
      </c>
      <c r="I96" s="33" t="n">
        <v>1</v>
      </c>
      <c r="J96" s="34"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35" t="n"/>
      <c r="L96" s="34" t="inlineStr">
        <is>
          <t>Powders &amp; Granules</t>
        </is>
      </c>
      <c r="M96" s="35" t="inlineStr">
        <is>
          <t>Product</t>
        </is>
      </c>
      <c r="N96" s="34" t="inlineStr">
        <is>
          <t>ข้อ 7 (PLE_CC1_2560 22 April Set 1.md)</t>
        </is>
      </c>
      <c r="O96" s="35" t="inlineStr">
        <is>
          <t>ข้อสอบจริง</t>
        </is>
      </c>
      <c r="P96" s="35" t="inlineStr">
        <is>
          <t>ปี 2560</t>
        </is>
      </c>
    </row>
    <row r="97" ht="13.2" customHeight="1" s="49">
      <c r="A97" s="33" t="n">
        <v>95</v>
      </c>
      <c r="B97" s="34" t="inlineStr">
        <is>
          <t>สารใดเป็น Superdisintegrant</t>
        </is>
      </c>
      <c r="C97" s="35" t="n"/>
      <c r="D97" s="34" t="inlineStr">
        <is>
          <t>Pegelatinized starch</t>
        </is>
      </c>
      <c r="E97" s="34" t="inlineStr">
        <is>
          <t>Sodium lauryl sulfate</t>
        </is>
      </c>
      <c r="F97" s="34" t="inlineStr">
        <is>
          <t>Sodium croscarmellose</t>
        </is>
      </c>
      <c r="G97" s="34" t="inlineStr">
        <is>
          <t>HPMC 9 MCQ11 2/2560 By CU Rx73 MCQ11 2/2560 By CU Rx73</t>
        </is>
      </c>
      <c r="H97" s="34" t="inlineStr">
        <is>
          <t>Wet Granulation tableting method</t>
        </is>
      </c>
      <c r="I97" s="33" t="n">
        <v>1</v>
      </c>
      <c r="J97" s="34"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35" t="n"/>
      <c r="L97" s="34" t="inlineStr">
        <is>
          <t>Tablet Manufacturing</t>
        </is>
      </c>
      <c r="M97" s="35" t="inlineStr">
        <is>
          <t>Product</t>
        </is>
      </c>
      <c r="N97" s="34" t="inlineStr">
        <is>
          <t>ข้อ 8 (PLE_CC1_2560 22 April Set 2.md)</t>
        </is>
      </c>
      <c r="O97" s="35" t="inlineStr">
        <is>
          <t>ข้อสอบจริง</t>
        </is>
      </c>
      <c r="P97" s="35" t="inlineStr">
        <is>
          <t>ปี 2560</t>
        </is>
      </c>
    </row>
    <row r="98" ht="13.2" customHeight="1" s="49">
      <c r="A98" s="35" t="n">
        <v>96</v>
      </c>
      <c r="B98" s="34" t="inlineStr">
        <is>
          <t>ปัจจัยใดไม่เกี่ยวข้องกับปัญหาปริมาณยาในยาเม็ดไม่สม ่าเสมอ</t>
        </is>
      </c>
      <c r="C98" s="35" t="n"/>
      <c r="D98" s="34" t="inlineStr">
        <is>
          <t>มุมทรงตัว</t>
        </is>
      </c>
      <c r="E98" s="34" t="inlineStr">
        <is>
          <t>ความพรุน</t>
        </is>
      </c>
      <c r="F98" s="34" t="inlineStr">
        <is>
          <t>Compressibility</t>
        </is>
      </c>
      <c r="G98" s="34" t="inlineStr">
        <is>
          <t>Fluidized Bed Granulation</t>
        </is>
      </c>
      <c r="H98" s="34"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35" t="n">
        <v>1</v>
      </c>
      <c r="J98" s="34"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35" t="n"/>
      <c r="L98" s="34" t="inlineStr">
        <is>
          <t>Tablet Manufacturing</t>
        </is>
      </c>
      <c r="M98" s="35" t="inlineStr">
        <is>
          <t>Product</t>
        </is>
      </c>
      <c r="N98" s="34" t="inlineStr">
        <is>
          <t>ข้อ 9 (PLE_CC1_2560 22 April Set 2.md)</t>
        </is>
      </c>
      <c r="O98" s="35" t="inlineStr">
        <is>
          <t>ข้อสอบจริง</t>
        </is>
      </c>
      <c r="P98" s="35" t="inlineStr">
        <is>
          <t>ปี 2560</t>
        </is>
      </c>
    </row>
    <row r="99" ht="13.2" customHeight="1" s="49">
      <c r="A99" s="35" t="n">
        <v>97</v>
      </c>
      <c r="B99" s="34" t="inlineStr">
        <is>
          <t>ยาเม็ด ferrous sulfate 100 mg จะได้ ferrous 20 mg หากต้องการให้ ferrous ผู้ป่วย 60 mg ต้องใช้กี่เม็ด</t>
        </is>
      </c>
      <c r="C99" s="35" t="n"/>
      <c r="D99" s="34" t="inlineStr">
        <is>
          <t>1 เม็ด</t>
        </is>
      </c>
      <c r="E99" s="34" t="inlineStr">
        <is>
          <t>2 เม็ด</t>
        </is>
      </c>
      <c r="F99" s="34" t="inlineStr">
        <is>
          <t>3 เม็ด</t>
        </is>
      </c>
      <c r="G99" s="34" t="inlineStr">
        <is>
          <t>4 เม็ด</t>
        </is>
      </c>
      <c r="H99" s="34" t="inlineStr">
        <is>
          <t>5 เม็ด</t>
        </is>
      </c>
      <c r="I99" s="35" t="n">
        <v>1</v>
      </c>
      <c r="J99" s="34"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35" t="n"/>
      <c r="L99" s="34" t="inlineStr">
        <is>
          <t>Tablet Manufacturing</t>
        </is>
      </c>
      <c r="M99" s="35" t="inlineStr">
        <is>
          <t>Product</t>
        </is>
      </c>
      <c r="N99" s="34" t="inlineStr">
        <is>
          <t>ข้อ 82 (PLE_CC1_2559.md)</t>
        </is>
      </c>
      <c r="O99" s="35" t="inlineStr">
        <is>
          <t>ข้อสอบจริง</t>
        </is>
      </c>
      <c r="P99" s="35" t="inlineStr">
        <is>
          <t>ปี 2559</t>
        </is>
      </c>
    </row>
    <row r="100" ht="13.2" customHeight="1" s="49">
      <c r="A100" s="35" t="n">
        <v>98</v>
      </c>
      <c r="B100" s="34" t="inlineStr">
        <is>
          <t>จากสูตรตำรับนี้ Rx. AAA 300 mg Lactose 500 mg Corn starch 10% ถ้าตำรับยาเม็ดที่ได้แตกตัวไม่ดีจะแก้ไขอย่างไร</t>
        </is>
      </c>
      <c r="C100" s="35" t="n"/>
      <c r="D100" s="34" t="inlineStr">
        <is>
          <t>เปลี่ยน lactose เป็น sodium starch glycolate</t>
        </is>
      </c>
      <c r="E100" s="34" t="inlineStr">
        <is>
          <t>เปลี่ยน lactose เป็น cross carmellose Na</t>
        </is>
      </c>
      <c r="F100" s="34" t="inlineStr">
        <is>
          <t>เปลี่ยน corn starch เป็น sodium starch glycolate</t>
        </is>
      </c>
      <c r="G100" s="34" t="inlineStr">
        <is>
          <t>เปลี่ยน corn starch เป็น cross carmellose Na</t>
        </is>
      </c>
      <c r="H100" s="34" t="inlineStr">
        <is>
          <t>เปลี่ยน corn starch เป็น PVP</t>
        </is>
      </c>
      <c r="I100" s="35" t="n">
        <v>1</v>
      </c>
      <c r="J100" s="34"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เปลี่ยน corn starch เป็น cross carmellose Na ไม่ตรงกับข้อบ่งใช้หรือกลไกการออกฤทธิ์ที่ถูกต้องตาม Thai Pharmacopoeia / USP &lt;1151&gt; GMP Guidelines
• ข้อ จ. (เปลี่ยน corn starch เป็น PVP กรณีศึกษา 2 นอนไม่ได้): PVP (Polyvinylpyrrolidone/Povidone) ใช้เป็น binder ใน wet granulation และ solubilizer ใน liquid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35" t="n"/>
      <c r="L100" s="34" t="inlineStr">
        <is>
          <t>Tablet Manufacturing</t>
        </is>
      </c>
      <c r="M100" s="35" t="inlineStr">
        <is>
          <t>Product</t>
        </is>
      </c>
      <c r="N100" s="34" t="inlineStr">
        <is>
          <t>ข้อ 9 (PLE_CC1_2558_Key.md)</t>
        </is>
      </c>
      <c r="O100" s="35" t="inlineStr">
        <is>
          <t>ข้อสอบจริง</t>
        </is>
      </c>
      <c r="P100" s="35" t="inlineStr">
        <is>
          <t>ปี 2558</t>
        </is>
      </c>
    </row>
    <row r="101" ht="13.2" customHeight="1" s="49">
      <c r="A101" s="35" t="n">
        <v>99</v>
      </c>
      <c r="B101" s="34" t="inlineStr">
        <is>
          <t>Furosemide tablet</t>
        </is>
      </c>
      <c r="C101" s="35" t="n"/>
      <c r="D101" s="34" t="inlineStr">
        <is>
          <t>Magnesium stearate (Lubricant 1%)</t>
        </is>
      </c>
      <c r="E101" s="34" t="inlineStr">
        <is>
          <t>Sodium starch glycolate (Superdisintegrant)</t>
        </is>
      </c>
      <c r="F101" s="34" t="inlineStr">
        <is>
          <t>Direct Compression tableting method</t>
        </is>
      </c>
      <c r="G101" s="34" t="inlineStr">
        <is>
          <t>Wet Granulation tableting method</t>
        </is>
      </c>
      <c r="H101" s="34" t="inlineStr">
        <is>
          <t>Dry Granulation (Roller Compaction)</t>
        </is>
      </c>
      <c r="I101" s="35" t="n">
        <v>1</v>
      </c>
      <c r="J101"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35" t="n"/>
      <c r="L101" s="34" t="inlineStr">
        <is>
          <t>Tablet Manufacturing</t>
        </is>
      </c>
      <c r="M101" s="35" t="inlineStr">
        <is>
          <t>Product</t>
        </is>
      </c>
      <c r="N101" s="34" t="inlineStr">
        <is>
          <t>ข้อ 1 (PLE_CC1_2558_Key.md)</t>
        </is>
      </c>
      <c r="O101" s="35" t="inlineStr">
        <is>
          <t>ข้อสอบจริง</t>
        </is>
      </c>
      <c r="P101" s="35" t="inlineStr">
        <is>
          <t>ปี 2558</t>
        </is>
      </c>
    </row>
    <row r="102" ht="13.2" customHeight="1" s="49">
      <c r="A102" s="35" t="n">
        <v>100</v>
      </c>
      <c r="B102" s="34" t="inlineStr">
        <is>
          <t>Enalapril tablet</t>
        </is>
      </c>
      <c r="C102" s="35" t="n"/>
      <c r="D102" s="34" t="inlineStr">
        <is>
          <t>Wet Granulation tableting method</t>
        </is>
      </c>
      <c r="E102" s="34" t="inlineStr">
        <is>
          <t>Dry Granulation (Roller Compaction)</t>
        </is>
      </c>
      <c r="F102" s="34" t="inlineStr">
        <is>
          <t>Fluidized Bed Granulation</t>
        </is>
      </c>
      <c r="G102" s="34" t="inlineStr">
        <is>
          <t>Film Coating with Hydroxypropyl methylcellulose (HPMC)</t>
        </is>
      </c>
      <c r="H102" s="34" t="inlineStr">
        <is>
          <t>Enteric Coating with Cellulose acetate phthalate (CAP)</t>
        </is>
      </c>
      <c r="I102" s="35" t="n">
        <v>1</v>
      </c>
      <c r="J102"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35" t="n"/>
      <c r="L102" s="34" t="inlineStr">
        <is>
          <t>Tablet Manufacturing</t>
        </is>
      </c>
      <c r="M102" s="35" t="inlineStr">
        <is>
          <t>Product</t>
        </is>
      </c>
      <c r="N102" s="34" t="inlineStr">
        <is>
          <t>ข้อ 2 (PLE_CC1_2558_Key.md)</t>
        </is>
      </c>
      <c r="O102" s="35" t="inlineStr">
        <is>
          <t>ข้อสอบจริง</t>
        </is>
      </c>
      <c r="P102" s="35" t="inlineStr">
        <is>
          <t>ปี 2558</t>
        </is>
      </c>
    </row>
    <row r="103" ht="13.2" customHeight="1" s="49">
      <c r="A103" s="35" t="n">
        <v>101</v>
      </c>
      <c r="B103" s="34" t="inlineStr">
        <is>
          <t>ทำไมถึงต้องควบคุมคุณภาพ enalaprilat ใน enalapril tablet</t>
        </is>
      </c>
      <c r="C103" s="35" t="n"/>
      <c r="D103" s="34" t="inlineStr">
        <is>
          <t>เป็นสารออกฤทธิ์ร่วมของ enalapril</t>
        </is>
      </c>
      <c r="E103" s="34" t="inlineStr">
        <is>
          <t>เป็น related substance ของ enalapril</t>
        </is>
      </c>
      <c r="F103" s="34" t="inlineStr">
        <is>
          <t>เป็น prodrug ของ enalapril</t>
        </is>
      </c>
      <c r="G103" s="34" t="inlineStr">
        <is>
          <t>ยับยั้งการทำลาย enalapril</t>
        </is>
      </c>
      <c r="H103" s="34" t="inlineStr">
        <is>
          <t>เป็น inactive metabolite</t>
        </is>
      </c>
      <c r="I103" s="35" t="n">
        <v>1</v>
      </c>
      <c r="J103" s="34"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เป็น inactive metabolite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35" t="n"/>
      <c r="L103" s="34" t="inlineStr">
        <is>
          <t>Tablet Manufacturing</t>
        </is>
      </c>
      <c r="M103" s="35" t="inlineStr">
        <is>
          <t>Product</t>
        </is>
      </c>
      <c r="N103" s="34" t="inlineStr">
        <is>
          <t>ข้อ 58 (PLE_CC1_2558_Key.md)</t>
        </is>
      </c>
      <c r="O103" s="35" t="inlineStr">
        <is>
          <t>ข้อสอบจริง</t>
        </is>
      </c>
      <c r="P103" s="35" t="inlineStr">
        <is>
          <t>ปี 2558</t>
        </is>
      </c>
    </row>
    <row r="104" ht="13.2" customHeight="1" s="49">
      <c r="A104" s="35" t="n">
        <v>102</v>
      </c>
      <c r="B104" s="34"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35" t="n"/>
      <c r="D104" s="34" t="inlineStr">
        <is>
          <t>ประวัติตั้งครรภ์</t>
        </is>
      </c>
      <c r="E104" s="34" t="inlineStr">
        <is>
          <t>ประวัติครอบครัวเป็นโรคมะเร็งลำไส้</t>
        </is>
      </c>
      <c r="F104" s="34" t="inlineStr">
        <is>
          <t>รับประทาน FBC</t>
        </is>
      </c>
      <c r="G104" s="34" t="inlineStr">
        <is>
          <t>รับประทาน Calcium Tablet</t>
        </is>
      </c>
      <c r="H104" s="34" t="inlineStr">
        <is>
          <t>ไม่มีข้อใดถูก</t>
        </is>
      </c>
      <c r="I104" s="35" t="n">
        <v>1</v>
      </c>
      <c r="J104" s="34"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ประวัติครอบครัวเป็นโรคมะเร็งลำไส้ ไม่ตรงกับข้อบ่งใช้หรือกลไกการออกฤทธิ์ที่ถูกต้องตาม Thai Pharmacopoeia / USP &lt;1151&gt; GMP Guidelines
• ข้อ ค. (รับประทาน FBC): รับประทาน FBC ไม่ตรงกับข้อบ่งใช้หรือกลไกการออกฤทธิ์ที่ถูกต้องตาม Thai Pharmacopoeia / USP &lt;1151&gt; GMP Guidelines
• ข้อ ง. (รับประทาน Calcium Tablet): รับประทาน Calcium Tablet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35" t="n"/>
      <c r="L104" s="34" t="inlineStr">
        <is>
          <t>Tablet Manufacturing</t>
        </is>
      </c>
      <c r="M104" s="35" t="inlineStr">
        <is>
          <t>Product</t>
        </is>
      </c>
      <c r="N104" s="34" t="inlineStr">
        <is>
          <t>ข้อ 23 (Pharmtutor_2024_Set1.md)</t>
        </is>
      </c>
      <c r="O104" s="35" t="inlineStr">
        <is>
          <t>Mock</t>
        </is>
      </c>
      <c r="P104" s="35" t="inlineStr">
        <is>
          <t>Mock Pharmtutor 2024</t>
        </is>
      </c>
    </row>
    <row r="105" ht="13.2" customHeight="1" s="49">
      <c r="A105" s="35" t="n">
        <v>103</v>
      </c>
      <c r="B105" s="34" t="inlineStr">
        <is>
          <t>เมื่อนำไปทดสอบ disintegration test พบว่าไม่ผ่าน ควรเติมสารในตำรับเพิ่ม</t>
        </is>
      </c>
      <c r="C105" s="35" t="n"/>
      <c r="D105" s="34" t="inlineStr">
        <is>
          <t>Calcium hydrogen phosphate (anhydrous)</t>
        </is>
      </c>
      <c r="E105" s="34" t="inlineStr">
        <is>
          <t>Microcrystalline cellulose</t>
        </is>
      </c>
      <c r="F105" s="34" t="inlineStr">
        <is>
          <t>Croscarmellose sodium</t>
        </is>
      </c>
      <c r="G105" s="34" t="inlineStr">
        <is>
          <t>Hypromellose</t>
        </is>
      </c>
      <c r="H105" s="34" t="inlineStr">
        <is>
          <t>Magnesium stearate</t>
        </is>
      </c>
      <c r="I105" s="35" t="n">
        <v>1</v>
      </c>
      <c r="J105" s="34"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Thai Pharmacopoeia / USP &lt;1151&gt; GMP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35" t="n"/>
      <c r="L105" s="34" t="inlineStr">
        <is>
          <t>Tablet Manufacturing</t>
        </is>
      </c>
      <c r="M105" s="35" t="inlineStr">
        <is>
          <t>Product</t>
        </is>
      </c>
      <c r="N105" s="34" t="inlineStr">
        <is>
          <t>ข้อ 104 (Pharmtutor_2024_Set1.md)</t>
        </is>
      </c>
      <c r="O105" s="35" t="inlineStr">
        <is>
          <t>Mock</t>
        </is>
      </c>
      <c r="P105" s="35" t="inlineStr">
        <is>
          <t>Mock Pharmtutor 2024</t>
        </is>
      </c>
    </row>
    <row r="106" ht="13.2" customHeight="1" s="49">
      <c r="A106" s="35" t="n">
        <v>104</v>
      </c>
      <c r="B106" s="34"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35" t="n"/>
      <c r="D106" s="34" t="inlineStr">
        <is>
          <t>มาตรา 72</t>
        </is>
      </c>
      <c r="E106" s="34" t="inlineStr">
        <is>
          <t>มาตรา 72 ทวิ</t>
        </is>
      </c>
      <c r="F106" s="34" t="inlineStr">
        <is>
          <t>มาตรา 73</t>
        </is>
      </c>
      <c r="G106" s="34" t="inlineStr">
        <is>
          <t>มาตรา 74</t>
        </is>
      </c>
      <c r="H106" s="34" t="inlineStr">
        <is>
          <t>มาตรา 75 ทวิ</t>
        </is>
      </c>
      <c r="I106" s="35" t="n">
        <v>1</v>
      </c>
      <c r="J106" s="34"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มาตรา 72 ทวิ ไม่ตรงกับข้อบ่งใช้หรือกลไกการออกฤทธิ์ที่ถูกต้องตาม Thai Pharmacopoeia / USP &lt;1151&gt; GMP Guidelines
• ข้อ ค. (มาตรา 73): มาตรา 73 ไม่ตรงกับข้อบ่งใช้หรือกลไกการออกฤทธิ์ที่ถูกต้องตาม Thai Pharmacopoeia / USP &lt;1151&gt; GMP Guidelines
• ข้อ ง. (มาตรา 74): มาตรา 74 ไม่ตรงกับข้อบ่งใช้หรือกลไกการออกฤทธิ์ที่ถูกต้องตาม Thai Pharmacopoeia / USP &lt;1151&gt; GMP Guidelines
• ข้อ จ. (มาตรา 75 ทวิ): มาตรา 75 ทวิ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35" t="n"/>
      <c r="L106" s="34" t="inlineStr">
        <is>
          <t>Tablet Manufacturing</t>
        </is>
      </c>
      <c r="M106" s="35" t="inlineStr">
        <is>
          <t>Product</t>
        </is>
      </c>
      <c r="N106" s="34" t="inlineStr">
        <is>
          <t>ข้อ 112 (Pharmtutor_2024_Set1.md)</t>
        </is>
      </c>
      <c r="O106" s="35" t="inlineStr">
        <is>
          <t>Mock</t>
        </is>
      </c>
      <c r="P106" s="35" t="inlineStr">
        <is>
          <t>Mock Pharmtutor 2024</t>
        </is>
      </c>
    </row>
    <row r="107" ht="13.2" customHeight="1" s="49">
      <c r="A107" s="35" t="n">
        <v>105</v>
      </c>
      <c r="B107" s="34" t="inlineStr">
        <is>
          <t>ระหว่างกระบวนการผลิตพบว่าน้ำหนักยาเม็ดไม่สม่ำเสมอ ควรปรับปรุงโดยการเพิ่มสารใดในตำรับ</t>
        </is>
      </c>
      <c r="C107" s="35" t="n"/>
      <c r="D107" s="34" t="inlineStr">
        <is>
          <t>Copovidone</t>
        </is>
      </c>
      <c r="E107" s="34" t="inlineStr">
        <is>
          <t>Sorbitan laurate</t>
        </is>
      </c>
      <c r="F107" s="34" t="inlineStr">
        <is>
          <t>Colloidal anhydrous sillca</t>
        </is>
      </c>
      <c r="G107" s="34" t="inlineStr">
        <is>
          <t>Sodium stearyl fumarate</t>
        </is>
      </c>
      <c r="H107" s="34" t="inlineStr">
        <is>
          <t>ไม่มีข้อถูก</t>
        </is>
      </c>
      <c r="I107" s="35" t="n">
        <v>1</v>
      </c>
      <c r="J107" s="34"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Sorbitan laurate ไม่ตรงกับข้อบ่งใช้หรือกลไกการออกฤทธิ์ที่ถูกต้องตาม Thai Pharmacopoeia / USP &lt;1151&gt; GMP Guidelines
• ข้อ ค. (Colloidal anhydrous sillca): Colloidal anhydrous sillca ไม่ตรงกับข้อบ่งใช้หรือกลไกการออกฤทธิ์ที่ถูกต้องตาม Thai Pharmacopoeia / USP &lt;1151&gt; GMP Guidelines
• ข้อ ง. (Sodium stearyl fumarate): Sodium stearyl fumarate ไม่ตรงกับข้อบ่งใช้หรือกลไกการออกฤทธิ์ที่ถูกต้องตาม Thai Pharmacopoeia / USP &lt;1151&gt; GMP Guidelines
• ข้อ จ. (ไม่มีข้อถูก): ไม่มีข้อถูก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35" t="n"/>
      <c r="L107" s="34" t="inlineStr">
        <is>
          <t>Tablet Manufacturing</t>
        </is>
      </c>
      <c r="M107" s="35" t="inlineStr">
        <is>
          <t>Product</t>
        </is>
      </c>
      <c r="N107" s="34" t="inlineStr">
        <is>
          <t>ข้อ 99 (Pharmtutor_2024_Set2.md)</t>
        </is>
      </c>
      <c r="O107" s="35" t="inlineStr">
        <is>
          <t>Mock</t>
        </is>
      </c>
      <c r="P107" s="35" t="inlineStr">
        <is>
          <t>Mock Pharmtutor 2024</t>
        </is>
      </c>
    </row>
    <row r="108" ht="13.2" customHeight="1" s="49">
      <c r="A108" s="35" t="n">
        <v>106</v>
      </c>
      <c r="B108" s="34"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35" t="n"/>
      <c r="D108" s="34" t="inlineStr">
        <is>
          <t>Microcrystalline cellulose</t>
        </is>
      </c>
      <c r="E108" s="34" t="inlineStr">
        <is>
          <t>Magnesium stearate (Lubricant 1%)</t>
        </is>
      </c>
      <c r="F108" s="34" t="inlineStr">
        <is>
          <t>Sodium starch glycolate (Superdisintegrant)</t>
        </is>
      </c>
      <c r="G108" s="34" t="inlineStr">
        <is>
          <t>Direct Compression tableting method</t>
        </is>
      </c>
      <c r="H108" s="34" t="inlineStr">
        <is>
          <t>Wet Granulation tableting method</t>
        </is>
      </c>
      <c r="I108" s="35" t="n">
        <v>1</v>
      </c>
      <c r="J108" s="34"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35" t="n"/>
      <c r="L108" s="34" t="inlineStr">
        <is>
          <t>Tablet Manufacturing</t>
        </is>
      </c>
      <c r="M108" s="35" t="inlineStr">
        <is>
          <t>Product</t>
        </is>
      </c>
      <c r="N108" s="34" t="inlineStr">
        <is>
          <t>ข้อ 38 (PLE_CC1_2557.md)</t>
        </is>
      </c>
      <c r="O108" s="35" t="inlineStr">
        <is>
          <t>ข้อสอบจริง</t>
        </is>
      </c>
      <c r="P108" s="35" t="inlineStr">
        <is>
          <t>ปี 2557</t>
        </is>
      </c>
    </row>
    <row r="109" ht="13.2" customHeight="1" s="49">
      <c r="A109" s="35" t="n">
        <v>107</v>
      </c>
      <c r="B109" s="34"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09" s="35" t="n"/>
      <c r="D109" s="34" t="inlineStr">
        <is>
          <t>Direct Compression tableting method</t>
        </is>
      </c>
      <c r="E109" s="34" t="inlineStr">
        <is>
          <t>Wet Granulation tableting method</t>
        </is>
      </c>
      <c r="F109" s="34" t="inlineStr">
        <is>
          <t>Dry Granulation (Roller Compaction)</t>
        </is>
      </c>
      <c r="G109" s="34" t="inlineStr">
        <is>
          <t>Fluidized Bed Granulation</t>
        </is>
      </c>
      <c r="H109" s="34" t="inlineStr">
        <is>
          <t>Film Coating with Hydroxypropyl methylcellulose (HPMC)</t>
        </is>
      </c>
      <c r="I109" s="35" t="n">
        <v>1</v>
      </c>
      <c r="J109"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35" t="n"/>
      <c r="L109" s="34" t="inlineStr">
        <is>
          <t>Tablet Manufacturing</t>
        </is>
      </c>
      <c r="M109" s="35" t="inlineStr">
        <is>
          <t>Product</t>
        </is>
      </c>
      <c r="N109" s="34" t="inlineStr">
        <is>
          <t>ข้อ 22 (PLE_CC1_2557.md)</t>
        </is>
      </c>
      <c r="O109" s="35" t="inlineStr">
        <is>
          <t>ข้อสอบจริง</t>
        </is>
      </c>
      <c r="P109" s="35" t="inlineStr">
        <is>
          <t>ปี 2557</t>
        </is>
      </c>
    </row>
    <row r="110" ht="13.2" customHeight="1" s="49">
      <c r="A110" s="35" t="n">
        <v>108</v>
      </c>
      <c r="B110" s="34"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10" s="35" t="n"/>
      <c r="D110" s="34" t="inlineStr">
        <is>
          <t>Fluidized Bed Granulation</t>
        </is>
      </c>
      <c r="E110" s="34" t="inlineStr">
        <is>
          <t>Film Coating with Hydroxypropyl methylcellulose (HPMC)</t>
        </is>
      </c>
      <c r="F110" s="34" t="inlineStr">
        <is>
          <t>Enteric Coating with Cellulose acetate phthalate (CAP)</t>
        </is>
      </c>
      <c r="G110" s="34" t="inlineStr">
        <is>
          <t>Hard Gelatin Capsule filling</t>
        </is>
      </c>
      <c r="H110" s="34" t="inlineStr">
        <is>
          <t>Soft Gelatin Capsule encapsulation</t>
        </is>
      </c>
      <c r="I110" s="35" t="n">
        <v>1</v>
      </c>
      <c r="J110"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35" t="n"/>
      <c r="L110" s="34" t="inlineStr">
        <is>
          <t>Tablet Manufacturing</t>
        </is>
      </c>
      <c r="M110" s="35" t="inlineStr">
        <is>
          <t>Product</t>
        </is>
      </c>
      <c r="N110" s="34" t="inlineStr">
        <is>
          <t>ข้อ 39 (PLE_CC1_2557.md)</t>
        </is>
      </c>
      <c r="O110" s="35" t="inlineStr">
        <is>
          <t>ข้อสอบจริง</t>
        </is>
      </c>
      <c r="P110" s="35" t="inlineStr">
        <is>
          <t>ปี 2557</t>
        </is>
      </c>
    </row>
    <row r="111" ht="13.2" customHeight="1" s="49">
      <c r="A111" s="35" t="n">
        <v>109</v>
      </c>
      <c r="B111" s="34" t="inlineStr">
        <is>
          <t>ผลิตภัณฑ์แคลเซียมรูปแบบใด ออกฤทธิAเร็วที_x001E_สุด (1) Plain-compressed tablets (2) Chewable tablets (3) Effervescent tablets (4) Enteric-coated tablets (5) Film-coated tablets</t>
        </is>
      </c>
      <c r="C111" s="35" t="n"/>
      <c r="D111" s="34" t="inlineStr">
        <is>
          <t>Hard Gelatin Capsule filling</t>
        </is>
      </c>
      <c r="E111" s="34" t="inlineStr">
        <is>
          <t>Soft Gelatin Capsule encapsulation</t>
        </is>
      </c>
      <c r="F111" s="34" t="inlineStr">
        <is>
          <t>Microcrystalline cellulose</t>
        </is>
      </c>
      <c r="G111" s="34" t="inlineStr">
        <is>
          <t>Magnesium stearate (Lubricant 1%)</t>
        </is>
      </c>
      <c r="H111" s="34" t="inlineStr">
        <is>
          <t>Sodium starch glycolate (Superdisintegrant)</t>
        </is>
      </c>
      <c r="I111" s="35" t="n">
        <v>1</v>
      </c>
      <c r="J111"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35" t="n"/>
      <c r="L111" s="34" t="inlineStr">
        <is>
          <t>Tablet Coating</t>
        </is>
      </c>
      <c r="M111" s="35" t="inlineStr">
        <is>
          <t>Product</t>
        </is>
      </c>
      <c r="N111" s="34" t="inlineStr">
        <is>
          <t>ข้อ 51 (PLE_CC1_2557.md)</t>
        </is>
      </c>
      <c r="O111" s="35" t="inlineStr">
        <is>
          <t>ข้อสอบจริง</t>
        </is>
      </c>
      <c r="P111" s="35" t="inlineStr">
        <is>
          <t>ปี 2557</t>
        </is>
      </c>
    </row>
    <row r="112" ht="13.2" customHeight="1" s="49">
      <c r="A112" s="35" t="n">
        <v>110</v>
      </c>
      <c r="B112" s="34"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12" s="35" t="n"/>
      <c r="D112" s="34" t="inlineStr">
        <is>
          <t>Magnesium stearate (Lubricant 1%)</t>
        </is>
      </c>
      <c r="E112" s="34" t="inlineStr">
        <is>
          <t>Sodium starch glycolate (Superdisintegrant)</t>
        </is>
      </c>
      <c r="F112" s="34" t="inlineStr">
        <is>
          <t>Direct Compression tableting method</t>
        </is>
      </c>
      <c r="G112" s="34" t="inlineStr">
        <is>
          <t>Wet Granulation tableting method</t>
        </is>
      </c>
      <c r="H112" s="34" t="inlineStr">
        <is>
          <t>Dry Granulation (Roller Compaction)</t>
        </is>
      </c>
      <c r="I112" s="35" t="n">
        <v>1</v>
      </c>
      <c r="J112" s="34"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35" t="n"/>
      <c r="L112" s="34" t="inlineStr">
        <is>
          <t>Hard &amp; Soft Gelatin Capsules</t>
        </is>
      </c>
      <c r="M112" s="35" t="inlineStr">
        <is>
          <t>Product</t>
        </is>
      </c>
      <c r="N112" s="34" t="inlineStr">
        <is>
          <t>ข้อ 73 (PLE_CC1_2557.md)</t>
        </is>
      </c>
      <c r="O112" s="35" t="inlineStr">
        <is>
          <t>ข้อสอบจริง</t>
        </is>
      </c>
      <c r="P112" s="35" t="inlineStr">
        <is>
          <t>ปี 2557</t>
        </is>
      </c>
    </row>
    <row r="113" ht="13.2" customHeight="1" s="49">
      <c r="A113" s="35" t="n">
        <v>111</v>
      </c>
      <c r="B113" s="34"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35" t="n"/>
      <c r="D113" s="34" t="inlineStr">
        <is>
          <t>เชื้ออะไรของ sinusitis ตอบ S.pneumo</t>
        </is>
      </c>
      <c r="E113" s="34" t="inlineStr">
        <is>
          <t>Dry Granulation (Roller Compaction)</t>
        </is>
      </c>
      <c r="F113" s="34" t="inlineStr">
        <is>
          <t>Fluidized Bed Granulation</t>
        </is>
      </c>
      <c r="G113" s="34" t="inlineStr">
        <is>
          <t>Film Coating with Hydroxypropyl methylcellulose (HPMC)</t>
        </is>
      </c>
      <c r="H113" s="34" t="inlineStr">
        <is>
          <t>Enteric Coating with Cellulose acetate phthalate (CAP)</t>
        </is>
      </c>
      <c r="I113" s="35" t="n">
        <v>1</v>
      </c>
      <c r="J113" s="34"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35" t="n"/>
      <c r="L113" s="34" t="inlineStr">
        <is>
          <t>Tablet Manufacturing</t>
        </is>
      </c>
      <c r="M113" s="35" t="inlineStr">
        <is>
          <t>Product</t>
        </is>
      </c>
      <c r="N113" s="34" t="inlineStr">
        <is>
          <t>ข้อ 5 (PLE_CC1_2556.md)</t>
        </is>
      </c>
      <c r="O113" s="35" t="inlineStr">
        <is>
          <t>ข้อสอบจริง</t>
        </is>
      </c>
      <c r="P113" s="35" t="inlineStr">
        <is>
          <t>ปี 2556</t>
        </is>
      </c>
    </row>
    <row r="114" ht="13.2" customHeight="1" s="49">
      <c r="A114" s="35" t="n">
        <v>112</v>
      </c>
      <c r="B114" s="34" t="inlineStr">
        <is>
          <t>ขั้นตอนการผลิตยาเม็ด Ethambutol ในข้อใดมีผลต่อความสม ่าเสมอของตัวยามากที่สุด</t>
        </is>
      </c>
      <c r="C114" s="35" t="n"/>
      <c r="D114" s="34" t="inlineStr">
        <is>
          <t>Mixing</t>
        </is>
      </c>
      <c r="E114" s="34" t="inlineStr">
        <is>
          <t>Drying</t>
        </is>
      </c>
      <c r="F114" s="34" t="inlineStr">
        <is>
          <t>Slugging</t>
        </is>
      </c>
      <c r="G114" s="34" t="inlineStr">
        <is>
          <t>Coating</t>
        </is>
      </c>
      <c r="H114" s="34" t="inlineStr">
        <is>
          <t>Tableting</t>
        </is>
      </c>
      <c r="I114" s="35" t="n">
        <v>1</v>
      </c>
      <c r="J114" s="34"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35" t="n"/>
      <c r="L114" s="34" t="inlineStr">
        <is>
          <t>Tablet Manufacturing</t>
        </is>
      </c>
      <c r="M114" s="35" t="inlineStr">
        <is>
          <t>Product</t>
        </is>
      </c>
      <c r="N114" s="34" t="inlineStr">
        <is>
          <t>ข้อ 29 (PLE_CC1_2555 Day 1.md)</t>
        </is>
      </c>
      <c r="O114" s="35" t="inlineStr">
        <is>
          <t>ข้อสอบจริง</t>
        </is>
      </c>
      <c r="P114" s="35" t="inlineStr">
        <is>
          <t>ปี 2555</t>
        </is>
      </c>
    </row>
    <row r="115" ht="13.2" customHeight="1" s="49">
      <c r="A115" s="35" t="n">
        <v>113</v>
      </c>
      <c r="B115" s="34" t="inlineStr">
        <is>
          <t>ข้อใดไม่ถูกต้องเกี่ยวกับข้อดีของการผลิตยาเม็ดโดยการตอกตรง</t>
        </is>
      </c>
      <c r="C115" s="35" t="n"/>
      <c r="D115" s="34" t="inlineStr">
        <is>
          <t>ใช้เครื่องมือในการผลิตน้อยชนิด</t>
        </is>
      </c>
      <c r="E115" s="34" t="inlineStr">
        <is>
          <t>กรรมวิธีในการผลิตน้อยขั้นตอน</t>
        </is>
      </c>
      <c r="F115" s="34" t="inlineStr">
        <is>
          <t>ผงยาไหลดี ตอกได้</t>
        </is>
      </c>
      <c r="G115" s="34" t="inlineStr">
        <is>
          <t>.............</t>
        </is>
      </c>
      <c r="H115" s="34" t="inlineStr">
        <is>
          <t>การกระจายของสีสม ่าเสมอมากกว่าการเตรียมโดยวิธีแกรนูลเปียก คณะเภสัชศาสตร์</t>
        </is>
      </c>
      <c r="I115" s="35" t="n">
        <v>1</v>
      </c>
      <c r="J115" s="34"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35" t="n"/>
      <c r="L115" s="34" t="inlineStr">
        <is>
          <t>Tablet Manufacturing</t>
        </is>
      </c>
      <c r="M115" s="35" t="inlineStr">
        <is>
          <t>Product</t>
        </is>
      </c>
      <c r="N115" s="34" t="inlineStr">
        <is>
          <t>ข้อ 30 (PLE_CC1_2555 Day 1.md)</t>
        </is>
      </c>
      <c r="O115" s="35" t="inlineStr">
        <is>
          <t>ข้อสอบจริง</t>
        </is>
      </c>
      <c r="P115" s="35" t="inlineStr">
        <is>
          <t>ปี 2555</t>
        </is>
      </c>
    </row>
    <row r="116" ht="13.2" customHeight="1" s="49">
      <c r="A116" s="35" t="n">
        <v>114</v>
      </c>
      <c r="B116" s="34"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35" t="n"/>
      <c r="D116" s="34" t="inlineStr">
        <is>
          <t>ยา A มีการละลายดีกว่ายา B เนื่องจากมี Lactose เพื่อช่วยให้ยาละลายดีขึ้น</t>
        </is>
      </c>
      <c r="E116" s="34" t="inlineStr">
        <is>
          <t>ยา B มีการละลายที่ดีกว่ายา A เนื่องจากมี Sodium lauryl sulfate เพื่อให้ผงยาเปียกได้มากขึ้น</t>
        </is>
      </c>
      <c r="F116" s="34" t="inlineStr">
        <is>
          <t>....................</t>
        </is>
      </c>
      <c r="G116" s="34" t="inlineStr">
        <is>
          <t>..................</t>
        </is>
      </c>
      <c r="H116" s="34" t="inlineStr">
        <is>
          <t>...................</t>
        </is>
      </c>
      <c r="I116" s="35" t="n">
        <v>1</v>
      </c>
      <c r="J116" s="34"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35" t="n"/>
      <c r="L116" s="34" t="inlineStr">
        <is>
          <t>Tablet Manufacturing</t>
        </is>
      </c>
      <c r="M116" s="35" t="inlineStr">
        <is>
          <t>Product</t>
        </is>
      </c>
      <c r="N116" s="34" t="inlineStr">
        <is>
          <t>ข้อ 36 (PLE_CC1_2555 Day 1.md)</t>
        </is>
      </c>
      <c r="O116" s="35" t="inlineStr">
        <is>
          <t>ข้อสอบจริง</t>
        </is>
      </c>
      <c r="P116" s="35" t="inlineStr">
        <is>
          <t>ปี 2555</t>
        </is>
      </c>
    </row>
    <row r="117" ht="13.2" customHeight="1" s="49">
      <c r="A117" s="35" t="n">
        <v>115</v>
      </c>
      <c r="B117" s="34" t="inlineStr">
        <is>
          <t>ข้อใดถูกต้องเกี่ยวกับตำรับยาเม็ด</t>
        </is>
      </c>
      <c r="C117" s="35" t="n"/>
      <c r="D117" s="34" t="inlineStr">
        <is>
          <t>.........</t>
        </is>
      </c>
      <c r="E117" s="34" t="inlineStr">
        <is>
          <t>........</t>
        </is>
      </c>
      <c r="F117" s="34" t="inlineStr">
        <is>
          <t>...........</t>
        </is>
      </c>
      <c r="G117" s="34" t="inlineStr">
        <is>
          <t>.......</t>
        </is>
      </c>
      <c r="H117" s="34" t="inlineStr">
        <is>
          <t>Sodium starch glycolate เป็นสารช่วยแตกตัว มือทั้ง 2 ข้าง</t>
        </is>
      </c>
      <c r="I117" s="35" t="n">
        <v>1</v>
      </c>
      <c r="J117" s="34"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35" t="n"/>
      <c r="L117" s="34" t="inlineStr">
        <is>
          <t>Tablet Manufacturing</t>
        </is>
      </c>
      <c r="M117" s="35" t="inlineStr">
        <is>
          <t>Product</t>
        </is>
      </c>
      <c r="N117" s="34" t="inlineStr">
        <is>
          <t>ข้อ 60 (PLE_CC1_2555 Day 1.md)</t>
        </is>
      </c>
      <c r="O117" s="35" t="inlineStr">
        <is>
          <t>ข้อสอบจริง</t>
        </is>
      </c>
      <c r="P117" s="35" t="inlineStr">
        <is>
          <t>ปี 2555</t>
        </is>
      </c>
    </row>
    <row r="118" ht="13.2" customHeight="1" s="49">
      <c r="A118" s="35" t="n">
        <v>116</v>
      </c>
      <c r="B118" s="34" t="inlineStr">
        <is>
          <t>เปลี่ยนไปใช้ antacid tablet แทน</t>
        </is>
      </c>
      <c r="C118" s="35" t="n"/>
      <c r="D118" s="34" t="inlineStr">
        <is>
          <t>Enteric Coating with Cellulose acetate phthalate (CAP)</t>
        </is>
      </c>
      <c r="E118" s="34" t="inlineStr">
        <is>
          <t>Hard Gelatin Capsule filling</t>
        </is>
      </c>
      <c r="F118" s="34" t="inlineStr">
        <is>
          <t>Soft Gelatin Capsule encapsulation</t>
        </is>
      </c>
      <c r="G118" s="34" t="inlineStr">
        <is>
          <t>Microcrystalline cellulose</t>
        </is>
      </c>
      <c r="H118" s="34" t="inlineStr">
        <is>
          <t>Magnesium stearate (Lubricant 1%)</t>
        </is>
      </c>
      <c r="I118" s="35" t="n">
        <v>1</v>
      </c>
      <c r="J118"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35" t="n"/>
      <c r="L118" s="34" t="inlineStr">
        <is>
          <t>Tablet Manufacturing</t>
        </is>
      </c>
      <c r="M118" s="35" t="inlineStr">
        <is>
          <t>Product</t>
        </is>
      </c>
      <c r="N118" s="34" t="inlineStr">
        <is>
          <t>ข้อ 5 (PLE_CC1_2555 Day 2.md)</t>
        </is>
      </c>
      <c r="O118" s="35" t="inlineStr">
        <is>
          <t>ข้อสอบจริง</t>
        </is>
      </c>
      <c r="P118" s="35" t="inlineStr">
        <is>
          <t>ปี 2555</t>
        </is>
      </c>
    </row>
    <row r="119" ht="13.2" customHeight="1" s="49">
      <c r="A119" s="35" t="n">
        <v>117</v>
      </c>
      <c r="B119" s="34" t="inlineStr">
        <is>
          <t>ยาเม็ดที่มี Estrogen เพียงชนิดเดียว 28 เม็ด</t>
        </is>
      </c>
      <c r="C119" s="35" t="n"/>
      <c r="D119" s="34" t="inlineStr">
        <is>
          <t>Microcrystalline cellulose</t>
        </is>
      </c>
      <c r="E119" s="34" t="inlineStr">
        <is>
          <t>Magnesium stearate (Lubricant 1%)</t>
        </is>
      </c>
      <c r="F119" s="34" t="inlineStr">
        <is>
          <t>Sodium starch glycolate (Superdisintegrant)</t>
        </is>
      </c>
      <c r="G119" s="34" t="inlineStr">
        <is>
          <t>Direct Compression tableting method</t>
        </is>
      </c>
      <c r="H119" s="34" t="inlineStr">
        <is>
          <t>Wet Granulation tableting method</t>
        </is>
      </c>
      <c r="I119" s="35" t="n">
        <v>1</v>
      </c>
      <c r="J119"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35" t="n"/>
      <c r="L119" s="34" t="inlineStr">
        <is>
          <t>Tablet Manufacturing</t>
        </is>
      </c>
      <c r="M119" s="35" t="inlineStr">
        <is>
          <t>Product</t>
        </is>
      </c>
      <c r="N119" s="34" t="inlineStr">
        <is>
          <t>ข้อ 1 (PLE_CC1_2555 Day 2.md)</t>
        </is>
      </c>
      <c r="O119" s="35" t="inlineStr">
        <is>
          <t>ข้อสอบจริง</t>
        </is>
      </c>
      <c r="P119" s="35" t="inlineStr">
        <is>
          <t>ปี 2555</t>
        </is>
      </c>
    </row>
    <row r="120" ht="13.2" customHeight="1" s="49">
      <c r="A120" s="35" t="n">
        <v>118</v>
      </c>
      <c r="B120" s="34" t="inlineStr">
        <is>
          <t>ยาเม็ดที่มี Progesterone เพียงชนิดเดียว 28 เม็ด</t>
        </is>
      </c>
      <c r="C120" s="35" t="n"/>
      <c r="D120" s="34" t="inlineStr">
        <is>
          <t>Direct Compression tableting method</t>
        </is>
      </c>
      <c r="E120" s="34" t="inlineStr">
        <is>
          <t>Wet Granulation tableting method</t>
        </is>
      </c>
      <c r="F120" s="34" t="inlineStr">
        <is>
          <t>Dry Granulation (Roller Compaction)</t>
        </is>
      </c>
      <c r="G120" s="34" t="inlineStr">
        <is>
          <t>Fluidized Bed Granulation</t>
        </is>
      </c>
      <c r="H120" s="34" t="inlineStr">
        <is>
          <t>Film Coating with Hydroxypropyl methylcellulose (HPMC)</t>
        </is>
      </c>
      <c r="I120" s="35" t="n">
        <v>1</v>
      </c>
      <c r="J120"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35" t="n"/>
      <c r="L120" s="34" t="inlineStr">
        <is>
          <t>Tablet Manufacturing</t>
        </is>
      </c>
      <c r="M120" s="35" t="inlineStr">
        <is>
          <t>Product</t>
        </is>
      </c>
      <c r="N120" s="34" t="inlineStr">
        <is>
          <t>ข้อ 2 (PLE_CC1_2555 Day 2.md)</t>
        </is>
      </c>
      <c r="O120" s="35" t="inlineStr">
        <is>
          <t>ข้อสอบจริง</t>
        </is>
      </c>
      <c r="P120" s="35" t="inlineStr">
        <is>
          <t>ปี 2555</t>
        </is>
      </c>
    </row>
    <row r="121" ht="13.2" customHeight="1" s="49">
      <c r="A121" s="35" t="n">
        <v>119</v>
      </c>
      <c r="B121" s="34" t="inlineStr">
        <is>
          <t>ยาเม็ดที่มี Estrogen ชนิดเดียว 14 เม็ด และ Progesterone ชนิดเดียว 14 เม็ด</t>
        </is>
      </c>
      <c r="C121" s="35" t="n"/>
      <c r="D121" s="34" t="inlineStr">
        <is>
          <t>Fluidized Bed Granulation</t>
        </is>
      </c>
      <c r="E121" s="34" t="inlineStr">
        <is>
          <t>Film Coating with Hydroxypropyl methylcellulose (HPMC)</t>
        </is>
      </c>
      <c r="F121" s="34" t="inlineStr">
        <is>
          <t>Enteric Coating with Cellulose acetate phthalate (CAP)</t>
        </is>
      </c>
      <c r="G121" s="34" t="inlineStr">
        <is>
          <t>Hard Gelatin Capsule filling</t>
        </is>
      </c>
      <c r="H121" s="34" t="inlineStr">
        <is>
          <t>Soft Gelatin Capsule encapsulation</t>
        </is>
      </c>
      <c r="I121" s="35" t="n">
        <v>1</v>
      </c>
      <c r="J121"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35" t="n"/>
      <c r="L121" s="34" t="inlineStr">
        <is>
          <t>Tablet Manufacturing</t>
        </is>
      </c>
      <c r="M121" s="35" t="inlineStr">
        <is>
          <t>Product</t>
        </is>
      </c>
      <c r="N121" s="34" t="inlineStr">
        <is>
          <t>ข้อ 3 (PLE_CC1_2555 Day 2.md)</t>
        </is>
      </c>
      <c r="O121" s="35" t="inlineStr">
        <is>
          <t>ข้อสอบจริง</t>
        </is>
      </c>
      <c r="P121" s="35" t="inlineStr">
        <is>
          <t>ปี 2555</t>
        </is>
      </c>
    </row>
    <row r="122" ht="13.2" customHeight="1" s="49">
      <c r="A122" s="35" t="n">
        <v>120</v>
      </c>
      <c r="B122" s="34" t="inlineStr">
        <is>
          <t>ยาเม็ดที่มีทั้ง Estrogen และ Progesterone ทุกเม็ด 28 เม็ด</t>
        </is>
      </c>
      <c r="C122" s="35" t="n"/>
      <c r="D122" s="34" t="inlineStr">
        <is>
          <t>Hard Gelatin Capsule filling</t>
        </is>
      </c>
      <c r="E122" s="34" t="inlineStr">
        <is>
          <t>Soft Gelatin Capsule encapsulation</t>
        </is>
      </c>
      <c r="F122" s="34" t="inlineStr">
        <is>
          <t>Microcrystalline cellulose</t>
        </is>
      </c>
      <c r="G122" s="34" t="inlineStr">
        <is>
          <t>Magnesium stearate (Lubricant 1%)</t>
        </is>
      </c>
      <c r="H122" s="34" t="inlineStr">
        <is>
          <t>Sodium starch glycolate (Superdisintegrant)</t>
        </is>
      </c>
      <c r="I122" s="35" t="n">
        <v>1</v>
      </c>
      <c r="J122"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35" t="n"/>
      <c r="L122" s="34" t="inlineStr">
        <is>
          <t>Tablet Manufacturing</t>
        </is>
      </c>
      <c r="M122" s="35" t="inlineStr">
        <is>
          <t>Product</t>
        </is>
      </c>
      <c r="N122" s="34" t="inlineStr">
        <is>
          <t>ข้อ 4 (PLE_CC1_2555 Day 2.md)</t>
        </is>
      </c>
      <c r="O122" s="35" t="inlineStr">
        <is>
          <t>ข้อสอบจริง</t>
        </is>
      </c>
      <c r="P122" s="35" t="inlineStr">
        <is>
          <t>ปี 2555</t>
        </is>
      </c>
    </row>
    <row r="123" ht="13.2" customHeight="1" s="49">
      <c r="A123" s="35" t="n">
        <v>121</v>
      </c>
      <c r="B123" s="34" t="inlineStr">
        <is>
          <t>ในการทดสอบสูตรตำรับยาเม็ด ข้อใดที่ไม่ได้ระบุไว้ใน USP</t>
        </is>
      </c>
      <c r="C123" s="35" t="n"/>
      <c r="D123" s="34" t="inlineStr">
        <is>
          <t>Magnesium stearate (Lubricant 1%)</t>
        </is>
      </c>
      <c r="E123" s="34" t="inlineStr">
        <is>
          <t>Sodium starch glycolate (Superdisintegrant)</t>
        </is>
      </c>
      <c r="F123" s="34" t="inlineStr">
        <is>
          <t>Direct Compression tableting method</t>
        </is>
      </c>
      <c r="G123" s="34" t="inlineStr">
        <is>
          <t>Wet Granulation tableting method</t>
        </is>
      </c>
      <c r="H123" s="34" t="inlineStr">
        <is>
          <t>Dry Granulation (Roller Compaction)</t>
        </is>
      </c>
      <c r="I123" s="35" t="n">
        <v>1</v>
      </c>
      <c r="J123"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35" t="n"/>
      <c r="L123" s="34" t="inlineStr">
        <is>
          <t>Tablet Manufacturing</t>
        </is>
      </c>
      <c r="M123" s="35" t="inlineStr">
        <is>
          <t>Product</t>
        </is>
      </c>
      <c r="N123" s="34" t="inlineStr">
        <is>
          <t>ข้อ 5 (PLE_CC1_2555 Day 2.md)</t>
        </is>
      </c>
      <c r="O123" s="35" t="inlineStr">
        <is>
          <t>ข้อสอบจริง</t>
        </is>
      </c>
      <c r="P123" s="35" t="inlineStr">
        <is>
          <t>ปี 2555</t>
        </is>
      </c>
    </row>
    <row r="124" ht="13.2" customHeight="1" s="49">
      <c r="A124" s="35" t="n">
        <v>122</v>
      </c>
      <c r="B124" s="34" t="inlineStr">
        <is>
          <t>ให้สูตรตำรับมา 2 ตำรับ ข้อใดถูก สูตร A สูตร B Allopurinol … … … Sodium starch glycolate Magnesium stearate 15% Allopurinol … … … Microcrystalline cellulose Sodium lauryl sulfate Magnesium stearate 5%</t>
        </is>
      </c>
      <c r="C124" s="35" t="n"/>
      <c r="D124" s="34" t="inlineStr">
        <is>
          <t>Wet Granulation tableting method</t>
        </is>
      </c>
      <c r="E124" s="34" t="inlineStr">
        <is>
          <t>Dry Granulation (Roller Compaction)</t>
        </is>
      </c>
      <c r="F124" s="34" t="inlineStr">
        <is>
          <t>Fluidized Bed Granulation</t>
        </is>
      </c>
      <c r="G124" s="34" t="inlineStr">
        <is>
          <t>Film Coating with Hydroxypropyl methylcellulose (HPMC)</t>
        </is>
      </c>
      <c r="H124" s="34" t="inlineStr">
        <is>
          <t>Enteric Coating with Cellulose acetate phthalate (CAP)</t>
        </is>
      </c>
      <c r="I124" s="35" t="n">
        <v>1</v>
      </c>
      <c r="J124"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35" t="n"/>
      <c r="L124" s="34" t="inlineStr">
        <is>
          <t>Tablet Manufacturing</t>
        </is>
      </c>
      <c r="M124" s="35" t="inlineStr">
        <is>
          <t>Product</t>
        </is>
      </c>
      <c r="N124" s="34" t="inlineStr">
        <is>
          <t>ข้อ 8 (PLE_CC1_2555 Day 2.md)</t>
        </is>
      </c>
      <c r="O124" s="35" t="inlineStr">
        <is>
          <t>ข้อสอบจริง</t>
        </is>
      </c>
      <c r="P124" s="35" t="inlineStr">
        <is>
          <t>ปี 2555</t>
        </is>
      </c>
    </row>
    <row r="125" ht="13.2" customHeight="1" s="49">
      <c r="A125" s="35" t="n">
        <v>123</v>
      </c>
      <c r="B125" s="34" t="inlineStr">
        <is>
          <t>magnesium stearate</t>
        </is>
      </c>
      <c r="C125" s="35" t="n"/>
      <c r="D125" s="34" t="inlineStr">
        <is>
          <t>Film Coating with Hydroxypropyl methylcellulose (HPMC)</t>
        </is>
      </c>
      <c r="E125" s="34" t="inlineStr">
        <is>
          <t>Enteric Coating with Cellulose acetate phthalate (CAP)</t>
        </is>
      </c>
      <c r="F125" s="34" t="inlineStr">
        <is>
          <t>Hard Gelatin Capsule filling</t>
        </is>
      </c>
      <c r="G125" s="34" t="inlineStr">
        <is>
          <t>Soft Gelatin Capsule encapsulation</t>
        </is>
      </c>
      <c r="H125" s="34" t="inlineStr">
        <is>
          <t>Microcrystalline cellulose</t>
        </is>
      </c>
      <c r="I125" s="35" t="n">
        <v>1</v>
      </c>
      <c r="J125"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35" t="n"/>
      <c r="L125" s="34" t="inlineStr">
        <is>
          <t>Tablet Manufacturing</t>
        </is>
      </c>
      <c r="M125" s="35" t="inlineStr">
        <is>
          <t>Product</t>
        </is>
      </c>
      <c r="N125" s="34" t="inlineStr">
        <is>
          <t>ข้อ 4 (PLE_CC1_2555 Day 2.md)</t>
        </is>
      </c>
      <c r="O125" s="35" t="inlineStr">
        <is>
          <t>ข้อสอบจริง</t>
        </is>
      </c>
      <c r="P125" s="35" t="inlineStr">
        <is>
          <t>ปี 2555</t>
        </is>
      </c>
    </row>
    <row r="126" ht="13.2" customHeight="1" s="49">
      <c r="A126" s="35" t="n">
        <v>124</v>
      </c>
      <c r="B126" s="34" t="inlineStr">
        <is>
          <t>Magnesium stearate</t>
        </is>
      </c>
      <c r="C126" s="35" t="n"/>
      <c r="D126" s="34" t="inlineStr">
        <is>
          <t>Soft Gelatin Capsule encapsulation</t>
        </is>
      </c>
      <c r="E126" s="34" t="inlineStr">
        <is>
          <t>Microcrystalline cellulose</t>
        </is>
      </c>
      <c r="F126" s="34" t="inlineStr">
        <is>
          <t>Magnesium stearate (Lubricant 1%)</t>
        </is>
      </c>
      <c r="G126" s="34" t="inlineStr">
        <is>
          <t>Sodium starch glycolate (Superdisintegrant)</t>
        </is>
      </c>
      <c r="H126" s="34" t="inlineStr">
        <is>
          <t>Direct Compression tableting method</t>
        </is>
      </c>
      <c r="I126" s="35" t="n">
        <v>1</v>
      </c>
      <c r="J126"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35" t="n"/>
      <c r="L126" s="34" t="inlineStr">
        <is>
          <t>Tablet Manufacturing</t>
        </is>
      </c>
      <c r="M126" s="35" t="inlineStr">
        <is>
          <t>Product</t>
        </is>
      </c>
      <c r="N126" s="34" t="inlineStr">
        <is>
          <t>ข้อ 2 (PLE_CC1_2555 Day 2.md)</t>
        </is>
      </c>
      <c r="O126" s="35" t="inlineStr">
        <is>
          <t>ข้อสอบจริง</t>
        </is>
      </c>
      <c r="P126" s="35" t="inlineStr">
        <is>
          <t>ปี 2555</t>
        </is>
      </c>
    </row>
    <row r="127" ht="13.2" customHeight="1" s="49">
      <c r="A127" s="35" t="n">
        <v>125</v>
      </c>
      <c r="B127" s="34" t="inlineStr">
        <is>
          <t>เท่ากับครึ่งหนึ่งของอายุยาเม็ดที่เหลือ</t>
        </is>
      </c>
      <c r="C127" s="35" t="n"/>
      <c r="D127" s="34" t="inlineStr">
        <is>
          <t>การหาประสิทธิผลของยา เทียบกับราคา เรียกว่าเป็นการศึกษาอะไร</t>
        </is>
      </c>
      <c r="E127" s="34" t="inlineStr">
        <is>
          <t>Direct Compression tableting method</t>
        </is>
      </c>
      <c r="F127" s="34" t="inlineStr">
        <is>
          <t>Wet Granulation tableting method</t>
        </is>
      </c>
      <c r="G127" s="34" t="inlineStr">
        <is>
          <t>Dry Granulation (Roller Compaction)</t>
        </is>
      </c>
      <c r="H127" s="34" t="inlineStr">
        <is>
          <t>Fluidized Bed Granulation</t>
        </is>
      </c>
      <c r="I127" s="35" t="n">
        <v>1</v>
      </c>
      <c r="J127" s="34"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35" t="n"/>
      <c r="L127" s="34" t="inlineStr">
        <is>
          <t>Tablet Manufacturing</t>
        </is>
      </c>
      <c r="M127" s="35" t="inlineStr">
        <is>
          <t>Product</t>
        </is>
      </c>
      <c r="N127" s="34" t="inlineStr">
        <is>
          <t>ข้อ 4 (PLE_CC1_2555 Day 2.md)</t>
        </is>
      </c>
      <c r="O127" s="35" t="inlineStr">
        <is>
          <t>ข้อสอบจริง</t>
        </is>
      </c>
      <c r="P127" s="35" t="inlineStr">
        <is>
          <t>ปี 2555</t>
        </is>
      </c>
    </row>
    <row r="128" ht="13.2" customHeight="1" s="49">
      <c r="A128" s="35" t="n">
        <v>126</v>
      </c>
      <c r="B128" s="34"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35" t="n"/>
      <c r="D128" s="34" t="inlineStr">
        <is>
          <t>Dry Granulation (Roller Compaction)</t>
        </is>
      </c>
      <c r="E128" s="34" t="inlineStr">
        <is>
          <t>Fluidized Bed Granulation</t>
        </is>
      </c>
      <c r="F128" s="34" t="inlineStr">
        <is>
          <t>Film Coating with Hydroxypropyl methylcellulose (HPMC)</t>
        </is>
      </c>
      <c r="G128" s="34" t="inlineStr">
        <is>
          <t>Enteric Coating with Cellulose acetate phthalate (CAP)</t>
        </is>
      </c>
      <c r="H128" s="34" t="inlineStr">
        <is>
          <t>Hard Gelatin Capsule filling</t>
        </is>
      </c>
      <c r="I128" s="35" t="n">
        <v>1</v>
      </c>
      <c r="J128"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35" t="n"/>
      <c r="L128" s="34" t="inlineStr">
        <is>
          <t>Tablet Manufacturing</t>
        </is>
      </c>
      <c r="M128" s="35" t="inlineStr">
        <is>
          <t>Product</t>
        </is>
      </c>
      <c r="N128" s="34" t="inlineStr">
        <is>
          <t>ข้อ 5 (PLE_CC1_2533.md)</t>
        </is>
      </c>
      <c r="O128" s="35" t="inlineStr">
        <is>
          <t>ข้อสอบจริง</t>
        </is>
      </c>
      <c r="P128" s="35" t="inlineStr">
        <is>
          <t>ปี 2533</t>
        </is>
      </c>
    </row>
    <row r="129" ht="13.2" customHeight="1" s="49">
      <c r="A129" s="35" t="n">
        <v>127</v>
      </c>
      <c r="B129" s="34" t="inlineStr">
        <is>
          <t>ข้อใดคือวัตถุประสงค์หลักในการในการทำ Ferrus sulphate ให้เป็น Enteric coated tablets</t>
        </is>
      </c>
      <c r="C129" s="35" t="n"/>
      <c r="D129" s="34" t="inlineStr">
        <is>
          <t>Enteric Coating with Cellulose acetate phthalate (CAP)</t>
        </is>
      </c>
      <c r="E129" s="34" t="inlineStr">
        <is>
          <t>Hard Gelatin Capsule filling</t>
        </is>
      </c>
      <c r="F129" s="34" t="inlineStr">
        <is>
          <t>Soft Gelatin Capsule encapsulation</t>
        </is>
      </c>
      <c r="G129" s="34" t="inlineStr">
        <is>
          <t>Microcrystalline cellulose</t>
        </is>
      </c>
      <c r="H129" s="34" t="inlineStr">
        <is>
          <t>Magnesium stearate (Lubricant 1%)</t>
        </is>
      </c>
      <c r="I129" s="35" t="n">
        <v>1</v>
      </c>
      <c r="J129"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35" t="n"/>
      <c r="L129" s="34" t="inlineStr">
        <is>
          <t>Tablet Coating</t>
        </is>
      </c>
      <c r="M129" s="35" t="inlineStr">
        <is>
          <t>Product</t>
        </is>
      </c>
      <c r="N129" s="34" t="inlineStr">
        <is>
          <t>ข้อ 5 (PLE_CC1_2533.md)</t>
        </is>
      </c>
      <c r="O129" s="35" t="inlineStr">
        <is>
          <t>ข้อสอบจริง</t>
        </is>
      </c>
      <c r="P129" s="35" t="inlineStr">
        <is>
          <t>ปี 2533</t>
        </is>
      </c>
    </row>
    <row r="130" ht="13.2" customHeight="1" s="49">
      <c r="A130" s="35" t="n">
        <v>128</v>
      </c>
      <c r="B130" s="34" t="inlineStr">
        <is>
          <t>สารเคลือบในตำรับที่ทำให้ Ferrus sulphate ให้เป็น Enteric coated tablets</t>
        </is>
      </c>
      <c r="C130" s="35" t="n"/>
      <c r="D130" s="34" t="inlineStr">
        <is>
          <t>Microcrystalline cellulose</t>
        </is>
      </c>
      <c r="E130" s="34" t="inlineStr">
        <is>
          <t>Magnesium stearate (Lubricant 1%)</t>
        </is>
      </c>
      <c r="F130" s="34" t="inlineStr">
        <is>
          <t>Sodium starch glycolate (Superdisintegrant)</t>
        </is>
      </c>
      <c r="G130" s="34" t="inlineStr">
        <is>
          <t>Direct Compression tableting method</t>
        </is>
      </c>
      <c r="H130" s="34" t="inlineStr">
        <is>
          <t>Wet Granulation tableting method</t>
        </is>
      </c>
      <c r="I130" s="35" t="n">
        <v>1</v>
      </c>
      <c r="J130"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35" t="n"/>
      <c r="L130" s="34" t="inlineStr">
        <is>
          <t>Tablet Coating</t>
        </is>
      </c>
      <c r="M130" s="35" t="inlineStr">
        <is>
          <t>Product</t>
        </is>
      </c>
      <c r="N130" s="34" t="inlineStr">
        <is>
          <t>ข้อ 6 (PLE_CC1_2533.md)</t>
        </is>
      </c>
      <c r="O130" s="35" t="inlineStr">
        <is>
          <t>ข้อสอบจริง</t>
        </is>
      </c>
      <c r="P130" s="35" t="inlineStr">
        <is>
          <t>ปี 2533</t>
        </is>
      </c>
    </row>
    <row r="131" ht="13.2" customHeight="1" s="49">
      <c r="A131" s="35" t="n">
        <v>129</v>
      </c>
      <c r="B131" s="34"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35" t="n"/>
      <c r="D131" s="34" t="inlineStr">
        <is>
          <t>Direct Compression tableting method</t>
        </is>
      </c>
      <c r="E131" s="34" t="inlineStr">
        <is>
          <t>Wet Granulation tableting method</t>
        </is>
      </c>
      <c r="F131" s="34" t="inlineStr">
        <is>
          <t>Dry Granulation (Roller Compaction)</t>
        </is>
      </c>
      <c r="G131" s="34" t="inlineStr">
        <is>
          <t>Fluidized Bed Granulation</t>
        </is>
      </c>
      <c r="H131" s="34" t="inlineStr">
        <is>
          <t>Film Coating with Hydroxypropyl methylcellulose (HPMC)</t>
        </is>
      </c>
      <c r="I131" s="35" t="n">
        <v>1</v>
      </c>
      <c r="J131"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35" t="n"/>
      <c r="L131" s="34" t="inlineStr">
        <is>
          <t>Tablet Manufacturing</t>
        </is>
      </c>
      <c r="M131" s="35" t="inlineStr">
        <is>
          <t>Product</t>
        </is>
      </c>
      <c r="N131" s="34" t="inlineStr">
        <is>
          <t>ข้อ 5 (PLE_CC1_2533.md)</t>
        </is>
      </c>
      <c r="O131" s="35" t="inlineStr">
        <is>
          <t>ข้อสอบจริง</t>
        </is>
      </c>
      <c r="P131" s="35" t="inlineStr">
        <is>
          <t>ปี 2533</t>
        </is>
      </c>
    </row>
    <row r="132" ht="13.2" customHeight="1" s="49">
      <c r="A132" s="35" t="n">
        <v>130</v>
      </c>
      <c r="B132" s="34" t="inlineStr">
        <is>
          <t>ข้อใดถูกเกี่ยวกับยาเม็ด Furosemide</t>
        </is>
      </c>
      <c r="C132" s="35" t="n"/>
      <c r="D132" s="34" t="inlineStr">
        <is>
          <t>รับประทานเวลาใดก็ได้ แต่ควรเป็นเวลาเดียวกันทุกวัน</t>
        </is>
      </c>
      <c r="E132" s="34" t="inlineStr">
        <is>
          <t>รับประทานไม่เกินเที่ยงวัน</t>
        </is>
      </c>
      <c r="F132" s="34" t="inlineStr">
        <is>
          <t>หากลืมรับประทาน สามารถรับประทานทันทีที่นึกขึ้นได้</t>
        </is>
      </c>
      <c r="G132" s="34" t="inlineStr">
        <is>
          <t>หลีกเลี่ยงการรับประทานร่วมกับนมและยาลดกรด</t>
        </is>
      </c>
      <c r="H132" s="34" t="inlineStr">
        <is>
          <t>หลังรับประทานยาแล้ว ให้ดื่มน้ำตามมากๆ</t>
        </is>
      </c>
      <c r="I132" s="35" t="n">
        <v>1</v>
      </c>
      <c r="J132" s="34"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35" t="n"/>
      <c r="L132" s="34" t="inlineStr">
        <is>
          <t>Tablet Manufacturing</t>
        </is>
      </c>
      <c r="M132" s="35" t="inlineStr">
        <is>
          <t>Product</t>
        </is>
      </c>
      <c r="N132" s="34" t="inlineStr">
        <is>
          <t>ข้อ 7 (PLE_CC1_Practice_Exam.md)</t>
        </is>
      </c>
      <c r="O132" s="35" t="inlineStr">
        <is>
          <t>Mock</t>
        </is>
      </c>
      <c r="P132" s="35" t="inlineStr">
        <is>
          <t>Mock สภาเภสัชฯ Practice</t>
        </is>
      </c>
    </row>
    <row r="133" ht="13.2" customHeight="1" s="49">
      <c r="A133" s="35" t="n">
        <v>131</v>
      </c>
      <c r="B133" s="34" t="inlineStr">
        <is>
          <t>หากต้องการให้ยา Rifampicin มีรูปแบบเภสัชภัณฑ์เป็น enteric coated ควรเคลือบฟิล์มด้วยสารใด</t>
        </is>
      </c>
      <c r="C133" s="35" t="n"/>
      <c r="D133" s="34" t="inlineStr">
        <is>
          <t>Hydroxypropyl methylcellulose</t>
        </is>
      </c>
      <c r="E133" s="34" t="inlineStr">
        <is>
          <t>Polyethylene glycol</t>
        </is>
      </c>
      <c r="F133" s="34" t="inlineStr">
        <is>
          <t>Cellulose acetate phthalate</t>
        </is>
      </c>
      <c r="G133" s="34" t="inlineStr">
        <is>
          <t>Ethylcellulose</t>
        </is>
      </c>
      <c r="H133" s="34" t="inlineStr">
        <is>
          <t>Hydroxyethyl cellulose</t>
        </is>
      </c>
      <c r="I133" s="35" t="n">
        <v>1</v>
      </c>
      <c r="J133" s="34"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35" t="n"/>
      <c r="L133" s="34" t="inlineStr">
        <is>
          <t>Tablet Coating</t>
        </is>
      </c>
      <c r="M133" s="35" t="inlineStr">
        <is>
          <t>Product</t>
        </is>
      </c>
      <c r="N133" s="34" t="inlineStr">
        <is>
          <t>ข้อ 5 (PLE_CC1_Practice_Exam.md)</t>
        </is>
      </c>
      <c r="O133" s="35" t="inlineStr">
        <is>
          <t>Mock</t>
        </is>
      </c>
      <c r="P133" s="35" t="inlineStr">
        <is>
          <t>Mock สภาเภสัชฯ Practice</t>
        </is>
      </c>
    </row>
    <row r="134" ht="13.2" customHeight="1" s="49">
      <c r="A134" s="35" t="n">
        <v>132</v>
      </c>
      <c r="B134" s="34" t="inlineStr">
        <is>
          <t>Glibenglamide tablet (5) 1x2 ac</t>
        </is>
      </c>
      <c r="C134" s="35" t="n"/>
      <c r="D134" s="34" t="inlineStr">
        <is>
          <t>Magnesium stearate (Lubricant 1%)</t>
        </is>
      </c>
      <c r="E134" s="34" t="inlineStr">
        <is>
          <t>Sodium starch glycolate (Superdisintegrant)</t>
        </is>
      </c>
      <c r="F134" s="34" t="inlineStr">
        <is>
          <t>Direct Compression tableting method</t>
        </is>
      </c>
      <c r="G134" s="34" t="inlineStr">
        <is>
          <t>Wet Granulation tableting method</t>
        </is>
      </c>
      <c r="H134" s="34" t="inlineStr">
        <is>
          <t>Dry Granulation (Roller Compaction)</t>
        </is>
      </c>
      <c r="I134" s="35" t="n">
        <v>1</v>
      </c>
      <c r="J134"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35" t="n"/>
      <c r="L134" s="34" t="inlineStr">
        <is>
          <t>Tablet Manufacturing</t>
        </is>
      </c>
      <c r="M134" s="35" t="inlineStr">
        <is>
          <t>Product</t>
        </is>
      </c>
      <c r="N134" s="34" t="inlineStr">
        <is>
          <t>ข้อ 1 (PLE_CC1_Practice_Exam.md)</t>
        </is>
      </c>
      <c r="O134" s="35" t="inlineStr">
        <is>
          <t>Mock</t>
        </is>
      </c>
      <c r="P134" s="35" t="inlineStr">
        <is>
          <t>Mock สภาเภสัชฯ Practice</t>
        </is>
      </c>
    </row>
    <row r="135" ht="13.2" customHeight="1" s="49">
      <c r="A135" s="35" t="n">
        <v>133</v>
      </c>
      <c r="B135" s="34" t="inlineStr">
        <is>
          <t>Metfoemin tablet 1x3 ac</t>
        </is>
      </c>
      <c r="C135" s="35" t="n"/>
      <c r="D135" s="34" t="inlineStr">
        <is>
          <t>Wet Granulation tableting method</t>
        </is>
      </c>
      <c r="E135" s="34" t="inlineStr">
        <is>
          <t>Dry Granulation (Roller Compaction)</t>
        </is>
      </c>
      <c r="F135" s="34" t="inlineStr">
        <is>
          <t>Fluidized Bed Granulation</t>
        </is>
      </c>
      <c r="G135" s="34" t="inlineStr">
        <is>
          <t>Film Coating with Hydroxypropyl methylcellulose (HPMC)</t>
        </is>
      </c>
      <c r="H135" s="34" t="inlineStr">
        <is>
          <t>Enteric Coating with Cellulose acetate phthalate (CAP)</t>
        </is>
      </c>
      <c r="I135" s="35" t="n">
        <v>1</v>
      </c>
      <c r="J135"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35" t="n"/>
      <c r="L135" s="34" t="inlineStr">
        <is>
          <t>Tablet Manufacturing</t>
        </is>
      </c>
      <c r="M135" s="35" t="inlineStr">
        <is>
          <t>Product</t>
        </is>
      </c>
      <c r="N135" s="34" t="inlineStr">
        <is>
          <t>ข้อ 2 (PLE_CC1_Practice_Exam.md)</t>
        </is>
      </c>
      <c r="O135" s="35" t="inlineStr">
        <is>
          <t>Mock</t>
        </is>
      </c>
      <c r="P135" s="35" t="inlineStr">
        <is>
          <t>Mock สภาเภสัชฯ Practice</t>
        </is>
      </c>
    </row>
    <row r="136" ht="13.2" customHeight="1" s="49">
      <c r="A136" s="35" t="n">
        <v>134</v>
      </c>
      <c r="B136" s="34" t="inlineStr">
        <is>
          <t>Isosorbide mononitrate tablet 1x2 ac</t>
        </is>
      </c>
      <c r="C136" s="35" t="n"/>
      <c r="D136" s="34" t="inlineStr">
        <is>
          <t>Film Coating with Hydroxypropyl methylcellulose (HPMC)</t>
        </is>
      </c>
      <c r="E136" s="34" t="inlineStr">
        <is>
          <t>Enteric Coating with Cellulose acetate phthalate (CAP)</t>
        </is>
      </c>
      <c r="F136" s="34" t="inlineStr">
        <is>
          <t>Hard Gelatin Capsule filling</t>
        </is>
      </c>
      <c r="G136" s="34" t="inlineStr">
        <is>
          <t>Soft Gelatin Capsule encapsulation</t>
        </is>
      </c>
      <c r="H136" s="34" t="inlineStr">
        <is>
          <t>Microcrystalline cellulose</t>
        </is>
      </c>
      <c r="I136" s="35" t="n">
        <v>1</v>
      </c>
      <c r="J136"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35" t="n"/>
      <c r="L136" s="34" t="inlineStr">
        <is>
          <t>Tablet Manufacturing</t>
        </is>
      </c>
      <c r="M136" s="35" t="inlineStr">
        <is>
          <t>Product</t>
        </is>
      </c>
      <c r="N136" s="34" t="inlineStr">
        <is>
          <t>ข้อ 3 (PLE_CC1_Practice_Exam.md)</t>
        </is>
      </c>
      <c r="O136" s="35" t="inlineStr">
        <is>
          <t>Mock</t>
        </is>
      </c>
      <c r="P136" s="35" t="inlineStr">
        <is>
          <t>Mock สภาเภสัชฯ Practice</t>
        </is>
      </c>
    </row>
    <row r="137" ht="13.2" customHeight="1" s="49">
      <c r="A137" s="35" t="n">
        <v>135</v>
      </c>
      <c r="B137" s="34" t="inlineStr">
        <is>
          <t>Aspirin tablet 1x1 pc จากข้อมูลดังกล่าว อาการใดต่อไปนี้ของคนไข้ไม่ใช่อาการ DM</t>
        </is>
      </c>
      <c r="C137" s="35" t="n"/>
      <c r="D137" s="34" t="inlineStr">
        <is>
          <t>หิวน้ำบ่อย</t>
        </is>
      </c>
      <c r="E137" s="34" t="inlineStr">
        <is>
          <t>ปัสสาวะบ่อย</t>
        </is>
      </c>
      <c r="F137" s="34" t="inlineStr">
        <is>
          <t>เจ็บหน้าอก</t>
        </is>
      </c>
      <c r="G137" s="34" t="inlineStr">
        <is>
          <t>น้ำหนักลด</t>
        </is>
      </c>
      <c r="H137" s="34" t="inlineStr">
        <is>
          <t>อ่อนเพลีย</t>
        </is>
      </c>
      <c r="I137" s="35" t="n">
        <v>1</v>
      </c>
      <c r="J137" s="34"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35" t="n"/>
      <c r="L137" s="34" t="inlineStr">
        <is>
          <t>Tablet Manufacturing</t>
        </is>
      </c>
      <c r="M137" s="35" t="inlineStr">
        <is>
          <t>Product</t>
        </is>
      </c>
      <c r="N137" s="34" t="inlineStr">
        <is>
          <t>ข้อ 4 (PLE_CC1_Practice_Exam.md)</t>
        </is>
      </c>
      <c r="O137" s="35" t="inlineStr">
        <is>
          <t>Mock</t>
        </is>
      </c>
      <c r="P137" s="35" t="inlineStr">
        <is>
          <t>Mock สภาเภสัชฯ Practice</t>
        </is>
      </c>
    </row>
    <row r="138" ht="13.2" customHeight="1" s="49">
      <c r="A138" s="35" t="n">
        <v>136</v>
      </c>
      <c r="B138" s="34" t="inlineStr">
        <is>
          <t>Metformin tablet 1ข3 ac</t>
        </is>
      </c>
      <c r="C138" s="35" t="n"/>
      <c r="D138" s="34" t="inlineStr">
        <is>
          <t>Sodium starch glycolate (Superdisintegrant)</t>
        </is>
      </c>
      <c r="E138" s="34" t="inlineStr">
        <is>
          <t>Direct Compression tableting method</t>
        </is>
      </c>
      <c r="F138" s="34" t="inlineStr">
        <is>
          <t>Wet Granulation tableting method</t>
        </is>
      </c>
      <c r="G138" s="34" t="inlineStr">
        <is>
          <t>Dry Granulation (Roller Compaction)</t>
        </is>
      </c>
      <c r="H138" s="34" t="inlineStr">
        <is>
          <t>Fluidized Bed Granulation</t>
        </is>
      </c>
      <c r="I138" s="35" t="n">
        <v>1</v>
      </c>
      <c r="J138"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35" t="n"/>
      <c r="L138" s="34" t="inlineStr">
        <is>
          <t>Tablet Manufacturing</t>
        </is>
      </c>
      <c r="M138" s="35" t="inlineStr">
        <is>
          <t>Product</t>
        </is>
      </c>
      <c r="N138" s="34" t="inlineStr">
        <is>
          <t>ข้อ 1 (PLE_CC1_Practice_Exam.md)</t>
        </is>
      </c>
      <c r="O138" s="35" t="inlineStr">
        <is>
          <t>Mock</t>
        </is>
      </c>
      <c r="P138" s="35" t="inlineStr">
        <is>
          <t>Mock สภาเภสัชฯ Practice</t>
        </is>
      </c>
    </row>
    <row r="139" ht="13.2" customHeight="1" s="49">
      <c r="A139" s="35" t="n">
        <v>137</v>
      </c>
      <c r="B139" s="34"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35" t="n"/>
      <c r="D139" s="34" t="inlineStr">
        <is>
          <t>Dry Granulation (Roller Compaction)</t>
        </is>
      </c>
      <c r="E139" s="34" t="inlineStr">
        <is>
          <t>Fluidized Bed Granulation</t>
        </is>
      </c>
      <c r="F139" s="34" t="inlineStr">
        <is>
          <t>Film Coating with Hydroxypropyl methylcellulose (HPMC)</t>
        </is>
      </c>
      <c r="G139" s="34" t="inlineStr">
        <is>
          <t>Enteric Coating with Cellulose acetate phthalate (CAP)</t>
        </is>
      </c>
      <c r="H139" s="34" t="inlineStr">
        <is>
          <t>Hard Gelatin Capsule filling</t>
        </is>
      </c>
      <c r="I139" s="35" t="n">
        <v>1</v>
      </c>
      <c r="J139" s="34"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35" t="n"/>
      <c r="L139" s="34" t="inlineStr">
        <is>
          <t>Tablet Manufacturing</t>
        </is>
      </c>
      <c r="M139" s="35" t="inlineStr">
        <is>
          <t>Product</t>
        </is>
      </c>
      <c r="N139" s="34" t="inlineStr">
        <is>
          <t>ข้อ 13 (PLE_CC1_Practice_Exam.md)</t>
        </is>
      </c>
      <c r="O139" s="35" t="inlineStr">
        <is>
          <t>Mock</t>
        </is>
      </c>
      <c r="P139" s="35" t="inlineStr">
        <is>
          <t>Mock สภาเภสัชฯ Practice</t>
        </is>
      </c>
    </row>
    <row r="140" ht="13.2" customHeight="1" s="49">
      <c r="A140" s="35" t="n">
        <v>138</v>
      </c>
      <c r="B140" s="34"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t>
        </is>
      </c>
      <c r="C140" s="35" t="n"/>
      <c r="D140" s="34" t="inlineStr">
        <is>
          <t>Enteric Coating with Cellulose acetate phthalate (CAP)</t>
        </is>
      </c>
      <c r="E140" s="34" t="inlineStr">
        <is>
          <t>Hard Gelatin Capsule filling</t>
        </is>
      </c>
      <c r="F140" s="34" t="inlineStr">
        <is>
          <t>Soft Gelatin Capsule encapsulation</t>
        </is>
      </c>
      <c r="G140" s="34" t="inlineStr">
        <is>
          <t>Microcrystalline cellulose</t>
        </is>
      </c>
      <c r="H140" s="34" t="inlineStr">
        <is>
          <t>Magnesium stearate (Lubricant 1%)</t>
        </is>
      </c>
      <c r="I140" s="35" t="n">
        <v>1</v>
      </c>
      <c r="J140" s="34"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35" t="n"/>
      <c r="L140" s="34" t="inlineStr">
        <is>
          <t>Tablet Manufacturing</t>
        </is>
      </c>
      <c r="M140" s="35" t="inlineStr">
        <is>
          <t>Product</t>
        </is>
      </c>
      <c r="N140" s="34" t="inlineStr">
        <is>
          <t>ข้อ 14 (PLE_CC1_Practice_Exam.md)</t>
        </is>
      </c>
      <c r="O140" s="35" t="inlineStr">
        <is>
          <t>Mock</t>
        </is>
      </c>
      <c r="P140" s="35" t="inlineStr">
        <is>
          <t>Mock สภาเภสัชฯ Practice</t>
        </is>
      </c>
    </row>
    <row r="141" ht="13.2" customHeight="1" s="49">
      <c r="A141" s="35" t="n">
        <v>139</v>
      </c>
      <c r="B141" s="34" t="inlineStr">
        <is>
          <t>ถ้าหากพบว่ายาเม็ด Paracetamol มีการแยกตัว ออกเป็นชั้น แก้ปัญหาดังกล่าวอย่างไร</t>
        </is>
      </c>
      <c r="C141" s="35" t="n"/>
      <c r="D141" s="34" t="inlineStr">
        <is>
          <t>ให้ใช้ punch ที่มีความโค้งมาก (deep concave punch )</t>
        </is>
      </c>
      <c r="E141" s="34" t="inlineStr">
        <is>
          <t>ให้ใช้ die ที่มีช่องด้านบนใหญ่กว่าด้านล่าง</t>
        </is>
      </c>
      <c r="F141" s="34" t="inlineStr">
        <is>
          <t>ลดความเร็วในการตอกลง</t>
        </is>
      </c>
      <c r="G141" s="34" t="inlineStr">
        <is>
          <t>เติมสารพวก hygroscopic ลงไปเพื่อไม่ใช้แกรนูลชื้นเกิน</t>
        </is>
      </c>
      <c r="H141" s="34" t="inlineStr">
        <is>
          <t>อาจเพิ่มปริมาณสารยึดเกาะเพื่อให้แกรนูลจับกันได้ดี</t>
        </is>
      </c>
      <c r="I141" s="35" t="n">
        <v>1</v>
      </c>
      <c r="J141" s="34"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35" t="n"/>
      <c r="L141" s="34" t="inlineStr">
        <is>
          <t>Tablet Manufacturing</t>
        </is>
      </c>
      <c r="M141" s="35" t="inlineStr">
        <is>
          <t>Product</t>
        </is>
      </c>
      <c r="N141" s="34" t="inlineStr">
        <is>
          <t>ข้อ 26 (PLE_CC1_Practice_Exam.md)</t>
        </is>
      </c>
      <c r="O141" s="35" t="inlineStr">
        <is>
          <t>Mock</t>
        </is>
      </c>
      <c r="P141" s="35" t="inlineStr">
        <is>
          <t>Mock สภาเภสัชฯ Practice</t>
        </is>
      </c>
    </row>
    <row r="142" ht="13.2" customHeight="1" s="49">
      <c r="A142" s="35" t="n">
        <v>140</v>
      </c>
      <c r="B142" s="34"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35" t="n"/>
      <c r="D142" s="34" t="inlineStr">
        <is>
          <t>Direct Compression tableting method</t>
        </is>
      </c>
      <c r="E142" s="34" t="inlineStr">
        <is>
          <t>Wet Granulation tableting method</t>
        </is>
      </c>
      <c r="F142" s="34" t="inlineStr">
        <is>
          <t>Dry Granulation (Roller Compaction)</t>
        </is>
      </c>
      <c r="G142" s="34" t="inlineStr">
        <is>
          <t>Fluidized Bed Granulation</t>
        </is>
      </c>
      <c r="H142" s="34" t="inlineStr">
        <is>
          <t>Film Coating with Hydroxypropyl methylcellulose (HPMC)</t>
        </is>
      </c>
      <c r="I142" s="35" t="n">
        <v>3</v>
      </c>
      <c r="J142" s="34"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35" t="n"/>
      <c r="L142" s="34" t="inlineStr">
        <is>
          <t>Powders &amp; Granules</t>
        </is>
      </c>
      <c r="M142" s="35" t="inlineStr">
        <is>
          <t>Product</t>
        </is>
      </c>
      <c r="N142" s="34" t="inlineStr">
        <is>
          <t>ข้อ 31 (PLE_CC1_Practice_Exam.md)</t>
        </is>
      </c>
      <c r="O142" s="35" t="inlineStr">
        <is>
          <t>Mock</t>
        </is>
      </c>
      <c r="P142" s="35" t="inlineStr">
        <is>
          <t>Mock สภาเภสัชฯ Practice</t>
        </is>
      </c>
    </row>
    <row r="143" ht="13.2" customHeight="1" s="49">
      <c r="A143" s="35" t="n">
        <v>141</v>
      </c>
      <c r="B143" s="34" t="inlineStr">
        <is>
          <t>หากตำรับ orally disintegrating tablet มี disintegration time มากกว่า 2 นาที ควรเติมหรือเพิ่ม ปริมาณสารใดในตำรับ</t>
        </is>
      </c>
      <c r="C143" s="35" t="n"/>
      <c r="D143" s="34" t="inlineStr">
        <is>
          <t>Croscarmellose sodium</t>
        </is>
      </c>
      <c r="E143" s="34" t="inlineStr">
        <is>
          <t>Magnesium stearate</t>
        </is>
      </c>
      <c r="F143" s="34" t="inlineStr">
        <is>
          <t>Mannitol</t>
        </is>
      </c>
      <c r="G143" s="34" t="inlineStr">
        <is>
          <t>Dextose</t>
        </is>
      </c>
      <c r="H143" s="34" t="inlineStr">
        <is>
          <t>Talcum</t>
        </is>
      </c>
      <c r="I143" s="35" t="n">
        <v>1</v>
      </c>
      <c r="J143" s="34"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35" t="n"/>
      <c r="L143" s="34" t="inlineStr">
        <is>
          <t>Tablet Manufacturing</t>
        </is>
      </c>
      <c r="M143" s="35" t="inlineStr">
        <is>
          <t>Product</t>
        </is>
      </c>
      <c r="N143" s="34" t="inlineStr">
        <is>
          <t>ข้อ 8 (PLE_CC1_Practice_Exam.md)</t>
        </is>
      </c>
      <c r="O143" s="35" t="inlineStr">
        <is>
          <t>Mock</t>
        </is>
      </c>
      <c r="P143" s="35" t="inlineStr">
        <is>
          <t>Mock สภาเภสัชฯ Practice</t>
        </is>
      </c>
    </row>
    <row r="144" ht="13.2" customHeight="1" s="49">
      <c r="A144" s="35" t="n">
        <v>142</v>
      </c>
      <c r="B144" s="34" t="inlineStr">
        <is>
          <t>ในการผลิต effervescent tablets ส่วนประกอบใดเป็นส่วนประกอบสำคัญในตำรับ</t>
        </is>
      </c>
      <c r="C144" s="35" t="n"/>
      <c r="D144" s="34" t="inlineStr">
        <is>
          <t>Croscarmellose + sodium starch glycolate</t>
        </is>
      </c>
      <c r="E144" s="34" t="inlineStr">
        <is>
          <t>Citric acid + sodium bicarbonate</t>
        </is>
      </c>
      <c r="F144" s="34" t="inlineStr">
        <is>
          <t>Poly(methyl methacrylate) + triacetin</t>
        </is>
      </c>
      <c r="G144" s="34" t="inlineStr">
        <is>
          <t>Poly(ethylene glycol) 4000 + polyviynpyrrolidone</t>
        </is>
      </c>
      <c r="H144" s="34" t="inlineStr">
        <is>
          <t>Maize starch + sodium lauryl sulfate</t>
        </is>
      </c>
      <c r="I144" s="35" t="n">
        <v>1</v>
      </c>
      <c r="J144" s="34"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35" t="n"/>
      <c r="L144" s="34" t="inlineStr">
        <is>
          <t>Tablet Manufacturing</t>
        </is>
      </c>
      <c r="M144" s="35" t="inlineStr">
        <is>
          <t>Product</t>
        </is>
      </c>
      <c r="N144" s="34" t="inlineStr">
        <is>
          <t>ข้อ 13 (PLE_CC1_Practice_Exam.md)</t>
        </is>
      </c>
      <c r="O144" s="35" t="inlineStr">
        <is>
          <t>Mock</t>
        </is>
      </c>
      <c r="P144" s="35" t="inlineStr">
        <is>
          <t>Mock สภาเภสัชฯ Practice</t>
        </is>
      </c>
    </row>
    <row r="145" ht="13.2" customHeight="1" s="49">
      <c r="A145" s="35" t="n">
        <v>143</v>
      </c>
      <c r="B145" s="34" t="inlineStr">
        <is>
          <t>ในการผลิตยา delayed-release tablets ข้อใดเป็นส่วนประกอบสำคัญในการควบคุมการปลดปล่อยยา</t>
        </is>
      </c>
      <c r="C145" s="35" t="n"/>
      <c r="D145" s="34" t="inlineStr">
        <is>
          <t>Eudragit L</t>
        </is>
      </c>
      <c r="E145" s="34" t="inlineStr">
        <is>
          <t>Ethylcellulose</t>
        </is>
      </c>
      <c r="F145" s="34" t="inlineStr">
        <is>
          <t>Crospovidone</t>
        </is>
      </c>
      <c r="G145" s="34" t="inlineStr">
        <is>
          <t>Hypromellose</t>
        </is>
      </c>
      <c r="H145" s="34" t="inlineStr">
        <is>
          <t>Sodium alginate</t>
        </is>
      </c>
      <c r="I145" s="35" t="n">
        <v>1</v>
      </c>
      <c r="J145" s="34"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35" t="n"/>
      <c r="L145" s="34" t="inlineStr">
        <is>
          <t>Tablet Manufacturing</t>
        </is>
      </c>
      <c r="M145" s="35" t="inlineStr">
        <is>
          <t>Product</t>
        </is>
      </c>
      <c r="N145" s="34" t="inlineStr">
        <is>
          <t>ข้อ 15 (PLE_CC1_Practice_Exam.md)</t>
        </is>
      </c>
      <c r="O145" s="35" t="inlineStr">
        <is>
          <t>Mock</t>
        </is>
      </c>
      <c r="P145" s="35" t="inlineStr">
        <is>
          <t>Mock สภาเภสัชฯ Practice</t>
        </is>
      </c>
    </row>
    <row r="146" ht="13.2" customHeight="1" s="49">
      <c r="A146" s="35" t="n">
        <v>144</v>
      </c>
      <c r="B146" s="34" t="inlineStr">
        <is>
          <t>ข้อใดคือข้อเสียของ sugar-coated tablets เมื่อเก็บไว้เป็นเวลานาน</t>
        </is>
      </c>
      <c r="C146" s="35" t="n"/>
      <c r="D146" s="34" t="inlineStr">
        <is>
          <t>attrition</t>
        </is>
      </c>
      <c r="E146" s="34" t="inlineStr">
        <is>
          <t>Sticking</t>
        </is>
      </c>
      <c r="F146" s="34" t="inlineStr">
        <is>
          <t>Roughness</t>
        </is>
      </c>
      <c r="G146" s="34" t="inlineStr">
        <is>
          <t>Cracking</t>
        </is>
      </c>
      <c r="H146" s="34" t="inlineStr">
        <is>
          <t>Bridging of logos</t>
        </is>
      </c>
      <c r="I146" s="35" t="n">
        <v>1</v>
      </c>
      <c r="J146" s="34"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35" t="n"/>
      <c r="L146" s="34" t="inlineStr">
        <is>
          <t>Tablet Coating</t>
        </is>
      </c>
      <c r="M146" s="35" t="inlineStr">
        <is>
          <t>Product</t>
        </is>
      </c>
      <c r="N146" s="34" t="inlineStr">
        <is>
          <t>ข้อ 39 (PLE_CC1_Practice_Exam.md)</t>
        </is>
      </c>
      <c r="O146" s="35" t="inlineStr">
        <is>
          <t>Mock</t>
        </is>
      </c>
      <c r="P146" s="35" t="inlineStr">
        <is>
          <t>Mock สภาเภสัชฯ Practice</t>
        </is>
      </c>
    </row>
    <row r="147" ht="13.2" customHeight="1" s="49">
      <c r="A147" s="35" t="n">
        <v>145</v>
      </c>
      <c r="B147" s="34"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35" t="n"/>
      <c r="D147" s="34" t="inlineStr">
        <is>
          <t>Film Coating with Hydroxypropyl methylcellulose (HPMC)</t>
        </is>
      </c>
      <c r="E147" s="34" t="inlineStr">
        <is>
          <t>Enteric Coating with Cellulose acetate phthalate (CAP)</t>
        </is>
      </c>
      <c r="F147" s="34" t="inlineStr">
        <is>
          <t>Hard Gelatin Capsule filling</t>
        </is>
      </c>
      <c r="G147" s="34" t="inlineStr">
        <is>
          <t>Soft Gelatin Capsule encapsulation</t>
        </is>
      </c>
      <c r="H147" s="34" t="inlineStr">
        <is>
          <t>Microcrystalline cellulose</t>
        </is>
      </c>
      <c r="I147" s="35" t="n">
        <v>1</v>
      </c>
      <c r="J147"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35" t="n"/>
      <c r="L147" s="34" t="inlineStr">
        <is>
          <t>Tablet Manufacturing</t>
        </is>
      </c>
      <c r="M147" s="35" t="inlineStr">
        <is>
          <t>Product</t>
        </is>
      </c>
      <c r="N147" s="34" t="inlineStr">
        <is>
          <t>ข้อ 5 (PLE_CC1_Key_Rx20_UBU.md)</t>
        </is>
      </c>
      <c r="O147" s="35" t="inlineStr">
        <is>
          <t>Mock</t>
        </is>
      </c>
      <c r="P147" s="35" t="inlineStr">
        <is>
          <t>Mock Rx20 UBU</t>
        </is>
      </c>
    </row>
    <row r="148" ht="13.2" customHeight="1" s="49">
      <c r="A148" s="35" t="n">
        <v>146</v>
      </c>
      <c r="B148" s="34" t="inlineStr">
        <is>
          <t>Film coated tablets</t>
        </is>
      </c>
      <c r="C148" s="35" t="n"/>
      <c r="D148" s="34" t="inlineStr">
        <is>
          <t>Soft Gelatin Capsule encapsulation</t>
        </is>
      </c>
      <c r="E148" s="34" t="inlineStr">
        <is>
          <t>Microcrystalline cellulose</t>
        </is>
      </c>
      <c r="F148" s="34" t="inlineStr">
        <is>
          <t>Magnesium stearate (Lubricant 1%)</t>
        </is>
      </c>
      <c r="G148" s="34" t="inlineStr">
        <is>
          <t>Sodium starch glycolate (Superdisintegrant)</t>
        </is>
      </c>
      <c r="H148" s="34" t="inlineStr">
        <is>
          <t>Direct Compression tableting method</t>
        </is>
      </c>
      <c r="I148" s="35" t="n">
        <v>1</v>
      </c>
      <c r="J148"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35" t="n"/>
      <c r="L148" s="34" t="inlineStr">
        <is>
          <t>Tablet Coating</t>
        </is>
      </c>
      <c r="M148" s="35" t="inlineStr">
        <is>
          <t>Product</t>
        </is>
      </c>
      <c r="N148" s="34" t="inlineStr">
        <is>
          <t>ข้อ 1 (PLE_CC1_Key_Rx20_UBU.md)</t>
        </is>
      </c>
      <c r="O148" s="35" t="inlineStr">
        <is>
          <t>Mock</t>
        </is>
      </c>
      <c r="P148" s="35" t="inlineStr">
        <is>
          <t>Mock Rx20 UBU</t>
        </is>
      </c>
    </row>
    <row r="149" ht="13.2" customHeight="1" s="49">
      <c r="A149" s="35" t="n">
        <v>147</v>
      </c>
      <c r="B149" s="34" t="inlineStr">
        <is>
          <t>Enteric coated tablets</t>
        </is>
      </c>
      <c r="C149" s="35" t="n"/>
      <c r="D149" s="34" t="inlineStr">
        <is>
          <t>Sodium starch glycolate (Superdisintegrant)</t>
        </is>
      </c>
      <c r="E149" s="34" t="inlineStr">
        <is>
          <t>Direct Compression tableting method</t>
        </is>
      </c>
      <c r="F149" s="34" t="inlineStr">
        <is>
          <t>Wet Granulation tableting method</t>
        </is>
      </c>
      <c r="G149" s="34" t="inlineStr">
        <is>
          <t>Dry Granulation (Roller Compaction)</t>
        </is>
      </c>
      <c r="H149" s="34" t="inlineStr">
        <is>
          <t>Fluidized Bed Granulation</t>
        </is>
      </c>
      <c r="I149" s="35" t="n">
        <v>1</v>
      </c>
      <c r="J149"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35" t="n"/>
      <c r="L149" s="34" t="inlineStr">
        <is>
          <t>Tablet Coating</t>
        </is>
      </c>
      <c r="M149" s="35" t="inlineStr">
        <is>
          <t>Product</t>
        </is>
      </c>
      <c r="N149" s="34" t="inlineStr">
        <is>
          <t>ข้อ 2 (PLE_CC1_Key_Rx20_UBU.md)</t>
        </is>
      </c>
      <c r="O149" s="35" t="inlineStr">
        <is>
          <t>Mock</t>
        </is>
      </c>
      <c r="P149" s="35" t="inlineStr">
        <is>
          <t>Mock Rx20 UBU</t>
        </is>
      </c>
    </row>
    <row r="150" ht="13.2" customHeight="1" s="49">
      <c r="A150" s="35" t="n">
        <v>148</v>
      </c>
      <c r="B150" s="34" t="inlineStr">
        <is>
          <t>Sugar coated tablets</t>
        </is>
      </c>
      <c r="C150" s="35" t="n"/>
      <c r="D150" s="34" t="inlineStr">
        <is>
          <t>Dry Granulation (Roller Compaction)</t>
        </is>
      </c>
      <c r="E150" s="34" t="inlineStr">
        <is>
          <t>Fluidized Bed Granulation</t>
        </is>
      </c>
      <c r="F150" s="34" t="inlineStr">
        <is>
          <t>Film Coating with Hydroxypropyl methylcellulose (HPMC)</t>
        </is>
      </c>
      <c r="G150" s="34" t="inlineStr">
        <is>
          <t>Enteric Coating with Cellulose acetate phthalate (CAP)</t>
        </is>
      </c>
      <c r="H150" s="34" t="inlineStr">
        <is>
          <t>Hard Gelatin Capsule filling</t>
        </is>
      </c>
      <c r="I150" s="35" t="n">
        <v>1</v>
      </c>
      <c r="J150"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35" t="n"/>
      <c r="L150" s="34" t="inlineStr">
        <is>
          <t>Tablet Coating</t>
        </is>
      </c>
      <c r="M150" s="35" t="inlineStr">
        <is>
          <t>Product</t>
        </is>
      </c>
      <c r="N150" s="34" t="inlineStr">
        <is>
          <t>ข้อ 3 (PLE_CC1_Key_Rx20_UBU.md)</t>
        </is>
      </c>
      <c r="O150" s="35" t="inlineStr">
        <is>
          <t>Mock</t>
        </is>
      </c>
      <c r="P150" s="35" t="inlineStr">
        <is>
          <t>Mock Rx20 UBU</t>
        </is>
      </c>
    </row>
    <row r="151" ht="13.2" customHeight="1" s="49">
      <c r="A151" s="35" t="n">
        <v>149</v>
      </c>
      <c r="B151" s="34" t="inlineStr">
        <is>
          <t>Effervescent tablets</t>
        </is>
      </c>
      <c r="C151" s="35" t="n"/>
      <c r="D151" s="34" t="inlineStr">
        <is>
          <t>Enteric Coating with Cellulose acetate phthalate (CAP)</t>
        </is>
      </c>
      <c r="E151" s="34" t="inlineStr">
        <is>
          <t>Hard Gelatin Capsule filling</t>
        </is>
      </c>
      <c r="F151" s="34" t="inlineStr">
        <is>
          <t>Soft Gelatin Capsule encapsulation</t>
        </is>
      </c>
      <c r="G151" s="34" t="inlineStr">
        <is>
          <t>Microcrystalline cellulose</t>
        </is>
      </c>
      <c r="H151" s="34" t="inlineStr">
        <is>
          <t>Magnesium stearate (Lubricant 1%)</t>
        </is>
      </c>
      <c r="I151" s="35" t="n">
        <v>1</v>
      </c>
      <c r="J151"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35" t="n"/>
      <c r="L151" s="34" t="inlineStr">
        <is>
          <t>Tablet Manufacturing</t>
        </is>
      </c>
      <c r="M151" s="35" t="inlineStr">
        <is>
          <t>Product</t>
        </is>
      </c>
      <c r="N151" s="34" t="inlineStr">
        <is>
          <t>ข้อ 4 (PLE_CC1_Key_Rx20_UBU.md)</t>
        </is>
      </c>
      <c r="O151" s="35" t="inlineStr">
        <is>
          <t>Mock</t>
        </is>
      </c>
      <c r="P151" s="35" t="inlineStr">
        <is>
          <t>Mock Rx20 UBU</t>
        </is>
      </c>
    </row>
    <row r="152" ht="13.2" customHeight="1" s="49">
      <c r="A152" s="35" t="n">
        <v>150</v>
      </c>
      <c r="B152" s="34" t="inlineStr">
        <is>
          <t>52.ถ้าต้องการทำยา Glipizide เป็น controlled release tablet จะต้องคำนึงถึงปัจจัยด้านใดบ้าง</t>
        </is>
      </c>
      <c r="C152" s="35" t="n"/>
      <c r="D152" s="34" t="inlineStr">
        <is>
          <t>Microcrystalline cellulose</t>
        </is>
      </c>
      <c r="E152" s="34" t="inlineStr">
        <is>
          <t>Magnesium stearate (Lubricant 1%)</t>
        </is>
      </c>
      <c r="F152" s="34" t="inlineStr">
        <is>
          <t>Sodium starch glycolate (Superdisintegrant)</t>
        </is>
      </c>
      <c r="G152" s="34" t="inlineStr">
        <is>
          <t>Direct Compression tableting method</t>
        </is>
      </c>
      <c r="H152" s="34" t="inlineStr">
        <is>
          <t>Wet Granulation tableting method</t>
        </is>
      </c>
      <c r="I152" s="35" t="n">
        <v>4</v>
      </c>
      <c r="J152" s="34"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35" t="n"/>
      <c r="L152" s="34" t="inlineStr">
        <is>
          <t>Tablet Manufacturing</t>
        </is>
      </c>
      <c r="M152" s="35" t="inlineStr">
        <is>
          <t>Product</t>
        </is>
      </c>
      <c r="N152" s="34" t="inlineStr">
        <is>
          <t>ข้อ 5 (PLE_CC1_Key_Rx20_UBU.md)</t>
        </is>
      </c>
      <c r="O152" s="35" t="inlineStr">
        <is>
          <t>Mock</t>
        </is>
      </c>
      <c r="P152" s="35" t="inlineStr">
        <is>
          <t>Mock Rx20 UBU</t>
        </is>
      </c>
    </row>
    <row r="153" ht="13.2" customHeight="1" s="49">
      <c r="A153" s="35" t="n">
        <v>151</v>
      </c>
      <c r="B153" s="34" t="inlineStr">
        <is>
          <t>USP กำหนดให้ไม่ต้องทำ Disintegration time</t>
        </is>
      </c>
      <c r="C153" s="35" t="n"/>
      <c r="D153" s="34" t="inlineStr">
        <is>
          <t>Fluidized Bed Granulation</t>
        </is>
      </c>
      <c r="E153" s="34" t="inlineStr">
        <is>
          <t>Film Coating with Hydroxypropyl methylcellulose (HPMC)</t>
        </is>
      </c>
      <c r="F153" s="34" t="inlineStr">
        <is>
          <t>Enteric Coating with Cellulose acetate phthalate (CAP)</t>
        </is>
      </c>
      <c r="G153" s="34" t="inlineStr">
        <is>
          <t>Hard Gelatin Capsule filling</t>
        </is>
      </c>
      <c r="H153" s="34" t="inlineStr">
        <is>
          <t>Soft Gelatin Capsule encapsulation</t>
        </is>
      </c>
      <c r="I153" s="35" t="n">
        <v>1</v>
      </c>
      <c r="J153"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35" t="n"/>
      <c r="L153" s="34" t="inlineStr">
        <is>
          <t>Tablet Manufacturing</t>
        </is>
      </c>
      <c r="M153" s="35" t="inlineStr">
        <is>
          <t>Product</t>
        </is>
      </c>
      <c r="N153" s="34" t="inlineStr">
        <is>
          <t>ข้อ 3 (PLE_CC1_Key_Rx20_UBU.md)</t>
        </is>
      </c>
      <c r="O153" s="35" t="inlineStr">
        <is>
          <t>Mock</t>
        </is>
      </c>
      <c r="P153" s="35" t="inlineStr">
        <is>
          <t>Mock Rx20 UBU</t>
        </is>
      </c>
    </row>
    <row r="154" ht="13.2" customHeight="1" s="49">
      <c r="A154" s="35" t="n">
        <v>152</v>
      </c>
      <c r="B154" s="34"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35" t="n"/>
      <c r="D154" s="34" t="inlineStr">
        <is>
          <t>Hard Gelatin Capsule filling</t>
        </is>
      </c>
      <c r="E154" s="34" t="inlineStr">
        <is>
          <t>Soft Gelatin Capsule encapsulation</t>
        </is>
      </c>
      <c r="F154" s="34" t="inlineStr">
        <is>
          <t>Microcrystalline cellulose</t>
        </is>
      </c>
      <c r="G154" s="34" t="inlineStr">
        <is>
          <t>Magnesium stearate (Lubricant 1%)</t>
        </is>
      </c>
      <c r="H154" s="34" t="inlineStr">
        <is>
          <t>Sodium starch glycolate (Superdisintegrant)</t>
        </is>
      </c>
      <c r="I154" s="35" t="n">
        <v>4</v>
      </c>
      <c r="J154" s="34"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35" t="n"/>
      <c r="L154" s="34" t="inlineStr">
        <is>
          <t>Tablet Manufacturing</t>
        </is>
      </c>
      <c r="M154" s="35" t="inlineStr">
        <is>
          <t>Product</t>
        </is>
      </c>
      <c r="N154" s="34" t="inlineStr">
        <is>
          <t>ข้อ 3 (PLE_CC1_Key_Rx20_UBU.md)</t>
        </is>
      </c>
      <c r="O154" s="35" t="inlineStr">
        <is>
          <t>Mock</t>
        </is>
      </c>
      <c r="P154" s="35" t="inlineStr">
        <is>
          <t>Mock Rx20 UBU</t>
        </is>
      </c>
    </row>
    <row r="155" ht="13.2" customHeight="1" s="49">
      <c r="A155" s="35" t="n">
        <v>153</v>
      </c>
      <c r="B155" s="34"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35" t="n"/>
      <c r="D155" s="34" t="inlineStr">
        <is>
          <t>Magnesium stearate (Lubricant 1%)</t>
        </is>
      </c>
      <c r="E155" s="34" t="inlineStr">
        <is>
          <t>Sodium starch glycolate (Superdisintegrant)</t>
        </is>
      </c>
      <c r="F155" s="34" t="inlineStr">
        <is>
          <t>Direct Compression tableting method</t>
        </is>
      </c>
      <c r="G155" s="34" t="inlineStr">
        <is>
          <t>Wet Granulation tableting method</t>
        </is>
      </c>
      <c r="H155" s="34" t="inlineStr">
        <is>
          <t>Dry Granulation (Roller Compaction)</t>
        </is>
      </c>
      <c r="I155" s="35" t="n">
        <v>1</v>
      </c>
      <c r="J155"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35" t="n"/>
      <c r="L155" s="34" t="inlineStr">
        <is>
          <t>Tablet Manufacturing</t>
        </is>
      </c>
      <c r="M155" s="35" t="inlineStr">
        <is>
          <t>Product</t>
        </is>
      </c>
      <c r="N155" s="34" t="inlineStr">
        <is>
          <t>ข้อ 78 (PLE_CC1_Key_Rx20_UBU.md)</t>
        </is>
      </c>
      <c r="O155" s="35" t="inlineStr">
        <is>
          <t>Mock</t>
        </is>
      </c>
      <c r="P155" s="35" t="inlineStr">
        <is>
          <t>Mock Rx20 UBU</t>
        </is>
      </c>
    </row>
    <row r="156" ht="13.2" customHeight="1" s="49">
      <c r="A156" s="35" t="n">
        <v>154</v>
      </c>
      <c r="B156" s="34" t="inlineStr">
        <is>
          <t>Friability+ Hardness</t>
        </is>
      </c>
      <c r="C156" s="35" t="n"/>
      <c r="D156" s="34" t="inlineStr">
        <is>
          <t>Wet Granulation tableting method</t>
        </is>
      </c>
      <c r="E156" s="34" t="inlineStr">
        <is>
          <t>Dry Granulation (Roller Compaction)</t>
        </is>
      </c>
      <c r="F156" s="34" t="inlineStr">
        <is>
          <t>Fluidized Bed Granulation</t>
        </is>
      </c>
      <c r="G156" s="34" t="inlineStr">
        <is>
          <t>Film Coating with Hydroxypropyl methylcellulose (HPMC)</t>
        </is>
      </c>
      <c r="H156" s="34" t="inlineStr">
        <is>
          <t>Enteric Coating with Cellulose acetate phthalate (CAP)</t>
        </is>
      </c>
      <c r="I156" s="35" t="n">
        <v>1</v>
      </c>
      <c r="J156"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35" t="n"/>
      <c r="L156" s="34" t="inlineStr">
        <is>
          <t>Tablet Manufacturing</t>
        </is>
      </c>
      <c r="M156" s="35" t="inlineStr">
        <is>
          <t>Product</t>
        </is>
      </c>
      <c r="N156" s="34" t="inlineStr">
        <is>
          <t>ข้อ 1 (PLE_CC1_Key_Rx20_UBU.md)</t>
        </is>
      </c>
      <c r="O156" s="35" t="inlineStr">
        <is>
          <t>Mock</t>
        </is>
      </c>
      <c r="P156" s="35" t="inlineStr">
        <is>
          <t>Mock Rx20 UBU</t>
        </is>
      </c>
    </row>
    <row r="157" ht="13.2" customHeight="1" s="49">
      <c r="A157" s="35" t="n">
        <v>155</v>
      </c>
      <c r="B157" s="34" t="inlineStr">
        <is>
          <t>Friability+ Weight variation</t>
        </is>
      </c>
      <c r="C157" s="35" t="n"/>
      <c r="D157" s="34" t="inlineStr">
        <is>
          <t>Film Coating with Hydroxypropyl methylcellulose (HPMC)</t>
        </is>
      </c>
      <c r="E157" s="34" t="inlineStr">
        <is>
          <t>Enteric Coating with Cellulose acetate phthalate (CAP)</t>
        </is>
      </c>
      <c r="F157" s="34" t="inlineStr">
        <is>
          <t>Hard Gelatin Capsule filling</t>
        </is>
      </c>
      <c r="G157" s="34" t="inlineStr">
        <is>
          <t>Soft Gelatin Capsule encapsulation</t>
        </is>
      </c>
      <c r="H157" s="34" t="inlineStr">
        <is>
          <t>Microcrystalline cellulose</t>
        </is>
      </c>
      <c r="I157" s="35" t="n">
        <v>1</v>
      </c>
      <c r="J157"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35" t="n"/>
      <c r="L157" s="34" t="inlineStr">
        <is>
          <t>Tablet Manufacturing</t>
        </is>
      </c>
      <c r="M157" s="35" t="inlineStr">
        <is>
          <t>Product</t>
        </is>
      </c>
      <c r="N157" s="34" t="inlineStr">
        <is>
          <t>ข้อ 2 (PLE_CC1_Key_Rx20_UBU.md)</t>
        </is>
      </c>
      <c r="O157" s="35" t="inlineStr">
        <is>
          <t>Mock</t>
        </is>
      </c>
      <c r="P157" s="35" t="inlineStr">
        <is>
          <t>Mock Rx20 UBU</t>
        </is>
      </c>
    </row>
    <row r="158" ht="13.2" customHeight="1" s="49">
      <c r="A158" s="35" t="n">
        <v>156</v>
      </c>
      <c r="B158" s="34" t="inlineStr">
        <is>
          <t>Disintegrant+ Hardness</t>
        </is>
      </c>
      <c r="C158" s="35" t="n"/>
      <c r="D158" s="34" t="inlineStr">
        <is>
          <t>Soft Gelatin Capsule encapsulation</t>
        </is>
      </c>
      <c r="E158" s="34" t="inlineStr">
        <is>
          <t>Microcrystalline cellulose</t>
        </is>
      </c>
      <c r="F158" s="34" t="inlineStr">
        <is>
          <t>Magnesium stearate (Lubricant 1%)</t>
        </is>
      </c>
      <c r="G158" s="34" t="inlineStr">
        <is>
          <t>Sodium starch glycolate (Superdisintegrant)</t>
        </is>
      </c>
      <c r="H158" s="34" t="inlineStr">
        <is>
          <t>Direct Compression tableting method</t>
        </is>
      </c>
      <c r="I158" s="35" t="n">
        <v>1</v>
      </c>
      <c r="J158"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35" t="n"/>
      <c r="L158" s="34" t="inlineStr">
        <is>
          <t>Tablet Manufacturing</t>
        </is>
      </c>
      <c r="M158" s="35" t="inlineStr">
        <is>
          <t>Product</t>
        </is>
      </c>
      <c r="N158" s="34" t="inlineStr">
        <is>
          <t>ข้อ 4 (PLE_CC1_Key_Rx20_UBU.md)</t>
        </is>
      </c>
      <c r="O158" s="35" t="inlineStr">
        <is>
          <t>Mock</t>
        </is>
      </c>
      <c r="P158" s="35" t="inlineStr">
        <is>
          <t>Mock Rx20 UBU</t>
        </is>
      </c>
    </row>
    <row r="159" ht="13.2" customHeight="1" s="49">
      <c r="A159" s="35" t="n">
        <v>157</v>
      </c>
      <c r="B159" s="34" t="inlineStr">
        <is>
          <t>Disintegrant + Dissolution</t>
        </is>
      </c>
      <c r="C159" s="35" t="n"/>
      <c r="D159" s="34" t="inlineStr">
        <is>
          <t>Sodium starch glycolate (Superdisintegrant)</t>
        </is>
      </c>
      <c r="E159" s="34" t="inlineStr">
        <is>
          <t>Direct Compression tableting method</t>
        </is>
      </c>
      <c r="F159" s="34" t="inlineStr">
        <is>
          <t>Wet Granulation tableting method</t>
        </is>
      </c>
      <c r="G159" s="34" t="inlineStr">
        <is>
          <t>Dry Granulation (Roller Compaction)</t>
        </is>
      </c>
      <c r="H159" s="34" t="inlineStr">
        <is>
          <t>Fluidized Bed Granulation</t>
        </is>
      </c>
      <c r="I159" s="35" t="n">
        <v>1</v>
      </c>
      <c r="J159"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35" t="n"/>
      <c r="L159" s="34" t="inlineStr">
        <is>
          <t>Tablet Manufacturing</t>
        </is>
      </c>
      <c r="M159" s="35" t="inlineStr">
        <is>
          <t>Product</t>
        </is>
      </c>
      <c r="N159" s="34" t="inlineStr">
        <is>
          <t>ข้อ 5 (PLE_CC1_Key_Rx20_UBU.md)</t>
        </is>
      </c>
      <c r="O159" s="35" t="inlineStr">
        <is>
          <t>Mock</t>
        </is>
      </c>
      <c r="P159" s="35" t="inlineStr">
        <is>
          <t>Mock Rx20 UBU</t>
        </is>
      </c>
    </row>
    <row r="160" ht="13.2" customHeight="1" s="49">
      <c r="A160" s="35" t="n">
        <v>158</v>
      </c>
      <c r="B160" s="34"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35" t="n"/>
      <c r="D160" s="34" t="inlineStr">
        <is>
          <t>Dry Granulation (Roller Compaction)</t>
        </is>
      </c>
      <c r="E160" s="34" t="inlineStr">
        <is>
          <t>Fluidized Bed Granulation</t>
        </is>
      </c>
      <c r="F160" s="34" t="inlineStr">
        <is>
          <t>Film Coating with Hydroxypropyl methylcellulose (HPMC)</t>
        </is>
      </c>
      <c r="G160" s="34" t="inlineStr">
        <is>
          <t>Enteric Coating with Cellulose acetate phthalate (CAP)</t>
        </is>
      </c>
      <c r="H160" s="34" t="inlineStr">
        <is>
          <t>Hard Gelatin Capsule filling</t>
        </is>
      </c>
      <c r="I160" s="35" t="n">
        <v>5</v>
      </c>
      <c r="J160" s="34"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35" t="n"/>
      <c r="L160" s="34" t="inlineStr">
        <is>
          <t>Tablet Manufacturing</t>
        </is>
      </c>
      <c r="M160" s="35" t="inlineStr">
        <is>
          <t>Product</t>
        </is>
      </c>
      <c r="N160" s="34" t="inlineStr">
        <is>
          <t>ข้อ 5 (PLE_CC1_Key_Rx20_UBU.md)</t>
        </is>
      </c>
      <c r="O160" s="35" t="inlineStr">
        <is>
          <t>Mock</t>
        </is>
      </c>
      <c r="P160" s="35" t="inlineStr">
        <is>
          <t>Mock Rx20 UBU</t>
        </is>
      </c>
    </row>
    <row r="161" ht="13.2" customHeight="1" s="49">
      <c r="A161" s="35" t="n">
        <v>159</v>
      </c>
      <c r="B161" s="34" t="inlineStr">
        <is>
          <t>ข้อใดถูกต้องเกี่ยวกับตำรับยาเม็ด</t>
        </is>
      </c>
      <c r="C161" s="35" t="n"/>
      <c r="D161" s="34" t="inlineStr">
        <is>
          <t>Enteric Coating with Cellulose acetate phthalate (CAP)</t>
        </is>
      </c>
      <c r="E161" s="34" t="inlineStr">
        <is>
          <t>Hard Gelatin Capsule filling</t>
        </is>
      </c>
      <c r="F161" s="34" t="inlineStr">
        <is>
          <t>Soft Gelatin Capsule encapsulation</t>
        </is>
      </c>
      <c r="G161" s="34" t="inlineStr">
        <is>
          <t>Microcrystalline cellulose</t>
        </is>
      </c>
      <c r="H161" s="34" t="inlineStr">
        <is>
          <t>Magnesium stearate (Lubricant 1%)</t>
        </is>
      </c>
      <c r="I161" s="35" t="n">
        <v>1</v>
      </c>
      <c r="J161"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35" t="n"/>
      <c r="L161" s="34" t="inlineStr">
        <is>
          <t>Tablet Manufacturing</t>
        </is>
      </c>
      <c r="M161" s="35" t="inlineStr">
        <is>
          <t>Product</t>
        </is>
      </c>
      <c r="N161" s="34" t="inlineStr">
        <is>
          <t>ข้อ 9 (PLE_CC1_Key_Rx20_UBU.md)</t>
        </is>
      </c>
      <c r="O161" s="35" t="inlineStr">
        <is>
          <t>Mock</t>
        </is>
      </c>
      <c r="P161" s="35" t="inlineStr">
        <is>
          <t>Mock Rx20 UBU</t>
        </is>
      </c>
    </row>
    <row r="162" ht="13.2" customHeight="1" s="49">
      <c r="A162" s="35" t="n">
        <v>160</v>
      </c>
      <c r="B162" s="34" t="inlineStr">
        <is>
          <t>8.สูตรยาเม็ดเคลือบฟิล์ม Ethambutol สารใดเป็นสารช่วยแตกตัว</t>
        </is>
      </c>
      <c r="C162" s="35" t="n"/>
      <c r="D162" s="34" t="inlineStr">
        <is>
          <t>Microcrystalline cellulose</t>
        </is>
      </c>
      <c r="E162" s="34" t="inlineStr">
        <is>
          <t>Magnesium stearate (Lubricant 1%)</t>
        </is>
      </c>
      <c r="F162" s="34" t="inlineStr">
        <is>
          <t>Sodium starch glycolate (Superdisintegrant)</t>
        </is>
      </c>
      <c r="G162" s="34" t="inlineStr">
        <is>
          <t>Direct Compression tableting method</t>
        </is>
      </c>
      <c r="H162" s="34" t="inlineStr">
        <is>
          <t>Wet Granulation tableting method</t>
        </is>
      </c>
      <c r="I162" s="35" t="n">
        <v>2</v>
      </c>
      <c r="J162" s="34"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35" t="n"/>
      <c r="L162" s="34" t="inlineStr">
        <is>
          <t>Tablet Manufacturing</t>
        </is>
      </c>
      <c r="M162" s="35" t="inlineStr">
        <is>
          <t>Product</t>
        </is>
      </c>
      <c r="N162" s="34" t="inlineStr">
        <is>
          <t>ข้อ 3 (PLE_CC1_Key_Rx20_UBU.md)</t>
        </is>
      </c>
      <c r="O162" s="35" t="inlineStr">
        <is>
          <t>Mock</t>
        </is>
      </c>
      <c r="P162" s="35" t="inlineStr">
        <is>
          <t>Mock Rx20 UBU</t>
        </is>
      </c>
    </row>
    <row r="163" ht="13.2" customHeight="1" s="49">
      <c r="A163" s="35" t="n">
        <v>161</v>
      </c>
      <c r="B163" s="34"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35" t="n"/>
      <c r="D163" s="34" t="inlineStr">
        <is>
          <t>Direct Compression tableting method</t>
        </is>
      </c>
      <c r="E163" s="34" t="inlineStr">
        <is>
          <t>Wet Granulation tableting method</t>
        </is>
      </c>
      <c r="F163" s="34" t="inlineStr">
        <is>
          <t>Dry Granulation (Roller Compaction)</t>
        </is>
      </c>
      <c r="G163" s="34" t="inlineStr">
        <is>
          <t>Fluidized Bed Granulation</t>
        </is>
      </c>
      <c r="H163" s="34" t="inlineStr">
        <is>
          <t>Film Coating with Hydroxypropyl methylcellulose (HPMC)</t>
        </is>
      </c>
      <c r="I163" s="35" t="n">
        <v>1</v>
      </c>
      <c r="J163"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35" t="n"/>
      <c r="L163" s="34" t="inlineStr">
        <is>
          <t>Tablet Manufacturing</t>
        </is>
      </c>
      <c r="M163" s="35" t="inlineStr">
        <is>
          <t>Product</t>
        </is>
      </c>
      <c r="N163" s="34" t="inlineStr">
        <is>
          <t>ข้อ 5 (PLE_CC1_Key_Rx20_UBU.md)</t>
        </is>
      </c>
      <c r="O163" s="35" t="inlineStr">
        <is>
          <t>Mock</t>
        </is>
      </c>
      <c r="P163" s="35" t="inlineStr">
        <is>
          <t>Mock Rx20 UBU</t>
        </is>
      </c>
    </row>
    <row r="164" ht="13.2" customHeight="1" s="49">
      <c r="A164" s="35" t="n">
        <v>162</v>
      </c>
      <c r="B164" s="34" t="inlineStr">
        <is>
          <t>กินยาเม็ดฟ้าทะลายโจร ตอนที่มีอาการเจ็บคอ</t>
        </is>
      </c>
      <c r="C164" s="35" t="n"/>
      <c r="D164" s="34" t="inlineStr">
        <is>
          <t>Fluidized Bed Granulation</t>
        </is>
      </c>
      <c r="E164" s="34" t="inlineStr">
        <is>
          <t>Film Coating with Hydroxypropyl methylcellulose (HPMC)</t>
        </is>
      </c>
      <c r="F164" s="34" t="inlineStr">
        <is>
          <t>Enteric Coating with Cellulose acetate phthalate (CAP)</t>
        </is>
      </c>
      <c r="G164" s="34" t="inlineStr">
        <is>
          <t>Hard Gelatin Capsule filling</t>
        </is>
      </c>
      <c r="H164" s="34" t="inlineStr">
        <is>
          <t>Soft Gelatin Capsule encapsulation</t>
        </is>
      </c>
      <c r="I164" s="35" t="n">
        <v>2</v>
      </c>
      <c r="J164" s="34"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35" t="n"/>
      <c r="L164" s="34" t="inlineStr">
        <is>
          <t>Tablet Manufacturing</t>
        </is>
      </c>
      <c r="M164" s="35" t="inlineStr">
        <is>
          <t>Product</t>
        </is>
      </c>
      <c r="N164" s="34" t="inlineStr">
        <is>
          <t>ข้อ 4 (PLE_CC1_Key_Rx20_UBU.md)</t>
        </is>
      </c>
      <c r="O164" s="35" t="inlineStr">
        <is>
          <t>Mock</t>
        </is>
      </c>
      <c r="P164" s="35" t="inlineStr">
        <is>
          <t>Mock Rx20 UBU</t>
        </is>
      </c>
    </row>
    <row r="165" ht="13.2" customHeight="1" s="49">
      <c r="A165" s="35" t="n">
        <v>163</v>
      </c>
      <c r="B165" s="34" t="inlineStr">
        <is>
          <t>ในระหว่างกระบวนการผลิต หากเม็ดยาเคลือบฟิล์ม metformin ไม่สามารถ screen ข้อความติดได้เรียกการเกิดนี้ว่าอะไร</t>
        </is>
      </c>
      <c r="C165" s="35" t="n"/>
      <c r="D165" s="34" t="inlineStr">
        <is>
          <t>Hard Gelatin Capsule filling</t>
        </is>
      </c>
      <c r="E165" s="34" t="inlineStr">
        <is>
          <t>Soft Gelatin Capsule encapsulation</t>
        </is>
      </c>
      <c r="F165" s="34" t="inlineStr">
        <is>
          <t>Microcrystalline cellulose</t>
        </is>
      </c>
      <c r="G165" s="34" t="inlineStr">
        <is>
          <t>Magnesium stearate (Lubricant 1%)</t>
        </is>
      </c>
      <c r="H165" s="34" t="inlineStr">
        <is>
          <t>Sodium starch glycolate (Superdisintegrant)</t>
        </is>
      </c>
      <c r="I165" s="35" t="n">
        <v>1</v>
      </c>
      <c r="J165"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35" t="n"/>
      <c r="L165" s="34" t="inlineStr">
        <is>
          <t>Tablet Manufacturing</t>
        </is>
      </c>
      <c r="M165" s="35" t="inlineStr">
        <is>
          <t>Product</t>
        </is>
      </c>
      <c r="N165" s="34" t="inlineStr">
        <is>
          <t>ข้อ 9 (PLE_CC1_Key_Rx20_UBU.md)</t>
        </is>
      </c>
      <c r="O165" s="35" t="inlineStr">
        <is>
          <t>Mock</t>
        </is>
      </c>
      <c r="P165" s="35" t="inlineStr">
        <is>
          <t>Mock Rx20 UBU</t>
        </is>
      </c>
    </row>
    <row r="166" ht="13.2" customHeight="1" s="49">
      <c r="A166" s="35" t="n">
        <v>164</v>
      </c>
      <c r="B166" s="34" t="inlineStr">
        <is>
          <t>Friability (ความกร่อน)</t>
        </is>
      </c>
      <c r="C166" s="35" t="n"/>
      <c r="D166" s="34" t="inlineStr">
        <is>
          <t>Magnesium stearate (Lubricant 1%)</t>
        </is>
      </c>
      <c r="E166" s="34" t="inlineStr">
        <is>
          <t>Sodium starch glycolate (Superdisintegrant)</t>
        </is>
      </c>
      <c r="F166" s="34" t="inlineStr">
        <is>
          <t>Direct Compression tableting method</t>
        </is>
      </c>
      <c r="G166" s="34" t="inlineStr">
        <is>
          <t>Wet Granulation tableting method</t>
        </is>
      </c>
      <c r="H166" s="34" t="inlineStr">
        <is>
          <t>Dry Granulation (Roller Compaction)</t>
        </is>
      </c>
      <c r="I166" s="35" t="n">
        <v>1</v>
      </c>
      <c r="J166"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35" t="n"/>
      <c r="L166" s="34" t="inlineStr">
        <is>
          <t>Tablet Manufacturing</t>
        </is>
      </c>
      <c r="M166" s="35" t="inlineStr">
        <is>
          <t>Product</t>
        </is>
      </c>
      <c r="N166" s="34" t="inlineStr">
        <is>
          <t>ข้อ 4 (PLE_CC1_Key_Rx20_UBU.md)</t>
        </is>
      </c>
      <c r="O166" s="35" t="inlineStr">
        <is>
          <t>Mock</t>
        </is>
      </c>
      <c r="P166" s="35" t="inlineStr">
        <is>
          <t>Mock Rx20 UBU</t>
        </is>
      </c>
    </row>
    <row r="167" ht="13.2" customHeight="1" s="49">
      <c r="A167" s="35" t="n">
        <v>165</v>
      </c>
      <c r="B167" s="34"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35" t="n"/>
      <c r="D167" s="34" t="inlineStr">
        <is>
          <t>Wet Granulation tableting method</t>
        </is>
      </c>
      <c r="E167" s="34" t="inlineStr">
        <is>
          <t>Dry Granulation (Roller Compaction)</t>
        </is>
      </c>
      <c r="F167" s="34" t="inlineStr">
        <is>
          <t>Fluidized Bed Granulation</t>
        </is>
      </c>
      <c r="G167" s="34" t="inlineStr">
        <is>
          <t>Film Coating with Hydroxypropyl methylcellulose (HPMC)</t>
        </is>
      </c>
      <c r="H167" s="34" t="inlineStr">
        <is>
          <t>Enteric Coating with Cellulose acetate phthalate (CAP)</t>
        </is>
      </c>
      <c r="I167" s="35" t="n">
        <v>1</v>
      </c>
      <c r="J167"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35" t="n"/>
      <c r="L167" s="34" t="inlineStr">
        <is>
          <t>Tablet Manufacturing</t>
        </is>
      </c>
      <c r="M167" s="35" t="inlineStr">
        <is>
          <t>Product</t>
        </is>
      </c>
      <c r="N167" s="34" t="inlineStr">
        <is>
          <t>ข้อ 5 (PLE_CC1_Key_Rx20_UBU.md)</t>
        </is>
      </c>
      <c r="O167" s="35" t="inlineStr">
        <is>
          <t>Mock</t>
        </is>
      </c>
      <c r="P167" s="35" t="inlineStr">
        <is>
          <t>Mock Rx20 UBU</t>
        </is>
      </c>
    </row>
    <row r="168" ht="13.2" customHeight="1" s="49">
      <c r="A168" s="35" t="n">
        <v>166</v>
      </c>
      <c r="B168" s="34" t="inlineStr">
        <is>
          <t>Disintegration time</t>
        </is>
      </c>
      <c r="C168" s="35" t="n"/>
      <c r="D168" s="34" t="inlineStr">
        <is>
          <t>Film Coating with Hydroxypropyl methylcellulose (HPMC)</t>
        </is>
      </c>
      <c r="E168" s="34" t="inlineStr">
        <is>
          <t>Enteric Coating with Cellulose acetate phthalate (CAP)</t>
        </is>
      </c>
      <c r="F168" s="34" t="inlineStr">
        <is>
          <t>Hard Gelatin Capsule filling</t>
        </is>
      </c>
      <c r="G168" s="34" t="inlineStr">
        <is>
          <t>Soft Gelatin Capsule encapsulation</t>
        </is>
      </c>
      <c r="H168" s="34" t="inlineStr">
        <is>
          <t>Microcrystalline cellulose</t>
        </is>
      </c>
      <c r="I168" s="35" t="n">
        <v>1</v>
      </c>
      <c r="J168"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35" t="n"/>
      <c r="L168" s="34" t="inlineStr">
        <is>
          <t>Tablet Manufacturing</t>
        </is>
      </c>
      <c r="M168" s="35" t="inlineStr">
        <is>
          <t>Product</t>
        </is>
      </c>
      <c r="N168" s="34" t="inlineStr">
        <is>
          <t>ข้อ 3 (PLE_CC1_Key_Rx20_UBU.md)</t>
        </is>
      </c>
      <c r="O168" s="35" t="inlineStr">
        <is>
          <t>Mock</t>
        </is>
      </c>
      <c r="P168" s="35" t="inlineStr">
        <is>
          <t>Mock Rx20 UBU</t>
        </is>
      </c>
    </row>
    <row r="169" ht="13.2" customHeight="1" s="49">
      <c r="A169" s="35" t="n">
        <v>167</v>
      </c>
      <c r="B169" s="34"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35" t="n"/>
      <c r="D169" s="34" t="inlineStr">
        <is>
          <t>Soft Gelatin Capsule encapsulation</t>
        </is>
      </c>
      <c r="E169" s="34" t="inlineStr">
        <is>
          <t>Microcrystalline cellulose</t>
        </is>
      </c>
      <c r="F169" s="34" t="inlineStr">
        <is>
          <t>Magnesium stearate (Lubricant 1%)</t>
        </is>
      </c>
      <c r="G169" s="34" t="inlineStr">
        <is>
          <t>Sodium starch glycolate (Superdisintegrant)</t>
        </is>
      </c>
      <c r="H169" s="34" t="inlineStr">
        <is>
          <t>Direct Compression tableting method</t>
        </is>
      </c>
      <c r="I169" s="35" t="n">
        <v>1</v>
      </c>
      <c r="J169" s="34"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35" t="n"/>
      <c r="L169" s="34" t="inlineStr">
        <is>
          <t>Tablet Manufacturing</t>
        </is>
      </c>
      <c r="M169" s="35" t="inlineStr">
        <is>
          <t>Product</t>
        </is>
      </c>
      <c r="N169" s="34" t="inlineStr">
        <is>
          <t>ข้อ 5 (PLE_CC1_Key_Rx20_UBU.md)</t>
        </is>
      </c>
      <c r="O169" s="35" t="inlineStr">
        <is>
          <t>Mock</t>
        </is>
      </c>
      <c r="P169" s="35" t="inlineStr">
        <is>
          <t>Mock Rx20 UBU</t>
        </is>
      </c>
    </row>
    <row r="170" ht="13.2" customHeight="1" s="49">
      <c r="A170" s="35" t="n">
        <v>168</v>
      </c>
      <c r="B170" s="34" t="inlineStr">
        <is>
          <t>ยา Theophylline 200 mg ยาเม็ดหนัก 0.27 g มี Bulk volume 0.09 cm3 ความหนาแน่นที่แท้จริง</t>
        </is>
      </c>
      <c r="C170" s="35" t="n"/>
      <c r="D170" s="34" t="inlineStr">
        <is>
          <t>00 g/cm3 จงหา %total porosity [กำหนด % total porosity = (1-(bulk density/true density) )x 100]</t>
        </is>
      </c>
      <c r="E170" s="34" t="inlineStr">
        <is>
          <t>Direct Compression tableting method</t>
        </is>
      </c>
      <c r="F170" s="34" t="inlineStr">
        <is>
          <t>Wet Granulation tableting method</t>
        </is>
      </c>
      <c r="G170" s="34" t="inlineStr">
        <is>
          <t>Dry Granulation (Roller Compaction)</t>
        </is>
      </c>
      <c r="H170" s="34" t="inlineStr">
        <is>
          <t>Fluidized Bed Granulation</t>
        </is>
      </c>
      <c r="I170" s="35" t="n">
        <v>1</v>
      </c>
      <c r="J170" s="34"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35" t="n"/>
      <c r="L170" s="34" t="inlineStr">
        <is>
          <t>Tablet Manufacturing</t>
        </is>
      </c>
      <c r="M170" s="35" t="inlineStr">
        <is>
          <t>Product</t>
        </is>
      </c>
      <c r="N170" s="34" t="inlineStr">
        <is>
          <t>ข้อ 7 (PLE_CC1_Key_Rx20_UBU.md)</t>
        </is>
      </c>
      <c r="O170" s="35" t="inlineStr">
        <is>
          <t>Mock</t>
        </is>
      </c>
      <c r="P170" s="35" t="inlineStr">
        <is>
          <t>Mock Rx20 UBU</t>
        </is>
      </c>
    </row>
    <row r="171" ht="13.2" customHeight="1" s="49">
      <c r="A171" s="35" t="n">
        <v>169</v>
      </c>
      <c r="B171" s="34"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35" t="n"/>
      <c r="D171" s="34" t="inlineStr">
        <is>
          <t>ผู้ป่วยป่วยเป็นโรคอะไร</t>
        </is>
      </c>
      <c r="E171" s="34" t="inlineStr">
        <is>
          <t>allergic conjunctivitis</t>
        </is>
      </c>
      <c r="F171" s="34" t="inlineStr">
        <is>
          <t>bacterial conjunctivitis</t>
        </is>
      </c>
      <c r="G171" s="34" t="inlineStr">
        <is>
          <t>cataract</t>
        </is>
      </c>
      <c r="H171" s="34" t="inlineStr">
        <is>
          <t>glaucoma</t>
        </is>
      </c>
      <c r="I171" s="35" t="n">
        <v>3</v>
      </c>
      <c r="J171" s="34"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35" t="n"/>
      <c r="L171" s="34" t="inlineStr">
        <is>
          <t>Tablet Manufacturing</t>
        </is>
      </c>
      <c r="M171" s="35" t="inlineStr">
        <is>
          <t>Product</t>
        </is>
      </c>
      <c r="N171" s="34" t="inlineStr">
        <is>
          <t>ข้อ 5 (PLE_CC1_Key_Rx20_UBU.md)</t>
        </is>
      </c>
      <c r="O171" s="35" t="inlineStr">
        <is>
          <t>Mock</t>
        </is>
      </c>
      <c r="P171" s="35" t="inlineStr">
        <is>
          <t>Mock Rx20 UBU</t>
        </is>
      </c>
    </row>
    <row r="172" ht="13.2" customHeight="1" s="49">
      <c r="A172" s="35" t="n">
        <v>170</v>
      </c>
      <c r="B172" s="34" t="inlineStr">
        <is>
          <t>Disintegration, Dissolution, Flowability &amp; = ข จบqานrผม / &amp; = = เSนOษWอl0 6hHrestrd 1T 6 - ข ข x เHypwglyamro j ข &amp;</t>
        </is>
      </c>
      <c r="C172" s="35" t="n"/>
      <c r="D172" s="34" t="inlineStr">
        <is>
          <t>Enteric Coating with Cellulose acetate phthalate (CAP)</t>
        </is>
      </c>
      <c r="E172" s="34" t="inlineStr">
        <is>
          <t>Hard Gelatin Capsule filling</t>
        </is>
      </c>
      <c r="F172" s="34" t="inlineStr">
        <is>
          <t>Soft Gelatin Capsule encapsulation</t>
        </is>
      </c>
      <c r="G172" s="34" t="inlineStr">
        <is>
          <t>Microcrystalline cellulose</t>
        </is>
      </c>
      <c r="H172" s="34" t="inlineStr">
        <is>
          <t>Magnesium stearate (Lubricant 1%)</t>
        </is>
      </c>
      <c r="I172" s="35" t="n">
        <v>1</v>
      </c>
      <c r="J172"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35" t="n"/>
      <c r="L172" s="34" t="inlineStr">
        <is>
          <t>Tablet Manufacturing</t>
        </is>
      </c>
      <c r="M172" s="35" t="inlineStr">
        <is>
          <t>Product</t>
        </is>
      </c>
      <c r="N172" s="34" t="inlineStr">
        <is>
          <t>ข้อ 2 (PLE_CC1_Key_Rx20_UBU.md)</t>
        </is>
      </c>
      <c r="O172" s="35" t="inlineStr">
        <is>
          <t>Mock</t>
        </is>
      </c>
      <c r="P172" s="35" t="inlineStr">
        <is>
          <t>Mock Rx20 UBU</t>
        </is>
      </c>
    </row>
    <row r="173" ht="13.2" customHeight="1" s="49">
      <c r="A173" s="35" t="n">
        <v>171</v>
      </c>
      <c r="B173" s="34" t="inlineStr">
        <is>
          <t>Stability, Moisture permeation, Friability</t>
        </is>
      </c>
      <c r="C173" s="35" t="n"/>
      <c r="D173" s="34" t="inlineStr">
        <is>
          <t>Microcrystalline cellulose</t>
        </is>
      </c>
      <c r="E173" s="34" t="inlineStr">
        <is>
          <t>Magnesium stearate (Lubricant 1%)</t>
        </is>
      </c>
      <c r="F173" s="34" t="inlineStr">
        <is>
          <t>Sodium starch glycolate (Superdisintegrant)</t>
        </is>
      </c>
      <c r="G173" s="34" t="inlineStr">
        <is>
          <t>Direct Compression tableting method</t>
        </is>
      </c>
      <c r="H173" s="34" t="inlineStr">
        <is>
          <t>Wet Granulation tableting method</t>
        </is>
      </c>
      <c r="I173" s="35" t="n">
        <v>1</v>
      </c>
      <c r="J173"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35" t="n"/>
      <c r="L173" s="34" t="inlineStr">
        <is>
          <t>Tablet Manufacturing</t>
        </is>
      </c>
      <c r="M173" s="35" t="inlineStr">
        <is>
          <t>Product</t>
        </is>
      </c>
      <c r="N173" s="34" t="inlineStr">
        <is>
          <t>ข้อ 4 (PLE_CC1_Key_Rx20_UBU.md)</t>
        </is>
      </c>
      <c r="O173" s="35" t="inlineStr">
        <is>
          <t>Mock</t>
        </is>
      </c>
      <c r="P173" s="35" t="inlineStr">
        <is>
          <t>Mock Rx20 UBU</t>
        </is>
      </c>
    </row>
    <row r="174" ht="13.2" customHeight="1" s="49">
      <c r="A174" s="35" t="n">
        <v>172</v>
      </c>
      <c r="B174" s="34" t="inlineStr">
        <is>
          <t>Weight validation, Drug content, Disintegration</t>
        </is>
      </c>
      <c r="C174" s="35" t="n"/>
      <c r="D174" s="34" t="inlineStr">
        <is>
          <t>Direct Compression tableting method</t>
        </is>
      </c>
      <c r="E174" s="34" t="inlineStr">
        <is>
          <t>Wet Granulation tableting method</t>
        </is>
      </c>
      <c r="F174" s="34" t="inlineStr">
        <is>
          <t>Dry Granulation (Roller Compaction)</t>
        </is>
      </c>
      <c r="G174" s="34" t="inlineStr">
        <is>
          <t>Fluidized Bed Granulation</t>
        </is>
      </c>
      <c r="H174" s="34" t="inlineStr">
        <is>
          <t>Film Coating with Hydroxypropyl methylcellulose (HPMC)</t>
        </is>
      </c>
      <c r="I174" s="35" t="n">
        <v>1</v>
      </c>
      <c r="J174"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35" t="n"/>
      <c r="L174" s="34" t="inlineStr">
        <is>
          <t>Tablet Manufacturing</t>
        </is>
      </c>
      <c r="M174" s="35" t="inlineStr">
        <is>
          <t>Product</t>
        </is>
      </c>
      <c r="N174" s="34" t="inlineStr">
        <is>
          <t>ข้อ 5 (PLE_CC1_Key_Rx20_UBU.md)</t>
        </is>
      </c>
      <c r="O174" s="35" t="inlineStr">
        <is>
          <t>Mock</t>
        </is>
      </c>
      <c r="P174" s="35" t="inlineStr">
        <is>
          <t>Mock Rx20 UBU</t>
        </is>
      </c>
    </row>
    <row r="175" ht="13.2" customHeight="1" s="49">
      <c r="A175" s="35" t="n">
        <v>173</v>
      </c>
      <c r="B175" s="34"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35" t="n"/>
      <c r="D175" s="34" t="inlineStr">
        <is>
          <t>Fluidized Bed Granulation</t>
        </is>
      </c>
      <c r="E175" s="34" t="inlineStr">
        <is>
          <t>Film Coating with Hydroxypropyl methylcellulose (HPMC)</t>
        </is>
      </c>
      <c r="F175" s="34" t="inlineStr">
        <is>
          <t>Enteric Coating with Cellulose acetate phthalate (CAP)</t>
        </is>
      </c>
      <c r="G175" s="34" t="inlineStr">
        <is>
          <t>Hard Gelatin Capsule filling</t>
        </is>
      </c>
      <c r="H175" s="34" t="inlineStr">
        <is>
          <t>Soft Gelatin Capsule encapsulation</t>
        </is>
      </c>
      <c r="I175" s="35" t="n">
        <v>1</v>
      </c>
      <c r="J175"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35" t="n"/>
      <c r="L175" s="34" t="inlineStr">
        <is>
          <t>Tablet Coating</t>
        </is>
      </c>
      <c r="M175" s="35" t="inlineStr">
        <is>
          <t>Product</t>
        </is>
      </c>
      <c r="N175" s="34" t="inlineStr">
        <is>
          <t>ข้อ 5 (PLE_CC1_Key_Rx20_UBU.md)</t>
        </is>
      </c>
      <c r="O175" s="35" t="inlineStr">
        <is>
          <t>Mock</t>
        </is>
      </c>
      <c r="P175" s="35" t="inlineStr">
        <is>
          <t>Mock Rx20 UBU</t>
        </is>
      </c>
    </row>
    <row r="176" ht="13.2" customHeight="1" s="49">
      <c r="A176" s="35" t="n">
        <v>174</v>
      </c>
      <c r="B176" s="34" t="inlineStr">
        <is>
          <t>Anti-foaming agent สารหลGอลื่น (Lubricants) Talc Stearic acid Magnesium stearate Polyethylene glycol Surfactants Vegetable oil</t>
        </is>
      </c>
      <c r="C176" s="35" t="n"/>
      <c r="D176" s="34" t="inlineStr">
        <is>
          <t>Hard Gelatin Capsule filling</t>
        </is>
      </c>
      <c r="E176" s="34" t="inlineStr">
        <is>
          <t>Soft Gelatin Capsule encapsulation</t>
        </is>
      </c>
      <c r="F176" s="34" t="inlineStr">
        <is>
          <t>Microcrystalline cellulose</t>
        </is>
      </c>
      <c r="G176" s="34" t="inlineStr">
        <is>
          <t>Magnesium stearate (Lubricant 1%)</t>
        </is>
      </c>
      <c r="H176" s="34" t="inlineStr">
        <is>
          <t>Sodium starch glycolate (Superdisintegrant)</t>
        </is>
      </c>
      <c r="I176" s="35" t="n">
        <v>2</v>
      </c>
      <c r="J176" s="34"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35" t="n"/>
      <c r="L176" s="34" t="inlineStr">
        <is>
          <t>Tablet Manufacturing</t>
        </is>
      </c>
      <c r="M176" s="35" t="inlineStr">
        <is>
          <t>Product</t>
        </is>
      </c>
      <c r="N176" s="34" t="inlineStr">
        <is>
          <t>ข้อ 5 (PLE_CC1_Key_Rx20_UBU.md)</t>
        </is>
      </c>
      <c r="O176" s="35" t="inlineStr">
        <is>
          <t>Mock</t>
        </is>
      </c>
      <c r="P176" s="35" t="inlineStr">
        <is>
          <t>Mock Rx20 UBU</t>
        </is>
      </c>
    </row>
    <row r="177" ht="13.2" customHeight="1" s="49">
      <c r="A177" s="35" t="n">
        <v>175</v>
      </c>
      <c r="B177" s="34"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35" t="n"/>
      <c r="D177" s="34" t="inlineStr">
        <is>
          <t>Magnesium stearate (Lubricant 1%)</t>
        </is>
      </c>
      <c r="E177" s="34" t="inlineStr">
        <is>
          <t>Sodium starch glycolate (Superdisintegrant)</t>
        </is>
      </c>
      <c r="F177" s="34" t="inlineStr">
        <is>
          <t>Direct Compression tableting method</t>
        </is>
      </c>
      <c r="G177" s="34" t="inlineStr">
        <is>
          <t>Wet Granulation tableting method</t>
        </is>
      </c>
      <c r="H177" s="34" t="inlineStr">
        <is>
          <t>Dry Granulation (Roller Compaction)</t>
        </is>
      </c>
      <c r="I177" s="35" t="n">
        <v>1</v>
      </c>
      <c r="J177"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35" t="n"/>
      <c r="L177" s="34" t="inlineStr">
        <is>
          <t>Tablet Manufacturing</t>
        </is>
      </c>
      <c r="M177" s="35" t="inlineStr">
        <is>
          <t>Product</t>
        </is>
      </c>
      <c r="N177" s="34" t="inlineStr">
        <is>
          <t>ข้อ 36 (PLE_CC1_Key_Rx20_UBU.md)</t>
        </is>
      </c>
      <c r="O177" s="35" t="inlineStr">
        <is>
          <t>Mock</t>
        </is>
      </c>
      <c r="P177" s="35" t="inlineStr">
        <is>
          <t>Mock Rx20 UBU</t>
        </is>
      </c>
    </row>
    <row r="178" ht="13.2" customHeight="1" s="49">
      <c r="A178" s="35" t="n">
        <v>176</v>
      </c>
      <c r="B178" s="34" t="inlineStr">
        <is>
          <t>Wet granulation โดยใช$น้ำเปญนตัวทำละลาย binder</t>
        </is>
      </c>
      <c r="C178" s="35" t="n"/>
      <c r="D178" s="34" t="inlineStr">
        <is>
          <t>Wet Granulation tableting method</t>
        </is>
      </c>
      <c r="E178" s="34" t="inlineStr">
        <is>
          <t>Dry Granulation (Roller Compaction)</t>
        </is>
      </c>
      <c r="F178" s="34" t="inlineStr">
        <is>
          <t>Fluidized Bed Granulation</t>
        </is>
      </c>
      <c r="G178" s="34" t="inlineStr">
        <is>
          <t>Film Coating with Hydroxypropyl methylcellulose (HPMC)</t>
        </is>
      </c>
      <c r="H178" s="34" t="inlineStr">
        <is>
          <t>Enteric Coating with Cellulose acetate phthalate (CAP)</t>
        </is>
      </c>
      <c r="I178" s="35" t="n">
        <v>1</v>
      </c>
      <c r="J178"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35" t="n"/>
      <c r="L178" s="34" t="inlineStr">
        <is>
          <t>Powders &amp; Granules</t>
        </is>
      </c>
      <c r="M178" s="35" t="inlineStr">
        <is>
          <t>Product</t>
        </is>
      </c>
      <c r="N178" s="34" t="inlineStr">
        <is>
          <t>ข้อ 2 (PLE_CC1_Key_Rx20_UBU.md)</t>
        </is>
      </c>
      <c r="O178" s="35" t="inlineStr">
        <is>
          <t>Mock</t>
        </is>
      </c>
      <c r="P178" s="35" t="inlineStr">
        <is>
          <t>Mock Rx20 UBU</t>
        </is>
      </c>
    </row>
    <row r="179" ht="13.2" customHeight="1" s="49">
      <c r="A179" s="35" t="n">
        <v>177</v>
      </c>
      <c r="B179" s="34" t="inlineStr">
        <is>
          <t>Wet granulation โดยใช$ตัวทำละลายอินทรีย_เปญนตัวทำละลาย binder</t>
        </is>
      </c>
      <c r="C179" s="35" t="n"/>
      <c r="D179" s="34" t="inlineStr">
        <is>
          <t>Film Coating with Hydroxypropyl methylcellulose (HPMC)</t>
        </is>
      </c>
      <c r="E179" s="34" t="inlineStr">
        <is>
          <t>Enteric Coating with Cellulose acetate phthalate (CAP)</t>
        </is>
      </c>
      <c r="F179" s="34" t="inlineStr">
        <is>
          <t>Hard Gelatin Capsule filling</t>
        </is>
      </c>
      <c r="G179" s="34" t="inlineStr">
        <is>
          <t>Soft Gelatin Capsule encapsulation</t>
        </is>
      </c>
      <c r="H179" s="34" t="inlineStr">
        <is>
          <t>Microcrystalline cellulose</t>
        </is>
      </c>
      <c r="I179" s="35" t="n">
        <v>1</v>
      </c>
      <c r="J179"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35" t="n"/>
      <c r="L179" s="34" t="inlineStr">
        <is>
          <t>Powders &amp; Granules</t>
        </is>
      </c>
      <c r="M179" s="35" t="inlineStr">
        <is>
          <t>Product</t>
        </is>
      </c>
      <c r="N179" s="34" t="inlineStr">
        <is>
          <t>ข้อ 3 (PLE_CC1_Key_Rx20_UBU.md)</t>
        </is>
      </c>
      <c r="O179" s="35" t="inlineStr">
        <is>
          <t>Mock</t>
        </is>
      </c>
      <c r="P179" s="35" t="inlineStr">
        <is>
          <t>Mock Rx20 UBU</t>
        </is>
      </c>
    </row>
    <row r="180" ht="13.2" customHeight="1" s="49">
      <c r="A180" s="35" t="n">
        <v>178</v>
      </c>
      <c r="B180" s="34" t="inlineStr">
        <is>
          <t>Dry granulation โดยเครื่อง Roller compactor</t>
        </is>
      </c>
      <c r="C180" s="35" t="n"/>
      <c r="D180" s="34" t="inlineStr">
        <is>
          <t>Soft Gelatin Capsule encapsulation</t>
        </is>
      </c>
      <c r="E180" s="34" t="inlineStr">
        <is>
          <t>Microcrystalline cellulose</t>
        </is>
      </c>
      <c r="F180" s="34" t="inlineStr">
        <is>
          <t>Magnesium stearate (Lubricant 1%)</t>
        </is>
      </c>
      <c r="G180" s="34" t="inlineStr">
        <is>
          <t>Sodium starch glycolate (Superdisintegrant)</t>
        </is>
      </c>
      <c r="H180" s="34" t="inlineStr">
        <is>
          <t>Direct Compression tableting method</t>
        </is>
      </c>
      <c r="I180" s="35" t="n">
        <v>4</v>
      </c>
      <c r="J180" s="34"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35" t="n"/>
      <c r="L180" s="34" t="inlineStr">
        <is>
          <t>Powders &amp; Granules</t>
        </is>
      </c>
      <c r="M180" s="35" t="inlineStr">
        <is>
          <t>Product</t>
        </is>
      </c>
      <c r="N180" s="34" t="inlineStr">
        <is>
          <t>ข้อ 5 (PLE_CC1_Key_Rx20_UBU.md)</t>
        </is>
      </c>
      <c r="O180" s="35" t="inlineStr">
        <is>
          <t>Mock</t>
        </is>
      </c>
      <c r="P180" s="35" t="inlineStr">
        <is>
          <t>Mock Rx20 UBU</t>
        </is>
      </c>
    </row>
    <row r="181" ht="13.2" customHeight="1" s="49">
      <c r="A181" s="35" t="n">
        <v>179</v>
      </c>
      <c r="B181" s="34"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35" t="n"/>
      <c r="D181" s="34" t="inlineStr">
        <is>
          <t>Sodium starch glycolate (Superdisintegrant)</t>
        </is>
      </c>
      <c r="E181" s="34" t="inlineStr">
        <is>
          <t>Direct Compression tableting method</t>
        </is>
      </c>
      <c r="F181" s="34" t="inlineStr">
        <is>
          <t>Wet Granulation tableting method</t>
        </is>
      </c>
      <c r="G181" s="34" t="inlineStr">
        <is>
          <t>Dry Granulation (Roller Compaction)</t>
        </is>
      </c>
      <c r="H181" s="34" t="inlineStr">
        <is>
          <t>Fluidized Bed Granulation</t>
        </is>
      </c>
      <c r="I181" s="35" t="n">
        <v>1</v>
      </c>
      <c r="J181"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35" t="n"/>
      <c r="L181" s="34" t="inlineStr">
        <is>
          <t>Tablet Defects</t>
        </is>
      </c>
      <c r="M181" s="35" t="inlineStr">
        <is>
          <t>Product</t>
        </is>
      </c>
      <c r="N181" s="34" t="inlineStr">
        <is>
          <t>ข้อ 37 (PLE_CC1_Key_Rx20_UBU.md)</t>
        </is>
      </c>
      <c r="O181" s="35" t="inlineStr">
        <is>
          <t>Mock</t>
        </is>
      </c>
      <c r="P181" s="35" t="inlineStr">
        <is>
          <t>Mock Rx20 UBU</t>
        </is>
      </c>
    </row>
    <row r="182" ht="13.2" customHeight="1" s="49">
      <c r="A182" s="35" t="n">
        <v>180</v>
      </c>
      <c r="B182" s="34" t="inlineStr">
        <is>
          <t>ลดปริมาณ Binder ในตำรับ</t>
        </is>
      </c>
      <c r="C182" s="35" t="n"/>
      <c r="D182" s="34" t="inlineStr">
        <is>
          <t>Dry Granulation (Roller Compaction)</t>
        </is>
      </c>
      <c r="E182" s="34" t="inlineStr">
        <is>
          <t>Fluidized Bed Granulation</t>
        </is>
      </c>
      <c r="F182" s="34" t="inlineStr">
        <is>
          <t>Film Coating with Hydroxypropyl methylcellulose (HPMC)</t>
        </is>
      </c>
      <c r="G182" s="34" t="inlineStr">
        <is>
          <t>Enteric Coating with Cellulose acetate phthalate (CAP)</t>
        </is>
      </c>
      <c r="H182" s="34" t="inlineStr">
        <is>
          <t>Hard Gelatin Capsule filling</t>
        </is>
      </c>
      <c r="I182" s="35" t="n">
        <v>1</v>
      </c>
      <c r="J182"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35" t="n"/>
      <c r="L182" s="34" t="inlineStr">
        <is>
          <t>Tablet Manufacturing</t>
        </is>
      </c>
      <c r="M182" s="35" t="inlineStr">
        <is>
          <t>Product</t>
        </is>
      </c>
      <c r="N182" s="34" t="inlineStr">
        <is>
          <t>ข้อ 2 (PLE_CC1_Key_Rx20_UBU.md)</t>
        </is>
      </c>
      <c r="O182" s="35" t="inlineStr">
        <is>
          <t>Mock</t>
        </is>
      </c>
      <c r="P182" s="35" t="inlineStr">
        <is>
          <t>Mock Rx20 UBU</t>
        </is>
      </c>
    </row>
    <row r="183" ht="13.2" customHeight="1" s="49">
      <c r="A183" s="35" t="n">
        <v>181</v>
      </c>
      <c r="B183" s="34" t="inlineStr">
        <is>
          <t>Magnesium stearate เปญนสาร....</t>
        </is>
      </c>
      <c r="C183" s="35" t="n"/>
      <c r="D183" s="34" t="inlineStr">
        <is>
          <t>Enteric Coating with Cellulose acetate phthalate (CAP)</t>
        </is>
      </c>
      <c r="E183" s="34" t="inlineStr">
        <is>
          <t>Hard Gelatin Capsule filling</t>
        </is>
      </c>
      <c r="F183" s="34" t="inlineStr">
        <is>
          <t>Soft Gelatin Capsule encapsulation</t>
        </is>
      </c>
      <c r="G183" s="34" t="inlineStr">
        <is>
          <t>Microcrystalline cellulose</t>
        </is>
      </c>
      <c r="H183" s="34" t="inlineStr">
        <is>
          <t>Magnesium stearate (Lubricant 1%)</t>
        </is>
      </c>
      <c r="I183" s="35" t="n">
        <v>1</v>
      </c>
      <c r="J183"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35" t="n"/>
      <c r="L183" s="34" t="inlineStr">
        <is>
          <t>Tablet Manufacturing</t>
        </is>
      </c>
      <c r="M183" s="35" t="inlineStr">
        <is>
          <t>Product</t>
        </is>
      </c>
      <c r="N183" s="34" t="inlineStr">
        <is>
          <t>ข้อ 4 (PLE_CC1_Key_Rx20_UBU.md)</t>
        </is>
      </c>
      <c r="O183" s="35" t="inlineStr">
        <is>
          <t>Mock</t>
        </is>
      </c>
      <c r="P183" s="35" t="inlineStr">
        <is>
          <t>Mock Rx20 UBU</t>
        </is>
      </c>
    </row>
    <row r="184" ht="13.2" customHeight="1" s="49">
      <c r="A184" s="35" t="n">
        <v>182</v>
      </c>
      <c r="B184" s="34" t="inlineStr">
        <is>
          <t>ยาเม็ด calcium carbonate เกิด capping ข้อใดไม่ใช่วิธีแก้ปัญหาดังกล่าว</t>
        </is>
      </c>
      <c r="C184" s="35" t="n"/>
      <c r="D184" s="34" t="inlineStr">
        <is>
          <t>Microcrystalline cellulose</t>
        </is>
      </c>
      <c r="E184" s="34" t="inlineStr">
        <is>
          <t>Magnesium stearate (Lubricant 1%)</t>
        </is>
      </c>
      <c r="F184" s="34" t="inlineStr">
        <is>
          <t>Sodium starch glycolate (Superdisintegrant)</t>
        </is>
      </c>
      <c r="G184" s="34" t="inlineStr">
        <is>
          <t>Direct Compression tableting method</t>
        </is>
      </c>
      <c r="H184" s="34" t="inlineStr">
        <is>
          <t>Wet Granulation tableting method</t>
        </is>
      </c>
      <c r="I184" s="35" t="n">
        <v>1</v>
      </c>
      <c r="J184" s="34"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35" t="n"/>
      <c r="L184" s="34" t="inlineStr">
        <is>
          <t>Tablet Defects</t>
        </is>
      </c>
      <c r="M184" s="35" t="inlineStr">
        <is>
          <t>Product</t>
        </is>
      </c>
      <c r="N184" s="34" t="inlineStr">
        <is>
          <t>ข้อ 6 (PLE_CC1_Key_Rx20_UBU.md)</t>
        </is>
      </c>
      <c r="O184" s="35" t="inlineStr">
        <is>
          <t>Mock</t>
        </is>
      </c>
      <c r="P184" s="35" t="inlineStr">
        <is>
          <t>Mock Rx20 UBU</t>
        </is>
      </c>
    </row>
    <row r="185" ht="13.2" customHeight="1" s="49">
      <c r="A185" s="35" t="n">
        <v>183</v>
      </c>
      <c r="B185" s="34" t="inlineStr">
        <is>
          <t>Acyclovir tablet ก็ให้ยาฆ่าเชื้อแบคทีเรีย</t>
        </is>
      </c>
      <c r="C185" s="35" t="n"/>
      <c r="D185" s="34" t="inlineStr">
        <is>
          <t>Direct Compression tableting method</t>
        </is>
      </c>
      <c r="E185" s="34" t="inlineStr">
        <is>
          <t>Wet Granulation tableting method</t>
        </is>
      </c>
      <c r="F185" s="34" t="inlineStr">
        <is>
          <t>Dry Granulation (Roller Compaction)</t>
        </is>
      </c>
      <c r="G185" s="34" t="inlineStr">
        <is>
          <t>Fluidized Bed Granulation</t>
        </is>
      </c>
      <c r="H185" s="34" t="inlineStr">
        <is>
          <t>Film Coating with Hydroxypropyl methylcellulose (HPMC)</t>
        </is>
      </c>
      <c r="I185" s="35" t="n">
        <v>2</v>
      </c>
      <c r="J185" s="34"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35" t="n"/>
      <c r="L185" s="34" t="inlineStr">
        <is>
          <t>Tablet Manufacturing</t>
        </is>
      </c>
      <c r="M185" s="35" t="inlineStr">
        <is>
          <t>Product</t>
        </is>
      </c>
      <c r="N185" s="34" t="inlineStr">
        <is>
          <t>ข้อ 5 (PLE_CC1_Key_Rx20_UBU.md)</t>
        </is>
      </c>
      <c r="O185" s="35" t="inlineStr">
        <is>
          <t>Mock</t>
        </is>
      </c>
      <c r="P185" s="35" t="inlineStr">
        <is>
          <t>Mock Rx20 UBU</t>
        </is>
      </c>
    </row>
    <row r="186" ht="13.2" customHeight="1" s="49">
      <c r="A186" s="35" t="n">
        <v>184</v>
      </c>
      <c r="B186" s="34" t="inlineStr">
        <is>
          <t>การวิเคราะห์ที่ไม่ต้องทำในการวิเคราะห์วัตถุดิบ XXX Tablet</t>
        </is>
      </c>
      <c r="C186" s="35" t="n"/>
      <c r="D186" s="34" t="inlineStr">
        <is>
          <t>Fluidized Bed Granulation</t>
        </is>
      </c>
      <c r="E186" s="34" t="inlineStr">
        <is>
          <t>Film Coating with Hydroxypropyl methylcellulose (HPMC)</t>
        </is>
      </c>
      <c r="F186" s="34" t="inlineStr">
        <is>
          <t>Enteric Coating with Cellulose acetate phthalate (CAP)</t>
        </is>
      </c>
      <c r="G186" s="34" t="inlineStr">
        <is>
          <t>Hard Gelatin Capsule filling</t>
        </is>
      </c>
      <c r="H186" s="34" t="inlineStr">
        <is>
          <t>Soft Gelatin Capsule encapsulation</t>
        </is>
      </c>
      <c r="I186" s="35" t="n">
        <v>1</v>
      </c>
      <c r="J186" s="34"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35" t="n"/>
      <c r="L186" s="34" t="inlineStr">
        <is>
          <t>Tablet Manufacturing</t>
        </is>
      </c>
      <c r="M186" s="35" t="inlineStr">
        <is>
          <t>Product</t>
        </is>
      </c>
      <c r="N186" s="34" t="inlineStr">
        <is>
          <t>ข้อ 3 (PLE_CC1_Key_Rx20_UBU.md)</t>
        </is>
      </c>
      <c r="O186" s="35" t="inlineStr">
        <is>
          <t>Mock</t>
        </is>
      </c>
      <c r="P186" s="35" t="inlineStr">
        <is>
          <t>Mock Rx20 UBU</t>
        </is>
      </c>
    </row>
    <row r="187" ht="13.2" customHeight="1" s="49">
      <c r="A187" s="35" t="n">
        <v>185</v>
      </c>
      <c r="B187" s="34" t="inlineStr">
        <is>
          <t>ในการผลิต Azithromycin สามารถใช้สารใดเป็น Superdisintegrant</t>
        </is>
      </c>
      <c r="C187" s="35" t="n"/>
      <c r="D187" s="34" t="inlineStr">
        <is>
          <t>Pregelatinized starch</t>
        </is>
      </c>
      <c r="E187" s="34" t="inlineStr">
        <is>
          <t>Sodium lauryl sulfate</t>
        </is>
      </c>
      <c r="F187" s="34" t="inlineStr">
        <is>
          <t>Croscarmellose sodium</t>
        </is>
      </c>
      <c r="G187" s="34" t="inlineStr">
        <is>
          <t>HPMC</t>
        </is>
      </c>
      <c r="H187" s="34" t="inlineStr">
        <is>
          <t>Lactose</t>
        </is>
      </c>
      <c r="I187" s="35" t="n">
        <v>3</v>
      </c>
      <c r="J187" s="34"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35" t="n"/>
      <c r="L187" s="34" t="inlineStr">
        <is>
          <t>Tablet Manufacturing</t>
        </is>
      </c>
      <c r="M187" s="35" t="inlineStr">
        <is>
          <t>Product</t>
        </is>
      </c>
      <c r="N187" s="34" t="inlineStr">
        <is>
          <t>ข้อ 26 (PLE_CC1_Key_Rx20_UBU.md)</t>
        </is>
      </c>
      <c r="O187" s="35" t="inlineStr">
        <is>
          <t>Mock</t>
        </is>
      </c>
      <c r="P187" s="35" t="inlineStr">
        <is>
          <t>Mock Rx20 UBU</t>
        </is>
      </c>
    </row>
    <row r="188" ht="13.2" customHeight="1" s="49">
      <c r="A188" s="35" t="n">
        <v>186</v>
      </c>
      <c r="B188" s="34" t="inlineStr">
        <is>
          <t>การผสม Magnesium stearate กับ granule ในขั้นตอนสุดท้าย ใช้เครื่องมือใด</t>
        </is>
      </c>
      <c r="C188" s="35" t="n"/>
      <c r="D188" s="34" t="inlineStr">
        <is>
          <t>High speed mixer</t>
        </is>
      </c>
      <c r="E188" s="34" t="inlineStr">
        <is>
          <t>Planetary mixer</t>
        </is>
      </c>
      <c r="F188" s="34" t="inlineStr">
        <is>
          <t>Sigma blade mixer</t>
        </is>
      </c>
      <c r="G188" s="34" t="inlineStr">
        <is>
          <t>Double-cone mixer</t>
        </is>
      </c>
      <c r="H188" s="34" t="inlineStr">
        <is>
          <t>Roller compactor</t>
        </is>
      </c>
      <c r="I188" s="35" t="n">
        <v>2</v>
      </c>
      <c r="J188" s="34"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35" t="n"/>
      <c r="L188" s="34" t="inlineStr">
        <is>
          <t>Powders &amp; Granules</t>
        </is>
      </c>
      <c r="M188" s="35" t="inlineStr">
        <is>
          <t>Product</t>
        </is>
      </c>
      <c r="N188" s="34" t="inlineStr">
        <is>
          <t>ข้อ 37 (PLE_CC1_Key_Rx20_UBU.md)</t>
        </is>
      </c>
      <c r="O188" s="35" t="inlineStr">
        <is>
          <t>Mock</t>
        </is>
      </c>
      <c r="P188" s="35" t="inlineStr">
        <is>
          <t>Mock Rx20 UBU</t>
        </is>
      </c>
    </row>
    <row r="189" ht="13.2" customHeight="1" s="49">
      <c r="A189" s="35" t="n">
        <v>187</v>
      </c>
      <c r="B189" s="34" t="inlineStr">
        <is>
          <t>เพราะเหตุใด Omeprazole จึงต้องทำเป็น Enteric-coated tablet</t>
        </is>
      </c>
      <c r="C189" s="35" t="n"/>
      <c r="D189" s="34" t="inlineStr">
        <is>
          <t>Acid labile</t>
        </is>
      </c>
      <c r="E189" s="34" t="inlineStr">
        <is>
          <t>Heat labile</t>
        </is>
      </c>
      <c r="F189" s="34" t="inlineStr">
        <is>
          <t>high molecular weight</t>
        </is>
      </c>
      <c r="G189" s="34" t="inlineStr">
        <is>
          <t>short half-life</t>
        </is>
      </c>
      <c r="H189" s="34" t="inlineStr">
        <is>
          <t>lipophilicity</t>
        </is>
      </c>
      <c r="I189" s="35" t="n">
        <v>1</v>
      </c>
      <c r="J189" s="34"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35" t="n"/>
      <c r="L189" s="34" t="inlineStr">
        <is>
          <t>Tablet Coating</t>
        </is>
      </c>
      <c r="M189" s="35" t="inlineStr">
        <is>
          <t>Product</t>
        </is>
      </c>
      <c r="N189" s="34" t="inlineStr">
        <is>
          <t>ข้อ 51 (PLE_CC1_Key_Rx20_UBU.md)</t>
        </is>
      </c>
      <c r="O189" s="35" t="inlineStr">
        <is>
          <t>Mock</t>
        </is>
      </c>
      <c r="P189" s="35" t="inlineStr">
        <is>
          <t>Mock Rx20 UBU</t>
        </is>
      </c>
    </row>
    <row r="190" ht="13.2" customHeight="1" s="49">
      <c r="A190" s="35" t="n">
        <v>188</v>
      </c>
      <c r="B190" s="34" t="inlineStr">
        <is>
          <t>Metformin 500 mg tablet มีปัญหาน้ำหนักเม็ดยาไม่สม่ำเสมอแก้ปัญหาได้โดยวิธีเติมสารใด</t>
        </is>
      </c>
      <c r="C190" s="35" t="n"/>
      <c r="D190" s="34" t="inlineStr">
        <is>
          <t>Colloidal silicon dioxide + Talcum</t>
        </is>
      </c>
      <c r="E190" s="34" t="inlineStr">
        <is>
          <t>Lactose + Corn starch</t>
        </is>
      </c>
      <c r="F190" s="34" t="inlineStr">
        <is>
          <t>Sodium starch glycolate + …</t>
        </is>
      </c>
      <c r="G190" s="34" t="inlineStr">
        <is>
          <t>Magnesium stearte + Lactose</t>
        </is>
      </c>
      <c r="H190" s="34"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35" t="n">
        <v>3</v>
      </c>
      <c r="J190" s="34"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35" t="n"/>
      <c r="L190" s="34" t="inlineStr">
        <is>
          <t>Tablet Manufacturing</t>
        </is>
      </c>
      <c r="M190" s="35" t="inlineStr">
        <is>
          <t>Product</t>
        </is>
      </c>
      <c r="N190" s="34" t="inlineStr">
        <is>
          <t>ข้อ 25 (PLE_CC1_Key_Rx20_UBU.md)</t>
        </is>
      </c>
      <c r="O190" s="35" t="inlineStr">
        <is>
          <t>Mock</t>
        </is>
      </c>
      <c r="P190" s="35" t="inlineStr">
        <is>
          <t>Mock Rx20 UBU</t>
        </is>
      </c>
    </row>
    <row r="191" ht="13.2" customHeight="1" s="49">
      <c r="A191" s="35" t="n">
        <v>189</v>
      </c>
      <c r="B191" s="34" t="inlineStr">
        <is>
          <t>dosage form ของ clotrimazole vaginal tablet สามารถเรียกอีกชื่อหนึ่งได้ว่าอะไร</t>
        </is>
      </c>
      <c r="C191" s="35" t="n"/>
      <c r="D191" s="34" t="inlineStr">
        <is>
          <t>lozenges</t>
        </is>
      </c>
      <c r="E191" s="34" t="inlineStr">
        <is>
          <t>troches</t>
        </is>
      </c>
      <c r="F191" s="34" t="inlineStr">
        <is>
          <t>pessaries</t>
        </is>
      </c>
      <c r="G191" s="34" t="inlineStr">
        <is>
          <t>enemas</t>
        </is>
      </c>
      <c r="H191" s="34" t="inlineStr">
        <is>
          <t>pills</t>
        </is>
      </c>
      <c r="I191" s="35" t="n">
        <v>3</v>
      </c>
      <c r="J191" s="34"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35" t="n"/>
      <c r="L191" s="34" t="inlineStr">
        <is>
          <t>Tablet Manufacturing</t>
        </is>
      </c>
      <c r="M191" s="35" t="inlineStr">
        <is>
          <t>Product</t>
        </is>
      </c>
      <c r="N191" s="34" t="inlineStr">
        <is>
          <t>ข้อ 34 (PLE_CC1_Key_Rx20_UBU.md)</t>
        </is>
      </c>
      <c r="O191" s="35" t="inlineStr">
        <is>
          <t>Mock</t>
        </is>
      </c>
      <c r="P191" s="35" t="inlineStr">
        <is>
          <t>Mock Rx20 UBU</t>
        </is>
      </c>
    </row>
    <row r="192" ht="13.2" customHeight="1" s="49">
      <c r="A192" s="35" t="n">
        <v>190</v>
      </c>
      <c r="B192" s="34"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35" t="n"/>
      <c r="D192" s="34" t="inlineStr">
        <is>
          <t>เม็ดยามีความ Hydrophobic มากเกินไป</t>
        </is>
      </c>
      <c r="E192" s="34" t="inlineStr">
        <is>
          <t>ตำรับฟิล์มขาด Plasticizer</t>
        </is>
      </c>
      <c r="F192" s="34" t="inlineStr">
        <is>
          <t>ตำรับฟิล์มขาด Anti-tacking agent</t>
        </is>
      </c>
      <c r="G192" s="34" t="inlineStr">
        <is>
          <t>ความเข้มข้นของตำรับฟิล์มน้อยเกินไป</t>
        </is>
      </c>
      <c r="H192" s="34" t="inlineStr">
        <is>
          <t>เม็ดยาชื้นเกินไป การเตรียมฟิล์มเคลือบยา ส่วนประกอบสำคัญให้น้ำยาเคลือบดี ไม่ขาดร่อนคือการใส่ plasticizer</t>
        </is>
      </c>
      <c r="I192" s="35" t="n">
        <v>2</v>
      </c>
      <c r="J192" s="34"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35" t="n"/>
      <c r="L192" s="34" t="inlineStr">
        <is>
          <t>Tablet Coating</t>
        </is>
      </c>
      <c r="M192" s="35" t="inlineStr">
        <is>
          <t>Product</t>
        </is>
      </c>
      <c r="N192" s="34" t="inlineStr">
        <is>
          <t>ข้อ 70 (PLE_CC1_Key_Rx20_UBU.md)</t>
        </is>
      </c>
      <c r="O192" s="35" t="inlineStr">
        <is>
          <t>Mock</t>
        </is>
      </c>
      <c r="P192" s="35" t="inlineStr">
        <is>
          <t>Mock Rx20 UBU</t>
        </is>
      </c>
    </row>
    <row r="193" ht="13.2" customHeight="1" s="49">
      <c r="A193" s="35" t="n">
        <v>191</v>
      </c>
      <c r="B193" s="34" t="inlineStr">
        <is>
          <t>Magnesium stearate ทำหน้าที่อะไร</t>
        </is>
      </c>
      <c r="C193" s="35" t="n"/>
      <c r="D193" s="34" t="inlineStr">
        <is>
          <t>เพิ่มมวลของเม็ดยา</t>
        </is>
      </c>
      <c r="E193" s="34" t="inlineStr">
        <is>
          <t>ทำให้เม็ดยาแข็งขึ้น</t>
        </is>
      </c>
      <c r="F193" s="34" t="inlineStr">
        <is>
          <t>ทำให้เม็ดยาเกาะกันได้ดีขึ้น</t>
        </is>
      </c>
      <c r="G193" s="34" t="inlineStr">
        <is>
          <t>ช่วยทำให้เม็ดยามีความแข็งมากขึ้น</t>
        </is>
      </c>
      <c r="H193" s="34" t="inlineStr">
        <is>
          <t>ทำให้ไม่ติด punch-die</t>
        </is>
      </c>
      <c r="I193" s="35" t="n">
        <v>5</v>
      </c>
      <c r="J193" s="34"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35" t="n"/>
      <c r="L193" s="34" t="inlineStr">
        <is>
          <t>Tablet Manufacturing</t>
        </is>
      </c>
      <c r="M193" s="35" t="inlineStr">
        <is>
          <t>Product</t>
        </is>
      </c>
      <c r="N193" s="34" t="inlineStr">
        <is>
          <t>ข้อ 88 (PLE_CC1_Key_Rx20_UBU.md)</t>
        </is>
      </c>
      <c r="O193" s="35" t="inlineStr">
        <is>
          <t>Mock</t>
        </is>
      </c>
      <c r="P193" s="35" t="inlineStr">
        <is>
          <t>Mock Rx20 UBU</t>
        </is>
      </c>
    </row>
    <row r="194" ht="13.2" customHeight="1" s="49">
      <c r="A194" s="35" t="n">
        <v>192</v>
      </c>
      <c r="B194" s="34" t="inlineStr">
        <is>
          <t>ยาเม็ดสีฟ้าขาว แบ่งจากบริษัท A บรรจุใส่กระปุก 3 กระปุก โดยติดฉลากใหม่ว่า “พอนสะแตน”</t>
        </is>
      </c>
      <c r="C194" s="35" t="n"/>
      <c r="D194" s="34" t="inlineStr">
        <is>
          <t>Enteric Coating with Cellulose acetate phthalate (CAP)</t>
        </is>
      </c>
      <c r="E194" s="34" t="inlineStr">
        <is>
          <t>Hard Gelatin Capsule filling</t>
        </is>
      </c>
      <c r="F194" s="34" t="inlineStr">
        <is>
          <t>Soft Gelatin Capsule encapsulation</t>
        </is>
      </c>
      <c r="G194" s="34" t="inlineStr">
        <is>
          <t>Microcrystalline cellulose</t>
        </is>
      </c>
      <c r="H194" s="34" t="inlineStr">
        <is>
          <t>Magnesium stearate (Lubricant 1%)</t>
        </is>
      </c>
      <c r="I194" s="35" t="n">
        <v>1</v>
      </c>
      <c r="J194"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35" t="n"/>
      <c r="L194" s="34" t="inlineStr">
        <is>
          <t>Tablet Manufacturing</t>
        </is>
      </c>
      <c r="M194" s="35" t="inlineStr">
        <is>
          <t>Product</t>
        </is>
      </c>
      <c r="N194" s="34" t="inlineStr">
        <is>
          <t>ข้อ 2 (PLE_CC1_Key_Rx20_UBU.md)</t>
        </is>
      </c>
      <c r="O194" s="35" t="inlineStr">
        <is>
          <t>Mock</t>
        </is>
      </c>
      <c r="P194" s="35" t="inlineStr">
        <is>
          <t>Mock Rx20 UBU</t>
        </is>
      </c>
    </row>
    <row r="195" ht="13.2" customHeight="1" s="49">
      <c r="A195" s="35" t="n">
        <v>193</v>
      </c>
      <c r="B195" s="34" t="inlineStr">
        <is>
          <t>ยาเม็ดกลมสีเหลือง และเม็ดกลมสีขาว จัดเป็นชุดใส่ซอง เตรียมไว้ล่วงหน้า เขียนฉลากว่า แก้ปวด จำนวน 36 ซอง</t>
        </is>
      </c>
      <c r="C195" s="35" t="n"/>
      <c r="D195" s="34" t="inlineStr">
        <is>
          <t>Microcrystalline cellulose</t>
        </is>
      </c>
      <c r="E195" s="34" t="inlineStr">
        <is>
          <t>Magnesium stearate (Lubricant 1%)</t>
        </is>
      </c>
      <c r="F195" s="34" t="inlineStr">
        <is>
          <t>Sodium starch glycolate (Superdisintegrant)</t>
        </is>
      </c>
      <c r="G195" s="34" t="inlineStr">
        <is>
          <t>Direct Compression tableting method</t>
        </is>
      </c>
      <c r="H195" s="34" t="inlineStr">
        <is>
          <t>Wet Granulation tableting method</t>
        </is>
      </c>
      <c r="I195" s="35" t="n">
        <v>1</v>
      </c>
      <c r="J195"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35" t="n"/>
      <c r="L195" s="34" t="inlineStr">
        <is>
          <t>Tablet Manufacturing</t>
        </is>
      </c>
      <c r="M195" s="35" t="inlineStr">
        <is>
          <t>Product</t>
        </is>
      </c>
      <c r="N195" s="34" t="inlineStr">
        <is>
          <t>ข้อ 3 (PLE_CC1_Key_Rx20_UBU.md)</t>
        </is>
      </c>
      <c r="O195" s="35" t="inlineStr">
        <is>
          <t>Mock</t>
        </is>
      </c>
      <c r="P195" s="35" t="inlineStr">
        <is>
          <t>Mock Rx20 UBU</t>
        </is>
      </c>
    </row>
    <row r="196" ht="13.2" customHeight="1" s="49">
      <c r="A196" s="35" t="n">
        <v>194</v>
      </c>
      <c r="B196" s="34"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35" t="n"/>
      <c r="D196" s="34" t="inlineStr">
        <is>
          <t>Direct Compression tableting method</t>
        </is>
      </c>
      <c r="E196" s="34" t="inlineStr">
        <is>
          <t>Wet Granulation tableting method</t>
        </is>
      </c>
      <c r="F196" s="34" t="inlineStr">
        <is>
          <t>Dry Granulation (Roller Compaction)</t>
        </is>
      </c>
      <c r="G196" s="34" t="inlineStr">
        <is>
          <t>Fluidized Bed Granulation</t>
        </is>
      </c>
      <c r="H196" s="34" t="inlineStr">
        <is>
          <t>Film Coating with Hydroxypropyl methylcellulose (HPMC)</t>
        </is>
      </c>
      <c r="I196" s="35" t="n">
        <v>1</v>
      </c>
      <c r="J196"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35" t="n"/>
      <c r="L196" s="34" t="inlineStr">
        <is>
          <t>Tablet Manufacturing</t>
        </is>
      </c>
      <c r="M196" s="35" t="inlineStr">
        <is>
          <t>Product</t>
        </is>
      </c>
      <c r="N196" s="34" t="inlineStr">
        <is>
          <t>ข้อ 4 (PLE_CC1_Key_Rx20_UBU.md)</t>
        </is>
      </c>
      <c r="O196" s="35" t="inlineStr">
        <is>
          <t>Mock</t>
        </is>
      </c>
      <c r="P196" s="35" t="inlineStr">
        <is>
          <t>Mock Rx20 UBU</t>
        </is>
      </c>
    </row>
    <row r="197" ht="13.2" customHeight="1" s="49">
      <c r="A197" s="35" t="n">
        <v>195</v>
      </c>
      <c r="B197" s="34" t="inlineStr">
        <is>
          <t>กรณีพบยาเม็ดฟ้าขาว บรรจุกระปุก ฉลากระบุ “พอนสะแตน” ใครผิด ผิดอย่างไร</t>
        </is>
      </c>
      <c r="C197" s="35" t="n"/>
      <c r="D197" s="34" t="inlineStr">
        <is>
          <t>นาย ค ผิด ฐานขายยาปลอม</t>
        </is>
      </c>
      <c r="E197" s="34" t="inlineStr">
        <is>
          <t>นาง ข ผิด ฐานขายยาปลอม</t>
        </is>
      </c>
      <c r="F197" s="34" t="inlineStr">
        <is>
          <t>ภญ. ก ผิด ฐานผลิตยาปลอม</t>
        </is>
      </c>
      <c r="G197" s="34" t="inlineStr">
        <is>
          <t>ภญ. ก ผิด ฐานผลิตยาที่ไม่ได้ขึ้นทะเบียน</t>
        </is>
      </c>
      <c r="H197" s="34" t="inlineStr">
        <is>
          <t>ภญ. ก ผิด ฐานฉลากไม่ครบถ้วน</t>
        </is>
      </c>
      <c r="I197" s="35" t="n">
        <v>3</v>
      </c>
      <c r="J197" s="34"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35" t="n"/>
      <c r="L197" s="34" t="inlineStr">
        <is>
          <t>Tablet Manufacturing</t>
        </is>
      </c>
      <c r="M197" s="35" t="inlineStr">
        <is>
          <t>Product</t>
        </is>
      </c>
      <c r="N197" s="34" t="inlineStr">
        <is>
          <t>ข้อ 111 (PLE_CC1_Key_Rx20_UBU.md)</t>
        </is>
      </c>
      <c r="O197" s="35" t="inlineStr">
        <is>
          <t>Mock</t>
        </is>
      </c>
      <c r="P197" s="35" t="inlineStr">
        <is>
          <t>Mock Rx20 UBU</t>
        </is>
      </c>
    </row>
    <row r="198" ht="13.2" customHeight="1" s="49">
      <c r="A198" s="35" t="n">
        <v>196</v>
      </c>
      <c r="B198" s="34" t="inlineStr">
        <is>
          <t>ตำรับ calcium carbonate effervescent tablet เอาออกจากขวดพบว่าเกิดการเยิ้มเหลว เหนียว เกิดจากปริมาณสารใดมากเกินไปในตำรับ</t>
        </is>
      </c>
      <c r="C198" s="35" t="n"/>
      <c r="D198" s="34" t="inlineStr">
        <is>
          <t>Citric acid</t>
        </is>
      </c>
      <c r="E198" s="34" t="inlineStr">
        <is>
          <t>Tartaric acid</t>
        </is>
      </c>
      <c r="F198" s="34" t="inlineStr">
        <is>
          <t>Sodium bicarbinate</t>
        </is>
      </c>
      <c r="G198" s="34" t="inlineStr">
        <is>
          <t>Sodium carbonate</t>
        </is>
      </c>
      <c r="H198" s="34" t="inlineStr">
        <is>
          <t>Calcium carbonate</t>
        </is>
      </c>
      <c r="I198" s="35" t="n">
        <v>4</v>
      </c>
      <c r="J198" s="34"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35" t="n"/>
      <c r="L198" s="34" t="inlineStr">
        <is>
          <t>Tablet Manufacturing</t>
        </is>
      </c>
      <c r="M198" s="35" t="inlineStr">
        <is>
          <t>Product</t>
        </is>
      </c>
      <c r="N198" s="34" t="inlineStr">
        <is>
          <t>ข้อ 8 (PLE_CC1_Key_Rx20_UBU.md)</t>
        </is>
      </c>
      <c r="O198" s="35" t="inlineStr">
        <is>
          <t>Mock</t>
        </is>
      </c>
      <c r="P198" s="35" t="inlineStr">
        <is>
          <t>Mock Rx20 UBU</t>
        </is>
      </c>
    </row>
    <row r="199" ht="13.2" customHeight="1" s="49">
      <c r="A199" s="35" t="n">
        <v>197</v>
      </c>
      <c r="B199" s="34"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35" t="n"/>
      <c r="D199" s="34" t="inlineStr">
        <is>
          <t>ไม่สามารถทำการศึกษาไปข้างหน้าได้</t>
        </is>
      </c>
      <c r="E199" s="34" t="inlineStr">
        <is>
          <t>ใช้การศึกษา cost - analysis</t>
        </is>
      </c>
      <c r="F199" s="34" t="inlineStr">
        <is>
          <t>ดูผล QALY เป็นการศึกษาแบบ Cost - benefit</t>
        </is>
      </c>
      <c r="G199" s="34" t="inlineStr">
        <is>
          <t>ค่าเดินทางไปรักษาเป็นต้นทุนทางอ้อม</t>
        </is>
      </c>
      <c r="H199" s="34" t="inlineStr">
        <is>
          <t>ต้นทุนทางตรงเมื่อผ่านไป 1 ปี ต้องคำนวณค่าลด (discount)</t>
        </is>
      </c>
      <c r="I199" s="35" t="n">
        <v>1</v>
      </c>
      <c r="J199" s="34"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35" t="n"/>
      <c r="L199" s="34" t="inlineStr">
        <is>
          <t>Powders &amp; Granules</t>
        </is>
      </c>
      <c r="M199" s="35" t="inlineStr">
        <is>
          <t>Product</t>
        </is>
      </c>
      <c r="N199" s="34" t="inlineStr">
        <is>
          <t>ข้อ 3 (PLE_CC1_Key_Rx20_UBU.md)</t>
        </is>
      </c>
      <c r="O199" s="35" t="inlineStr">
        <is>
          <t>Mock</t>
        </is>
      </c>
      <c r="P199" s="35" t="inlineStr">
        <is>
          <t>Mock Rx20 UBU</t>
        </is>
      </c>
    </row>
    <row r="200" ht="13.2" customHeight="1" s="49">
      <c r="A200" s="35" t="n">
        <v>198</v>
      </c>
      <c r="B200" s="34" t="inlineStr">
        <is>
          <t>Subcoating เพื่อให้ได้ขอบยาเม็ดกลมมน</t>
        </is>
      </c>
      <c r="C200" s="35" t="n"/>
      <c r="D200" s="34" t="inlineStr">
        <is>
          <t>Film Coating with Hydroxypropyl methylcellulose (HPMC)</t>
        </is>
      </c>
      <c r="E200" s="34" t="inlineStr">
        <is>
          <t>Enteric Coating with Cellulose acetate phthalate (CAP)</t>
        </is>
      </c>
      <c r="F200" s="34" t="inlineStr">
        <is>
          <t>Hard Gelatin Capsule filling</t>
        </is>
      </c>
      <c r="G200" s="34" t="inlineStr">
        <is>
          <t>Soft Gelatin Capsule encapsulation</t>
        </is>
      </c>
      <c r="H200" s="34" t="inlineStr">
        <is>
          <t>Microcrystalline cellulose</t>
        </is>
      </c>
      <c r="I200" s="35" t="n">
        <v>1</v>
      </c>
      <c r="J200"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35" t="n"/>
      <c r="L200" s="34" t="inlineStr">
        <is>
          <t>Tablet Coating</t>
        </is>
      </c>
      <c r="M200" s="35" t="inlineStr">
        <is>
          <t>Product</t>
        </is>
      </c>
      <c r="N200" s="34" t="inlineStr">
        <is>
          <t>ข้อ 2 (PLE_CC1_Key_Rx20_UBU.md)</t>
        </is>
      </c>
      <c r="O200" s="35" t="inlineStr">
        <is>
          <t>Mock</t>
        </is>
      </c>
      <c r="P200" s="35" t="inlineStr">
        <is>
          <t>Mock Rx20 UBU</t>
        </is>
      </c>
    </row>
    <row r="201" ht="13.2" customHeight="1" s="49">
      <c r="A201" s="35" t="n">
        <v>199</v>
      </c>
      <c r="B201" s="34" t="inlineStr">
        <is>
          <t>Magnesium stearate มีส่วนประกอบดังนี้คือ Microcrystalline cellulose, Starch, Lactose, Colloidal silicon dioxide, SLS ข้อใดคือารช่วยลื่นไหลในตำรับ</t>
        </is>
      </c>
      <c r="C201" s="35" t="n"/>
      <c r="D201" s="34" t="inlineStr">
        <is>
          <t>Microcrystalline cellulose</t>
        </is>
      </c>
      <c r="E201" s="34" t="inlineStr">
        <is>
          <t>Starch</t>
        </is>
      </c>
      <c r="F201" s="34" t="inlineStr">
        <is>
          <t>Lactose</t>
        </is>
      </c>
      <c r="G201" s="34" t="inlineStr">
        <is>
          <t>Colloidal silicon dioxide</t>
        </is>
      </c>
      <c r="H201" s="34" t="inlineStr">
        <is>
          <t>SLS</t>
        </is>
      </c>
      <c r="I201" s="35" t="n">
        <v>1</v>
      </c>
      <c r="J201" s="34" t="inlineStr">
        <is>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1" s="35" t="n"/>
      <c r="L201" s="34" t="inlineStr">
        <is>
          <t>Solid Dosage Forms &amp; Manufacturing</t>
        </is>
      </c>
      <c r="M201" s="35" t="inlineStr">
        <is>
          <t>Product</t>
        </is>
      </c>
      <c r="N201" s="34" t="inlineStr">
        <is>
          <t>ข้อสอบจริง Product ปี 2567 ข้อ 15</t>
        </is>
      </c>
      <c r="O201" s="35" t="inlineStr">
        <is>
          <t>ข้อสอบจริง</t>
        </is>
      </c>
      <c r="P201" s="35" t="inlineStr">
        <is>
          <t>ปี 2567</t>
        </is>
      </c>
    </row>
    <row r="202" ht="13.2" customHeight="1" s="49">
      <c r="A202" s="35" t="n">
        <v>200</v>
      </c>
      <c r="B202" s="34" t="inlineStr">
        <is>
          <t>ยาเม็ดมีปัญาน้ำหนักไม่สม่ำเมอ เนื่องจากผงยาไหลลงเข้าไม่เท่ากันจากการไหลไม่ดี ควรเติมสารใด</t>
        </is>
      </c>
      <c r="C202" s="35" t="n"/>
      <c r="D202" s="34" t="inlineStr">
        <is>
          <t>PEG (Polyethylene Glycol)</t>
        </is>
      </c>
      <c r="E202" s="34" t="inlineStr">
        <is>
          <t>Calcium phosphate</t>
        </is>
      </c>
      <c r="F202" s="34" t="inlineStr">
        <is>
          <t>TiO2 (Titanium Dioxide)</t>
        </is>
      </c>
      <c r="G202" s="34" t="inlineStr">
        <is>
          <t>Clay</t>
        </is>
      </c>
      <c r="H202" s="34" t="inlineStr">
        <is>
          <t>Colloidal silica</t>
        </is>
      </c>
      <c r="I202" s="35" t="n">
        <v>1</v>
      </c>
      <c r="J202" s="34" t="inlineStr">
        <is>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2" s="35" t="n"/>
      <c r="L202" s="34" t="inlineStr">
        <is>
          <t>Solid Dosage Forms &amp; Manufacturing</t>
        </is>
      </c>
      <c r="M202" s="35" t="inlineStr">
        <is>
          <t>Product</t>
        </is>
      </c>
      <c r="N202" s="34" t="inlineStr">
        <is>
          <t>ข้อสอบจริง Product ปี 2567 ข้อ 33</t>
        </is>
      </c>
      <c r="O202" s="35" t="inlineStr">
        <is>
          <t>ข้อสอบจริง</t>
        </is>
      </c>
      <c r="P202" s="35" t="inlineStr">
        <is>
          <t>ปี 2567</t>
        </is>
      </c>
    </row>
    <row r="203" ht="13.2" customHeight="1" s="49">
      <c r="A203" s="35" t="n">
        <v>201</v>
      </c>
      <c r="B203" s="34" t="inlineStr">
        <is>
          <t>ข้อใดไม่เกี่ยวกับการทดสอบเชื้อจุลชีพใน tablets</t>
        </is>
      </c>
      <c r="C203" s="35" t="n"/>
      <c r="D203" s="34" t="inlineStr">
        <is>
          <t>container-closure integrity</t>
        </is>
      </c>
      <c r="E203" s="34" t="inlineStr">
        <is>
          <t>sterility test</t>
        </is>
      </c>
      <c r="F203" s="34" t="inlineStr">
        <is>
          <t>Moisture test</t>
        </is>
      </c>
      <c r="G203" s="34" t="inlineStr">
        <is>
          <t>microbial enumeration test</t>
        </is>
      </c>
      <c r="H203" s="34" t="n"/>
      <c r="I203" s="35" t="n">
        <v>1</v>
      </c>
      <c r="J203" s="34" t="inlineStr">
        <is>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3" s="35" t="n"/>
      <c r="L203" s="34" t="inlineStr">
        <is>
          <t>Solid Dosage Forms &amp; Manufacturing</t>
        </is>
      </c>
      <c r="M203" s="35" t="inlineStr">
        <is>
          <t>Product</t>
        </is>
      </c>
      <c r="N203" s="34" t="inlineStr">
        <is>
          <t>ข้อสอบจริง Product ปี 2567 ข้อ 35</t>
        </is>
      </c>
      <c r="O203" s="35" t="inlineStr">
        <is>
          <t>ข้อสอบจริง</t>
        </is>
      </c>
      <c r="P203" s="35" t="inlineStr">
        <is>
          <t>ปี 2567</t>
        </is>
      </c>
    </row>
    <row r="204" ht="13.2" customHeight="1" s="49">
      <c r="A204" s="35" t="n">
        <v>202</v>
      </c>
      <c r="B204" s="34" t="inlineStr">
        <is>
          <t>(ปี 2566, Day 2 ข้อ 71\) (เรื่อง: Uniformity of Dosage Unit - Domperidone/Omeprazole) ⚠️ Domperidone 10 mg tablets และ Omeprazole 25 mg capsules ควรใช้วิธีใดตรวจ uniformity of dosage unit</t>
        </is>
      </c>
      <c r="C204" s="35" t="n"/>
      <c r="D204" s="34" t="inlineStr">
        <is>
          <t>Weight variation/Weight variation</t>
        </is>
      </c>
      <c r="E204" s="34" t="inlineStr">
        <is>
          <t>Content of uniformity/Content of uniformity</t>
        </is>
      </c>
      <c r="F204" s="34" t="inlineStr">
        <is>
          <t>Content of uniformity/Weight variation</t>
        </is>
      </c>
      <c r="G204" s="34" t="n"/>
      <c r="H204" s="34" t="n"/>
      <c r="I204" s="35" t="n">
        <v>3</v>
      </c>
      <c r="J204" s="34" t="inlineStr">
        <is>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4" s="35" t="n"/>
      <c r="L204" s="34" t="inlineStr">
        <is>
          <t>Solid Dosage Forms &amp; Manufacturing</t>
        </is>
      </c>
      <c r="M204" s="35" t="inlineStr">
        <is>
          <t>Product</t>
        </is>
      </c>
      <c r="N204" s="34" t="inlineStr">
        <is>
          <t>ข้อสอบจริง Product ปี 2566 ข้อ 25</t>
        </is>
      </c>
      <c r="O204" s="35" t="inlineStr">
        <is>
          <t>ข้อสอบจริง</t>
        </is>
      </c>
      <c r="P204" s="35" t="inlineStr">
        <is>
          <t>ปี 2566</t>
        </is>
      </c>
    </row>
    <row r="205" ht="13.2" customHeight="1" s="49">
      <c r="A205" s="35" t="n">
        <v>203</v>
      </c>
      <c r="B205" s="34" t="inlineStr">
        <is>
          <t>ตำรับ MMI tablet ประกอบด้วย MMI, Lactose monohydrate, magnesium stearate, corn starch, talc ถามว่า talc ทำหน้าที่อะไรในตำรับ</t>
        </is>
      </c>
      <c r="C205" s="35" t="n"/>
      <c r="D205" s="34" t="inlineStr">
        <is>
          <t>Diluent</t>
        </is>
      </c>
      <c r="E205" s="34" t="inlineStr">
        <is>
          <t>Disintegration</t>
        </is>
      </c>
      <c r="F205" s="34" t="inlineStr">
        <is>
          <t>Glidant</t>
        </is>
      </c>
      <c r="G205" s="34" t="inlineStr">
        <is>
          <t>Preservative</t>
        </is>
      </c>
      <c r="H205" s="34" t="inlineStr">
        <is>
          <t>Chelating</t>
        </is>
      </c>
      <c r="I205" s="35" t="n">
        <v>1</v>
      </c>
      <c r="J205" s="34" t="inlineStr">
        <is>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5" s="35" t="n"/>
      <c r="L205" s="34" t="inlineStr">
        <is>
          <t>Solid Dosage Forms &amp; Manufacturing</t>
        </is>
      </c>
      <c r="M205" s="35" t="inlineStr">
        <is>
          <t>Product</t>
        </is>
      </c>
      <c r="N205" s="34" t="inlineStr">
        <is>
          <t>ข้อสอบจริง Product ปี 2565 ข้อ 25</t>
        </is>
      </c>
      <c r="O205" s="35" t="inlineStr">
        <is>
          <t>ข้อสอบจริง</t>
        </is>
      </c>
      <c r="P205" s="35" t="inlineStr">
        <is>
          <t>ปี 2565</t>
        </is>
      </c>
    </row>
    <row r="206" ht="13.2" customHeight="1" s="49">
      <c r="A206" s="35" t="n">
        <v>204</v>
      </c>
      <c r="B206" s="34" t="inlineStr">
        <is>
          <t>ยาในรูปแบบ Enteric coat ซึ่งจะมีสารก่อฟิล์มที่ใช้ ควรมีสมบัติอย่างไร</t>
        </is>
      </c>
      <c r="C206" s="35" t="n"/>
      <c r="D206" s="34" t="inlineStr">
        <is>
          <t>ละลายน้ำดี แต่ไม่ละลายในสารละลายอินทรีย์</t>
        </is>
      </c>
      <c r="E206" s="34" t="inlineStr">
        <is>
          <t>ไม่ละลายในสารละลายในกระเพาะอาหาร</t>
        </is>
      </c>
      <c r="F206" s="34" t="inlineStr">
        <is>
          <t>เพิ่มการละลายและการดูดซึมยา</t>
        </is>
      </c>
      <c r="G206" s="34" t="inlineStr">
        <is>
          <t>เพิ่มการซึมผ่านของน้ำและความชื้น</t>
        </is>
      </c>
      <c r="H206" s="34" t="inlineStr">
        <is>
          <t>ถูกย่อยสลายด้วยเอนไซม์ของแบคทีเรียในลำไส้ใหญ่</t>
        </is>
      </c>
      <c r="I206" s="35" t="n">
        <v>1</v>
      </c>
      <c r="J206" s="34" t="inlineStr">
        <is>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6" s="35" t="n"/>
      <c r="L206" s="34" t="inlineStr">
        <is>
          <t>Solid Dosage Forms &amp; Manufacturing</t>
        </is>
      </c>
      <c r="M206" s="35" t="inlineStr">
        <is>
          <t>Product</t>
        </is>
      </c>
      <c r="N206" s="34" t="inlineStr">
        <is>
          <t>ข้อสอบจริง Product ปี 2565 ข้อ 89</t>
        </is>
      </c>
      <c r="O206" s="35" t="inlineStr">
        <is>
          <t>ข้อสอบจริง</t>
        </is>
      </c>
      <c r="P206" s="35" t="inlineStr">
        <is>
          <t>ปี 2565</t>
        </is>
      </c>
    </row>
    <row r="207" ht="13.2" customHeight="1" s="49">
      <c r="A207" s="35" t="n">
        <v>205</v>
      </c>
      <c r="B207" s="34" t="inlineStr">
        <is>
          <t>แก้ปัญหายาเม็ดดังรูปด้วยวิธีใด [แนบรูป: ข้อสอบ Product ปี 2565 รหัสรูปภาพ image22]</t>
        </is>
      </c>
      <c r="C207" s="35" t="inlineStr">
        <is>
          <t>[แนบรูป: ข้อสอบ Product ปี 2565 รหัสรูปภาพ image22]</t>
        </is>
      </c>
      <c r="D207" s="34" t="inlineStr">
        <is>
          <t>เติม binder</t>
        </is>
      </c>
      <c r="E207" s="34" t="inlineStr">
        <is>
          <t>เต็ม anti-adherent</t>
        </is>
      </c>
      <c r="F207" s="34" t="inlineStr">
        <is>
          <t>[NEED_REVIEW]</t>
        </is>
      </c>
      <c r="G207" s="34" t="inlineStr">
        <is>
          <t>[NEED_REVIEW]</t>
        </is>
      </c>
      <c r="H207" s="34" t="inlineStr">
        <is>
          <t>[NEED_REVIEW]</t>
        </is>
      </c>
      <c r="I207" s="35" t="n">
        <v>1</v>
      </c>
      <c r="J207" s="34" t="inlineStr">
        <is>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7" s="35" t="n"/>
      <c r="L207" s="34" t="inlineStr">
        <is>
          <t>Solid Dosage Forms &amp; Manufacturing</t>
        </is>
      </c>
      <c r="M207" s="35" t="inlineStr">
        <is>
          <t>Product</t>
        </is>
      </c>
      <c r="N207" s="34" t="inlineStr">
        <is>
          <t>ข้อสอบจริง Product ปี 2565 ข้อ 72</t>
        </is>
      </c>
      <c r="O207" s="35" t="inlineStr">
        <is>
          <t>ข้อสอบจริง</t>
        </is>
      </c>
      <c r="P207" s="35" t="inlineStr">
        <is>
          <t>ปี 2565</t>
        </is>
      </c>
    </row>
    <row r="208" ht="13.2" customHeight="1" s="49">
      <c r="A208" s="35" t="n">
        <v>206</v>
      </c>
      <c r="B208" s="34" t="inlineStr">
        <is>
          <t>ปัจจัยใดมีผลลดการละลายของ Desipramine tablet</t>
        </is>
      </c>
      <c r="C208" s="35" t="n"/>
      <c r="D208" s="34" t="inlineStr">
        <is>
          <t>เพิ่มปริมาณสารลดแรงตึงผิว (Surfactant)  เพิ่มการเปียกของผงยา → ละลายดีขึ้น</t>
        </is>
      </c>
      <c r="E208" s="34" t="inlineStr">
        <is>
          <t>ทำเป็น Dispersed solid (Solid dispersion)  ช่วยเพิ่มอัตราการละลาย</t>
        </is>
      </c>
      <c r="F208" s="34" t="inlineStr">
        <is>
          <t>ใช้ Crystalline desipramine</t>
        </is>
      </c>
      <c r="G208" s="34" t="inlineStr">
        <is>
          <t>Form complex กับ Cyclodextrin  เพิ่มการละลายของยาที่ละลายน้ำได้น้อย</t>
        </is>
      </c>
      <c r="H208" s="34" t="inlineStr">
        <is>
          <t>ใช้ Micronized desipramine  อนุภาคเล็กลง พื้นที่ผิวเพิ่ม → ละลายเร็วขึ้น</t>
        </is>
      </c>
      <c r="I208" s="35" t="n">
        <v>1</v>
      </c>
      <c r="J208" s="34" t="inlineStr">
        <is>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8" s="35" t="n"/>
      <c r="L208" s="34" t="inlineStr">
        <is>
          <t>Solid Dosage Forms &amp; Manufacturing</t>
        </is>
      </c>
      <c r="M208" s="35" t="inlineStr">
        <is>
          <t>Product</t>
        </is>
      </c>
      <c r="N208" s="34" t="inlineStr">
        <is>
          <t>ข้อสอบจริง Product ปี 2564 ข้อ 29</t>
        </is>
      </c>
      <c r="O208" s="35" t="inlineStr">
        <is>
          <t>ข้อสอบจริง</t>
        </is>
      </c>
      <c r="P208" s="35" t="inlineStr">
        <is>
          <t>ปี 2564</t>
        </is>
      </c>
    </row>
    <row r="209" ht="13.2" customHeight="1" s="49">
      <c r="A209" s="35" t="n">
        <v>207</v>
      </c>
      <c r="B209" s="34" t="inlineStr">
        <is>
          <t>ยาแคปซูลมี doxycycline hydrate equivalent อะไรสักอย่างเท่ากับ 100 mg ผู้ป่วยต้องใช้ bid เป็นเวลา 2 สัปดาห์ ถามว่าผู้ป่วยจะได้รับ doxycycline hydrate กี่กรัม</t>
        </is>
      </c>
      <c r="C209" s="35" t="n"/>
      <c r="D209" s="34" t="inlineStr">
        <is>
          <t>1 กรัม</t>
        </is>
      </c>
      <c r="E209" s="34" t="inlineStr">
        <is>
          <t>1.4 กรัม</t>
        </is>
      </c>
      <c r="F209" s="34" t="inlineStr">
        <is>
          <t>2.8 กรัม</t>
        </is>
      </c>
      <c r="G209" s="34" t="inlineStr">
        <is>
          <t>4.2 กรัม</t>
        </is>
      </c>
      <c r="H209" s="34" t="inlineStr">
        <is>
          <t>5.6 กรัม</t>
        </is>
      </c>
      <c r="I209" s="35" t="n">
        <v>1</v>
      </c>
      <c r="J209" s="34" t="inlineStr">
        <is>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9" s="35" t="n"/>
      <c r="L209" s="34" t="inlineStr">
        <is>
          <t>Solid Dosage Forms &amp; Manufacturing</t>
        </is>
      </c>
      <c r="M209" s="35" t="inlineStr">
        <is>
          <t>Product</t>
        </is>
      </c>
      <c r="N209" s="34" t="inlineStr">
        <is>
          <t>ข้อสอบจริง Product ปี 2564 ข้อ 36</t>
        </is>
      </c>
      <c r="O209" s="35" t="inlineStr">
        <is>
          <t>ข้อสอบจริง</t>
        </is>
      </c>
      <c r="P209" s="35" t="inlineStr">
        <is>
          <t>ปี 2564</t>
        </is>
      </c>
    </row>
    <row r="210" ht="13.2" customHeight="1" s="49">
      <c r="A210" s="35" t="n">
        <v>208</v>
      </c>
      <c r="B210" s="34" t="inlineStr">
        <is>
          <t>Eudragit L 55 PEG 6000 ทำหน้าที่เป็นอะไร</t>
        </is>
      </c>
      <c r="C210" s="35" t="n"/>
      <c r="D210" s="34" t="inlineStr">
        <is>
          <t>Stabilizer</t>
        </is>
      </c>
      <c r="E210" s="34" t="inlineStr">
        <is>
          <t>Plasticizer</t>
        </is>
      </c>
      <c r="F210" s="34" t="inlineStr">
        <is>
          <t>Solubilizer</t>
        </is>
      </c>
      <c r="G210" s="34" t="inlineStr">
        <is>
          <t>ไม่ให้เกิดฟอง</t>
        </is>
      </c>
      <c r="H210" s="34" t="n"/>
      <c r="I210" s="35" t="n">
        <v>1</v>
      </c>
      <c r="J210" s="34" t="inlineStr">
        <is>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0" s="35" t="n"/>
      <c r="L210" s="34" t="inlineStr">
        <is>
          <t>Solid Dosage Forms &amp; Manufacturing</t>
        </is>
      </c>
      <c r="M210" s="35" t="inlineStr">
        <is>
          <t>Product</t>
        </is>
      </c>
      <c r="N210" s="34" t="inlineStr">
        <is>
          <t>ข้อสอบจริง Product ปี 2564 ข้อ 37</t>
        </is>
      </c>
      <c r="O210" s="35" t="inlineStr">
        <is>
          <t>ข้อสอบจริง</t>
        </is>
      </c>
      <c r="P210" s="35" t="inlineStr">
        <is>
          <t>ปี 2564</t>
        </is>
      </c>
    </row>
    <row r="211" ht="13.2" customHeight="1" s="49">
      <c r="A211" s="35" t="n">
        <v>209</v>
      </c>
      <c r="B211" s="34" t="inlineStr">
        <is>
          <t>ตำรับ dicloxacillin ประกอบด้วย Magnesium stearate, silica colloidal anhydrous, titanium dioxide... (จำไม่ได้) สารใดใชแทน silica colloidal anhydrous ได</t>
        </is>
      </c>
      <c r="C211" s="35" t="n"/>
      <c r="D211" s="34" t="inlineStr">
        <is>
          <t>Talcum</t>
        </is>
      </c>
      <c r="E211" s="34" t="inlineStr">
        <is>
          <t>Polyvinylpyrrolidone (PVP) เป็น Binder (สารยึดเกาะ)</t>
        </is>
      </c>
      <c r="F211" s="34" t="inlineStr">
        <is>
          <t>Microcrystalline cellulose (MCC) เป็น Diluent และช่วยในการอัดเม็ด (Dry binder)</t>
        </is>
      </c>
      <c r="G211" s="34" t="inlineStr">
        <is>
          <t>[NEED_REVIEW]</t>
        </is>
      </c>
      <c r="H211" s="34" t="inlineStr">
        <is>
          <t>[NEED_REVIEW]</t>
        </is>
      </c>
      <c r="I211" s="35" t="n">
        <v>1</v>
      </c>
      <c r="J211" s="34" t="inlineStr">
        <is>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1" s="35" t="n"/>
      <c r="L211" s="34" t="inlineStr">
        <is>
          <t>Solid Dosage Forms &amp; Manufacturing</t>
        </is>
      </c>
      <c r="M211" s="35" t="inlineStr">
        <is>
          <t>Product</t>
        </is>
      </c>
      <c r="N211" s="34" t="inlineStr">
        <is>
          <t>ข้อสอบจริง Product ปี 2564 ข้อ 39</t>
        </is>
      </c>
      <c r="O211" s="35" t="inlineStr">
        <is>
          <t>ข้อสอบจริง</t>
        </is>
      </c>
      <c r="P211" s="35" t="inlineStr">
        <is>
          <t>ปี 2564</t>
        </is>
      </c>
    </row>
    <row r="212" ht="13.2" customHeight="1" s="49">
      <c r="A212" s="35" t="n">
        <v>210</v>
      </c>
      <c r="B212" s="34" t="inlineStr">
        <is>
          <t>ป้องกันไม่ให้ตอกแล้วติดหน้าสากต้องใส่สารใด</t>
        </is>
      </c>
      <c r="C212" s="35" t="n"/>
      <c r="D212" s="34" t="inlineStr">
        <is>
          <t>Sodium starch glycolate  เป็น Superdisintegrant</t>
        </is>
      </c>
      <c r="E212" s="34" t="inlineStr">
        <is>
          <t>Talcum ✅ เป็น Glidant</t>
        </is>
      </c>
      <c r="F212" s="34" t="inlineStr">
        <is>
          <t>PEG 6000  เป็น Plasticizer ในการเคลือบฟิล์ม</t>
        </is>
      </c>
      <c r="G212" s="34" t="inlineStr">
        <is>
          <t>PVP K30  เป็น Binder</t>
        </is>
      </c>
      <c r="H212" s="34" t="n"/>
      <c r="I212" s="35" t="n">
        <v>1</v>
      </c>
      <c r="J212" s="34" t="inlineStr">
        <is>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2" s="35" t="n"/>
      <c r="L212" s="34" t="inlineStr">
        <is>
          <t>Solid Dosage Forms &amp; Manufacturing</t>
        </is>
      </c>
      <c r="M212" s="35" t="inlineStr">
        <is>
          <t>Product</t>
        </is>
      </c>
      <c r="N212" s="34" t="inlineStr">
        <is>
          <t>ข้อสอบจริง Product ปี 2564 ข้อ 50</t>
        </is>
      </c>
      <c r="O212" s="35" t="inlineStr">
        <is>
          <t>ข้อสอบจริง</t>
        </is>
      </c>
      <c r="P212" s="35" t="inlineStr">
        <is>
          <t>ปี 2564</t>
        </is>
      </c>
    </row>
    <row r="213" ht="13.2" customHeight="1" s="49">
      <c r="A213" s="35" t="n">
        <v>211</v>
      </c>
      <c r="B213" s="34" t="inlineStr">
        <is>
          <t>เตรียม omeprazole susp. ความแรง 5mg/5ml 100ml ใช omeprazole 20 mg capsule กี่เม็ด</t>
        </is>
      </c>
      <c r="C213" s="35" t="n"/>
      <c r="D213" s="34" t="inlineStr">
        <is>
          <t>5</t>
        </is>
      </c>
      <c r="E213" s="34" t="inlineStr">
        <is>
          <t>10</t>
        </is>
      </c>
      <c r="F213" s="34" t="inlineStr">
        <is>
          <t>15</t>
        </is>
      </c>
      <c r="G213" s="34" t="inlineStr">
        <is>
          <t>20</t>
        </is>
      </c>
      <c r="H213" s="34" t="inlineStr">
        <is>
          <t>25</t>
        </is>
      </c>
      <c r="I213" s="35" t="n">
        <v>1</v>
      </c>
      <c r="J213" s="34" t="inlineStr">
        <is>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3" s="35" t="n"/>
      <c r="L213" s="34" t="inlineStr">
        <is>
          <t>Solid Dosage Forms &amp; Manufacturing</t>
        </is>
      </c>
      <c r="M213" s="35" t="inlineStr">
        <is>
          <t>Product</t>
        </is>
      </c>
      <c r="N213" s="34" t="inlineStr">
        <is>
          <t>ข้อสอบจริง Product ปี 2564 ข้อ 57</t>
        </is>
      </c>
      <c r="O213" s="35" t="inlineStr">
        <is>
          <t>ข้อสอบจริง</t>
        </is>
      </c>
      <c r="P213" s="35" t="inlineStr">
        <is>
          <t>ปี 2564</t>
        </is>
      </c>
    </row>
    <row r="214" ht="13.2" customHeight="1" s="49">
      <c r="A214" s="35" t="n">
        <v>212</v>
      </c>
      <c r="B214" s="34" t="inlineStr">
        <is>
          <t>ทำไมต้องเตรียม omeprazole ในรูปแบบ enteric-coated pellet</t>
        </is>
      </c>
      <c r="C214" s="35" t="n"/>
      <c r="D214" s="34" t="inlineStr">
        <is>
          <t>Acid labile</t>
        </is>
      </c>
      <c r="E214" s="34" t="inlineStr">
        <is>
          <t>Basic labile</t>
        </is>
      </c>
      <c r="F214" s="34" t="inlineStr">
        <is>
          <t>High molecular weight</t>
        </is>
      </c>
      <c r="G214" s="34" t="inlineStr">
        <is>
          <t>[NEED_REVIEW]</t>
        </is>
      </c>
      <c r="H214" s="34" t="inlineStr">
        <is>
          <t>[NEED_REVIEW]</t>
        </is>
      </c>
      <c r="I214" s="35" t="n">
        <v>1</v>
      </c>
      <c r="J214" s="34" t="inlineStr">
        <is>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4" s="35" t="n"/>
      <c r="L214" s="34" t="inlineStr">
        <is>
          <t>Solid Dosage Forms &amp; Manufacturing</t>
        </is>
      </c>
      <c r="M214" s="35" t="inlineStr">
        <is>
          <t>Product</t>
        </is>
      </c>
      <c r="N214" s="34" t="inlineStr">
        <is>
          <t>ข้อสอบจริง Product ปี 2564 ข้อ 58</t>
        </is>
      </c>
      <c r="O214" s="35" t="inlineStr">
        <is>
          <t>ข้อสอบจริง</t>
        </is>
      </c>
      <c r="P214" s="35" t="inlineStr">
        <is>
          <t>ปี 2564</t>
        </is>
      </c>
    </row>
    <row r="215" ht="13.2" customHeight="1" s="49">
      <c r="A215" s="35" t="n">
        <v>213</v>
      </c>
      <c r="B215" s="34" t="inlineStr">
        <is>
          <t>สารจำเป็นใน Omeprazole pellet</t>
        </is>
      </c>
      <c r="C215" s="35" t="n"/>
      <c r="D215" s="34" t="inlineStr">
        <is>
          <t>film forming</t>
        </is>
      </c>
      <c r="E215" s="34" t="inlineStr">
        <is>
          <t>disintegrant</t>
        </is>
      </c>
      <c r="F215" s="34" t="inlineStr">
        <is>
          <t>buffer</t>
        </is>
      </c>
      <c r="G215" s="34" t="inlineStr">
        <is>
          <t>[NEED_REVIEW]</t>
        </is>
      </c>
      <c r="H215" s="34" t="inlineStr">
        <is>
          <t>[NEED_REVIEW]</t>
        </is>
      </c>
      <c r="I215" s="35" t="n">
        <v>1</v>
      </c>
      <c r="J215" s="34" t="inlineStr">
        <is>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5" s="35" t="n"/>
      <c r="L215" s="34" t="inlineStr">
        <is>
          <t>Solid Dosage Forms &amp; Manufacturing</t>
        </is>
      </c>
      <c r="M215" s="35" t="inlineStr">
        <is>
          <t>Product</t>
        </is>
      </c>
      <c r="N215" s="34" t="inlineStr">
        <is>
          <t>ข้อสอบจริง Product ปี 2564 ข้อ 59</t>
        </is>
      </c>
      <c r="O215" s="35" t="inlineStr">
        <is>
          <t>ข้อสอบจริง</t>
        </is>
      </c>
      <c r="P215" s="35" t="inlineStr">
        <is>
          <t>ปี 2564</t>
        </is>
      </c>
    </row>
    <row r="216" ht="13.2" customHeight="1" s="49">
      <c r="A216" s="35" t="n">
        <v>214</v>
      </c>
      <c r="B216" s="34" t="inlineStr">
        <is>
          <t>การทำยาเม็ด Chlorpheniramine tablet เกิดปัญหา binding (เม็ดยาติดหน้า die) ข้อใดไม่ใช่วิธีการแก้ไขปัญหา</t>
        </is>
      </c>
      <c r="C216" s="35" t="n"/>
      <c r="D216" s="34" t="inlineStr">
        <is>
          <t>การเติม lubricant จะช่วยลดแรงเสียดทานระหว่างยากับ Die และลดปัญหาการติดหน้า Die</t>
        </is>
      </c>
      <c r="E216" s="34" t="inlineStr">
        <is>
          <t>การอบ Granule ให้แห้งจะช่วยลดการเกาะติดกัน จึงลดการติดหน้า Die</t>
        </is>
      </c>
      <c r="F216" s="34" t="inlineStr">
        <is>
          <t>Silicon dioxide คือสารดูดความชื้น</t>
        </is>
      </c>
      <c r="G216" s="34" t="inlineStr">
        <is>
          <t>แรงตอกสูงอาจทำให้เกิดปัญหาแกรนูลแตกได้ แต่สามารถช่วยลดโอกาสยาติด Die</t>
        </is>
      </c>
      <c r="H216" s="34" t="inlineStr">
        <is>
          <t>หากบริเวณที่ตอกมีความชื้นมากเกินไปหรือมีความเหนียว จะทำให้ยาติด die</t>
        </is>
      </c>
      <c r="I216" s="35" t="n">
        <v>1</v>
      </c>
      <c r="J216" s="34" t="inlineStr">
        <is>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6" s="35" t="n"/>
      <c r="L216" s="34" t="inlineStr">
        <is>
          <t>Solid Dosage Forms &amp; Manufacturing</t>
        </is>
      </c>
      <c r="M216" s="35" t="inlineStr">
        <is>
          <t>Product</t>
        </is>
      </c>
      <c r="N216" s="34" t="inlineStr">
        <is>
          <t>ข้อสอบจริง Product ปี 2564 ข้อ 61</t>
        </is>
      </c>
      <c r="O216" s="35" t="inlineStr">
        <is>
          <t>ข้อสอบจริง</t>
        </is>
      </c>
      <c r="P216" s="35" t="inlineStr">
        <is>
          <t>ปี 2564</t>
        </is>
      </c>
    </row>
    <row r="217" ht="409.6" customHeight="1" s="49">
      <c r="A217" s="35" t="n">
        <v>215</v>
      </c>
      <c r="B217" s="34" t="inlineStr">
        <is>
          <t>ข้อใดเป็นวิธีแก้ปัญหายา Capping</t>
        </is>
      </c>
      <c r="C217" s="35" t="n"/>
      <c r="D217" s="34" t="inlineStr">
        <is>
          <t>เพิ่มแรงในการตอกเม็ด ❌ อาจทำให้ capping แย่ลง เพราะอากาศถูกอัดไว้มากขึ้น</t>
        </is>
      </c>
      <c r="E217" s="34" t="inlineStr">
        <is>
          <t>ลดระยะเวลาผสมกับ filler ❌ ไม่ใช่วิธีแก้โดยตรง</t>
        </is>
      </c>
      <c r="F217" s="34" t="inlineStr">
        <is>
          <t>เพิ่มปริมาณ binder ✅ ถูกต้อง</t>
        </is>
      </c>
      <c r="G217" s="34" t="inlineStr">
        <is>
          <t>เพิ่มปริมาณ filler ❌ ไม่ช่วยเรื่องแรงยึดเกาะ</t>
        </is>
      </c>
      <c r="H217" s="34" t="inlineStr">
        <is>
          <t>เพิ่มสารช่วยแตกตัว ❌ อาจทำให้เม็ดเปราะและเกิด capping ได้มากขึ้น</t>
        </is>
      </c>
      <c r="I217" s="35" t="n">
        <v>1</v>
      </c>
      <c r="J217" s="34" t="inlineStr">
        <is>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7" s="35" t="n"/>
      <c r="L217" s="34" t="inlineStr">
        <is>
          <t>Solid Dosage Forms &amp; Manufacturing</t>
        </is>
      </c>
      <c r="M217" s="35" t="inlineStr">
        <is>
          <t>Product</t>
        </is>
      </c>
      <c r="N217" s="34" t="inlineStr">
        <is>
          <t>ข้อสอบจริง Product ปี 2564 ข้อ 65</t>
        </is>
      </c>
      <c r="O217" s="35" t="inlineStr">
        <is>
          <t>ข้อสอบจริง</t>
        </is>
      </c>
      <c r="P217" s="35" t="inlineStr">
        <is>
          <t>ปี 2564</t>
        </is>
      </c>
    </row>
    <row r="218" ht="409.6" customHeight="1" s="49">
      <c r="A218" s="35" t="n">
        <v>216</v>
      </c>
      <c r="B218" s="34" t="inlineStr">
        <is>
          <t>ข้อใดไม่ใช่ปัญหาเมื่อสารเคลือบฟิล์มมีความหนืดมากเกิน</t>
        </is>
      </c>
      <c r="C218" s="35" t="n"/>
      <c r="D218" s="34" t="inlineStr">
        <is>
          <t>Picking (ฟิล์มติดหัวพ่นหรือผิวเม็ดยา) ✅ เกิดได้</t>
        </is>
      </c>
      <c r="E218" s="34" t="inlineStr">
        <is>
          <t>Cracking (ฟิล์มแตกร้าว) ❌ ไม่ใช่ผลจากความหนืดสูง → คำตอบ</t>
        </is>
      </c>
      <c r="F218" s="34" t="inlineStr">
        <is>
          <t>Twinning  (เม็ดยา 2 เม็ดติดกัน) ✅ เกิดได้</t>
        </is>
      </c>
      <c r="G218" s="34" t="inlineStr">
        <is>
          <t>Roughness  (ผิวหยาบ) ✅ เกิดได้</t>
        </is>
      </c>
      <c r="H218" s="34" t="inlineStr">
        <is>
          <t>Sticking (เม็ดยาติดกัน) ✅ เกิดได้</t>
        </is>
      </c>
      <c r="I218" s="35" t="n">
        <v>1</v>
      </c>
      <c r="J218" s="34" t="inlineStr">
        <is>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8" s="35" t="n"/>
      <c r="L218" s="34" t="inlineStr">
        <is>
          <t>Solid Dosage Forms &amp; Manufacturing</t>
        </is>
      </c>
      <c r="M218" s="35" t="inlineStr">
        <is>
          <t>Product</t>
        </is>
      </c>
      <c r="N218" s="34" t="inlineStr">
        <is>
          <t>ข้อสอบจริง Product ปี 2564 ข้อ 67</t>
        </is>
      </c>
      <c r="O218" s="35" t="inlineStr">
        <is>
          <t>ข้อสอบจริง</t>
        </is>
      </c>
      <c r="P218" s="35" t="inlineStr">
        <is>
          <t>ปี 2564</t>
        </is>
      </c>
    </row>
    <row r="219" ht="409.6" customHeight="1" s="49">
      <c r="A219" s="35" t="n">
        <v>217</v>
      </c>
      <c r="B219" s="34" t="inlineStr">
        <is>
          <t>ข้อใดไม่ใช่ส่วนประกอบของ soft capsule</t>
        </is>
      </c>
      <c r="C219" s="35" t="n"/>
      <c r="D219" s="34" t="inlineStr">
        <is>
          <t>Glycerin ✅ Plasticizer</t>
        </is>
      </c>
      <c r="E219" s="34" t="inlineStr">
        <is>
          <t>Propylene glycol ✅ Plasticizer (ใช้ได้ในบางสูตร)</t>
        </is>
      </c>
      <c r="F219" s="34" t="inlineStr">
        <is>
          <t>Lake color ✅ สีของเปลือกแคปซูล แม้ไม่ละลายน้ำ ก็ใช้เป็นสีของ soft capsule ได้</t>
        </is>
      </c>
      <c r="G219" s="34" t="inlineStr">
        <is>
          <t>PEG 400 ❌ ไม่ใช่ส่วนประกอบมาตรฐานของ shell (มักใช้เป็นตัวทำละลายหรือ vehicle ของไส้แคปซูลมากกว่า)</t>
        </is>
      </c>
      <c r="H219" s="34" t="inlineStr">
        <is>
          <t>Water ✅ ส่วนประกอบสำคัญของเปลือก</t>
        </is>
      </c>
      <c r="I219" s="35" t="n">
        <v>1</v>
      </c>
      <c r="J219" s="34" t="inlineStr">
        <is>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9" s="35" t="n"/>
      <c r="L219" s="34" t="inlineStr">
        <is>
          <t>Solid Dosage Forms &amp; Manufacturing</t>
        </is>
      </c>
      <c r="M219" s="35" t="inlineStr">
        <is>
          <t>Product</t>
        </is>
      </c>
      <c r="N219" s="34" t="inlineStr">
        <is>
          <t>ข้อสอบจริง Product ปี 2564 ข้อ 70</t>
        </is>
      </c>
      <c r="O219" s="35" t="inlineStr">
        <is>
          <t>ข้อสอบจริง</t>
        </is>
      </c>
      <c r="P219" s="35" t="inlineStr">
        <is>
          <t>ปี 2564</t>
        </is>
      </c>
    </row>
    <row r="220" ht="409.6" customHeight="1" s="49">
      <c r="A220" s="35" t="n">
        <v>218</v>
      </c>
      <c r="B220" s="34" t="inlineStr">
        <is>
          <t>Calcium phosphate dihydrate ทำหน้าที่เป็นอะไรในตำรับ</t>
        </is>
      </c>
      <c r="C220" s="35" t="n"/>
      <c r="D220" s="34" t="inlineStr">
        <is>
          <t>Diluent</t>
        </is>
      </c>
      <c r="E220" s="34" t="inlineStr">
        <is>
          <t>Binder</t>
        </is>
      </c>
      <c r="F220" s="34" t="inlineStr">
        <is>
          <t>Disintegrator</t>
        </is>
      </c>
      <c r="G220" s="34" t="inlineStr">
        <is>
          <t>Lubricant</t>
        </is>
      </c>
      <c r="H220" s="34" t="inlineStr">
        <is>
          <t>ไม่มีข้อใดถูก</t>
        </is>
      </c>
      <c r="I220" s="35" t="n">
        <v>1</v>
      </c>
      <c r="J220" s="34" t="inlineStr">
        <is>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0" s="35" t="n"/>
      <c r="L220" s="34" t="inlineStr">
        <is>
          <t>Solid Dosage Forms &amp; Manufacturing</t>
        </is>
      </c>
      <c r="M220" s="35" t="inlineStr">
        <is>
          <t>Product</t>
        </is>
      </c>
      <c r="N220" s="34" t="inlineStr">
        <is>
          <t>ข้อสอบจริง Product ปี 2564 ข้อ 92</t>
        </is>
      </c>
      <c r="O220" s="35" t="inlineStr">
        <is>
          <t>ข้อสอบจริง</t>
        </is>
      </c>
      <c r="P220" s="35" t="inlineStr">
        <is>
          <t>ปี 2564</t>
        </is>
      </c>
    </row>
    <row r="221" ht="409.6" customHeight="1" s="49">
      <c r="A221" s="35" t="n">
        <v>219</v>
      </c>
      <c r="B221" s="34" t="inlineStr">
        <is>
          <t>ยาเม็ดพบฟิล์มแตกร้าว ( film cracking ) แก้ไขตำรับอย่างไร</t>
        </is>
      </c>
      <c r="C221" s="35" t="n"/>
      <c r="D221" s="34" t="inlineStr">
        <is>
          <t>เพิ่มสารช่วยยืดหยุ่น plasticizers</t>
        </is>
      </c>
      <c r="E221" s="34" t="inlineStr">
        <is>
          <t>เพิ่ม disintegrant ❌ ช่วยให้เม็ดแตกตัว ไม่เกี่ยวกับฟิล์มเคลือบ</t>
        </is>
      </c>
      <c r="F221" s="34" t="inlineStr">
        <is>
          <t>เพิ่มความหนืดของ plasticizers ❌ Plasticizer ไม่ได้แก้โดยเพิ่มความหนืด</t>
        </is>
      </c>
      <c r="G221" s="34" t="inlineStr">
        <is>
          <t>ลดอุณหภูมิลม ❌ อุณหภูมิการอบแห้งเกี่ยวกับกระบวนการเคลือบ แต่ไม่ใช่วิธีหลัก</t>
        </is>
      </c>
      <c r="H221" s="34" t="inlineStr">
        <is>
          <t>เพิ่มความเร็วในการหมุนหม้อเคลือบ ❌ อาจเพิ่มแรงกระแทกของเม็ด แต่ไม่แก้ความเปราะของฟิล์ม</t>
        </is>
      </c>
      <c r="I221" s="35" t="n">
        <v>1</v>
      </c>
      <c r="J221" s="34" t="inlineStr">
        <is>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1" s="35" t="n"/>
      <c r="L221" s="34" t="inlineStr">
        <is>
          <t>Solid Dosage Forms &amp; Manufacturing</t>
        </is>
      </c>
      <c r="M221" s="35" t="inlineStr">
        <is>
          <t>Product</t>
        </is>
      </c>
      <c r="N221" s="34" t="inlineStr">
        <is>
          <t>ข้อสอบจริง Product ปี 2564 ข้อ 95</t>
        </is>
      </c>
      <c r="O221" s="35" t="inlineStr">
        <is>
          <t>ข้อสอบจริง</t>
        </is>
      </c>
      <c r="P221" s="35" t="inlineStr">
        <is>
          <t>ปี 2564</t>
        </is>
      </c>
    </row>
    <row r="222" ht="409.6" customHeight="1" s="49">
      <c r="A222" s="35" t="n">
        <v>220</v>
      </c>
      <c r="B222" s="34" t="inlineStr">
        <is>
          <t>Soy bean oil มีหน้าที่อะไรในตำรับ</t>
        </is>
      </c>
      <c r="C222" s="35" t="n"/>
      <c r="D222" s="34" t="inlineStr">
        <is>
          <t>Filling</t>
        </is>
      </c>
      <c r="E222" s="34" t="inlineStr">
        <is>
          <t>Plasticizer</t>
        </is>
      </c>
      <c r="F222" s="34" t="inlineStr">
        <is>
          <t>Stabilizer</t>
        </is>
      </c>
      <c r="G222" s="34" t="inlineStr">
        <is>
          <t>Stiffening</t>
        </is>
      </c>
      <c r="H222" s="34" t="inlineStr">
        <is>
          <t>Film former</t>
        </is>
      </c>
      <c r="I222" s="35" t="n">
        <v>1</v>
      </c>
      <c r="J222" s="34" t="inlineStr">
        <is>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2" s="35" t="n"/>
      <c r="L222" s="34" t="inlineStr">
        <is>
          <t>Solid Dosage Forms &amp; Manufacturing</t>
        </is>
      </c>
      <c r="M222" s="35" t="inlineStr">
        <is>
          <t>Product</t>
        </is>
      </c>
      <c r="N222" s="34" t="inlineStr">
        <is>
          <t>ข้อสอบจริง Product ปี 2564 ข้อ 124</t>
        </is>
      </c>
      <c r="O222" s="35" t="inlineStr">
        <is>
          <t>ข้อสอบจริง</t>
        </is>
      </c>
      <c r="P222" s="35" t="inlineStr">
        <is>
          <t>ปี 2564</t>
        </is>
      </c>
    </row>
    <row r="223" ht="409.6" customHeight="1" s="49">
      <c r="A223" s="35" t="n">
        <v>221</v>
      </c>
      <c r="B223" s="34"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23" s="35" t="n"/>
      <c r="D223" s="34" t="inlineStr">
        <is>
          <t>3 เดือน</t>
        </is>
      </c>
      <c r="E223" s="34" t="inlineStr">
        <is>
          <t>6 เดือน</t>
        </is>
      </c>
      <c r="F223" s="34" t="inlineStr">
        <is>
          <t>1 ปี</t>
        </is>
      </c>
      <c r="G223" s="34" t="inlineStr">
        <is>
          <t>2 ปี</t>
        </is>
      </c>
      <c r="H223" s="34" t="inlineStr">
        <is>
          <t>3 ปี</t>
        </is>
      </c>
      <c r="I223" s="35" t="n">
        <v>5</v>
      </c>
      <c r="J223" s="34" t="inlineStr">
        <is>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3" s="35" t="n"/>
      <c r="L223" s="34" t="inlineStr">
        <is>
          <t>Solid Dosage Forms &amp; Manufacturing</t>
        </is>
      </c>
      <c r="M223" s="35" t="inlineStr">
        <is>
          <t>Product</t>
        </is>
      </c>
      <c r="N223" s="34" t="inlineStr">
        <is>
          <t>ข้อสอบจริง Product ปี 2564 ข้อ 129</t>
        </is>
      </c>
      <c r="O223" s="35" t="inlineStr">
        <is>
          <t>ข้อสอบจริง</t>
        </is>
      </c>
      <c r="P223" s="35" t="inlineStr">
        <is>
          <t>ปี 2564</t>
        </is>
      </c>
    </row>
    <row r="224" ht="409.6" customHeight="1" s="49">
      <c r="A224" s="35" t="n">
        <v>222</v>
      </c>
      <c r="B224" s="34" t="inlineStr">
        <is>
          <t>จากข้อ 135 สารในข้อใดเป็นสารช่วยแตกตัวสำรับ</t>
        </is>
      </c>
      <c r="C224" s="35" t="n"/>
      <c r="D224" s="34" t="inlineStr">
        <is>
          <t>Starch ✅ เป็น disintegrant</t>
        </is>
      </c>
      <c r="E224" s="34" t="inlineStr">
        <is>
          <t>Lactose ❌ เป็น diluent/filler</t>
        </is>
      </c>
      <c r="F224" s="34" t="inlineStr">
        <is>
          <t>Mg stearate ❌ เป็น lubricant</t>
        </is>
      </c>
      <c r="G224" s="34" t="inlineStr">
        <is>
          <t>Colloidal silicon dioxide (Aerosil) ❌ เป็น glidant/adsorbent</t>
        </is>
      </c>
      <c r="H224" s="34" t="inlineStr">
        <is>
          <t>SLS ❌ เป็น surfactant/wetting agen</t>
        </is>
      </c>
      <c r="I224" s="35" t="n">
        <v>1</v>
      </c>
      <c r="J224" s="34" t="inlineStr">
        <is>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4" s="35" t="n"/>
      <c r="L224" s="34" t="inlineStr">
        <is>
          <t>Solid Dosage Forms &amp; Manufacturing</t>
        </is>
      </c>
      <c r="M224" s="35" t="inlineStr">
        <is>
          <t>Product</t>
        </is>
      </c>
      <c r="N224" s="34" t="inlineStr">
        <is>
          <t>ข้อสอบจริง Product ปี 2564 ข้อ 136</t>
        </is>
      </c>
      <c r="O224" s="35" t="inlineStr">
        <is>
          <t>ข้อสอบจริง</t>
        </is>
      </c>
      <c r="P224" s="35" t="inlineStr">
        <is>
          <t>ปี 2564</t>
        </is>
      </c>
    </row>
    <row r="225" ht="409.6" customHeight="1" s="49">
      <c r="A225" s="35" t="n">
        <v>223</v>
      </c>
      <c r="B225" s="34" t="inlineStr">
        <is>
          <t>ควรใช้ polymer ใดเคลือบ pellet ในรูปแบบ enteric coated</t>
        </is>
      </c>
      <c r="C225" s="35" t="n"/>
      <c r="D225" s="34" t="inlineStr">
        <is>
          <t>Shellac ❌ ใช้ทำ enteric ได้ แต่ปัจจุบันใช้น้อย เพราะความคงตัวไม่ดี</t>
        </is>
      </c>
      <c r="E225" s="34" t="inlineStr">
        <is>
          <t>Hypromellose (HPMC) ❌ Film former ทั่วไป ไม่ใช่ enteric</t>
        </is>
      </c>
      <c r="F225" s="34" t="inlineStr">
        <is>
          <t>Polyvinyl alcohol (PVA) ❌ Film former ไม่ใช่ enteric</t>
        </is>
      </c>
      <c r="G225" s="34" t="inlineStr">
        <is>
          <t>Carboxymethyl cellulose (CMC) ❌ Thickener/Binder ไม่ใช่ enteric</t>
        </is>
      </c>
      <c r="H225" s="34" t="inlineStr">
        <is>
          <t>Polyvinyl acetate phthalate (PVAP) ✅ Enteric polymer</t>
        </is>
      </c>
      <c r="I225" s="35" t="n">
        <v>1</v>
      </c>
      <c r="J225" s="34" t="inlineStr">
        <is>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5" s="35" t="n"/>
      <c r="L225" s="34" t="inlineStr">
        <is>
          <t>Solid Dosage Forms &amp; Manufacturing</t>
        </is>
      </c>
      <c r="M225" s="35" t="inlineStr">
        <is>
          <t>Product</t>
        </is>
      </c>
      <c r="N225" s="34" t="inlineStr">
        <is>
          <t>ข้อสอบจริง Product ปี 2564 ข้อ 153</t>
        </is>
      </c>
      <c r="O225" s="35" t="inlineStr">
        <is>
          <t>ข้อสอบจริง</t>
        </is>
      </c>
      <c r="P225" s="35" t="inlineStr">
        <is>
          <t>ปี 2564</t>
        </is>
      </c>
    </row>
    <row r="226" ht="409.6" customHeight="1" s="49">
      <c r="A226" s="35" t="n">
        <v>224</v>
      </c>
      <c r="B226" s="34" t="inlineStr">
        <is>
          <t>ยาเม็ดดังภาพเกิดปัญหาใด [แนบรูป: ข้อสอบ Product ปี 2564 รหัสรูปภาพ image91]</t>
        </is>
      </c>
      <c r="C226" s="35" t="inlineStr">
        <is>
          <t>[แนบรูป: ข้อสอบ Product ปี 2564 รหัสรูปภาพ image91]</t>
        </is>
      </c>
      <c r="D226" s="34" t="inlineStr">
        <is>
          <t>Capping → ฝาบนหรือฝาล่างของเม็ดยาแยกออก</t>
        </is>
      </c>
      <c r="E226" s="34" t="inlineStr">
        <is>
          <t>Chipping → ขอบเม็ดยาบิ่น/แตก</t>
        </is>
      </c>
      <c r="F226" s="34" t="inlineStr">
        <is>
          <t>Twinning → ยาเม็ด 2 เม็ดติดกัน</t>
        </is>
      </c>
      <c r="G226" s="34" t="inlineStr">
        <is>
          <t>Bridging → สารเคลือบปิดทับรอยสลัก/ตัวอักษรบนเม็ด</t>
        </is>
      </c>
      <c r="H226" s="34" t="inlineStr">
        <is>
          <t>Cracking → เกิดรอยร้าวบนผิวเม็ดยา</t>
        </is>
      </c>
      <c r="I226" s="35" t="n">
        <v>1</v>
      </c>
      <c r="J226" s="34" t="inlineStr">
        <is>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6" s="35" t="n"/>
      <c r="L226" s="34" t="inlineStr">
        <is>
          <t>Solid Dosage Forms &amp; Manufacturing</t>
        </is>
      </c>
      <c r="M226" s="35" t="inlineStr">
        <is>
          <t>Product</t>
        </is>
      </c>
      <c r="N226" s="34" t="inlineStr">
        <is>
          <t>ข้อสอบจริง Product ปี 2564 ข้อ 159</t>
        </is>
      </c>
      <c r="O226" s="35" t="inlineStr">
        <is>
          <t>ข้อสอบจริง</t>
        </is>
      </c>
      <c r="P226" s="35" t="inlineStr">
        <is>
          <t>ปี 2564</t>
        </is>
      </c>
    </row>
    <row r="227" ht="409.6" customHeight="1" s="49">
      <c r="A227" s="35" t="n">
        <v>225</v>
      </c>
      <c r="B227" s="34" t="inlineStr">
        <is>
          <t>หัวข้อทดสอบการควบคุมคุณภาพการนำส่งยาชนิดแผ่นแปะผิวหนังตาม USP คือข้อใด</t>
        </is>
      </c>
      <c r="C227" s="35" t="n"/>
      <c r="D227" s="34" t="inlineStr">
        <is>
          <t>Assay</t>
        </is>
      </c>
      <c r="E227" s="34" t="inlineStr">
        <is>
          <t>Impurities</t>
        </is>
      </c>
      <c r="F227" s="34" t="inlineStr">
        <is>
          <t>Description</t>
        </is>
      </c>
      <c r="G227" s="34" t="inlineStr">
        <is>
          <t>Identification</t>
        </is>
      </c>
      <c r="H227" s="34" t="inlineStr">
        <is>
          <t>Uniformity of dosage unit</t>
        </is>
      </c>
      <c r="I227" s="35" t="n">
        <v>1</v>
      </c>
      <c r="J227" s="34" t="inlineStr">
        <is>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7" s="35" t="n"/>
      <c r="L227" s="34" t="inlineStr">
        <is>
          <t>Solid Dosage Forms &amp; Manufacturing</t>
        </is>
      </c>
      <c r="M227" s="35" t="inlineStr">
        <is>
          <t>Product</t>
        </is>
      </c>
      <c r="N227" s="34" t="inlineStr">
        <is>
          <t>ข้อสอบจริง Product ปี 2564 ข้อ 164</t>
        </is>
      </c>
      <c r="O227" s="35" t="inlineStr">
        <is>
          <t>ข้อสอบจริง</t>
        </is>
      </c>
      <c r="P227" s="35" t="inlineStr">
        <is>
          <t>ปี 2564</t>
        </is>
      </c>
    </row>
    <row r="228" ht="409.6" customHeight="1" s="49">
      <c r="A228" s="35" t="n">
        <v>226</v>
      </c>
      <c r="B228" s="34" t="inlineStr">
        <is>
          <t>ยาเม็ดพบฟิล์มแตกร้าว (film cracking) แก้ไขตำรับอย่างไร ต้นฉบับ: Day 1 ข้อ 12</t>
        </is>
      </c>
      <c r="C228" s="35" t="n"/>
      <c r="D228" s="34" t="inlineStr">
        <is>
          <t>เพิ่มสารช่วยยืดหยุ่น plasticizers</t>
        </is>
      </c>
      <c r="E228" s="34" t="inlineStr">
        <is>
          <t>เพิ่ม disintegrant</t>
        </is>
      </c>
      <c r="F228" s="34" t="inlineStr">
        <is>
          <t>เพิ่มความหนืดของ plasticizers</t>
        </is>
      </c>
      <c r="G228" s="34" t="inlineStr">
        <is>
          <t>ลดอุณหภูมิลม</t>
        </is>
      </c>
      <c r="H228" s="34" t="inlineStr">
        <is>
          <t>เพิ่มความเร็วในการหมุนหม้อเคลือบ</t>
        </is>
      </c>
      <c r="I228" s="35" t="n">
        <v>1</v>
      </c>
      <c r="J228" s="34" t="inlineStr">
        <is>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8" s="35" t="n"/>
      <c r="L228" s="34" t="inlineStr">
        <is>
          <t>Solid Dosage Forms &amp; Manufacturing</t>
        </is>
      </c>
      <c r="M228" s="35" t="inlineStr">
        <is>
          <t>Product</t>
        </is>
      </c>
      <c r="N228" s="34" t="inlineStr">
        <is>
          <t>ข้อสอบจริง Product ปี 2563 ข้อ 18</t>
        </is>
      </c>
      <c r="O228" s="35" t="inlineStr">
        <is>
          <t>ข้อสอบจริง</t>
        </is>
      </c>
      <c r="P228" s="35" t="inlineStr">
        <is>
          <t>ปี 2563</t>
        </is>
      </c>
    </row>
    <row r="229" ht="409.6" customHeight="1" s="49">
      <c r="A229" s="35" t="n">
        <v>227</v>
      </c>
      <c r="B229" s="34" t="inlineStr">
        <is>
          <t>ข้อใดระบุใน monograph ของยาเม็ดในเภสัชตำรับ ต้นฉบับ: Day 1 ข้อ 18</t>
        </is>
      </c>
      <c r="C229" s="35" t="n"/>
      <c r="D229" s="34" t="inlineStr">
        <is>
          <t>Hardness</t>
        </is>
      </c>
      <c r="E229" s="34" t="inlineStr">
        <is>
          <t>Loss on drying</t>
        </is>
      </c>
      <c r="F229" s="34" t="inlineStr">
        <is>
          <t>Friability</t>
        </is>
      </c>
      <c r="G229" s="34" t="inlineStr">
        <is>
          <t>Residue on ignition</t>
        </is>
      </c>
      <c r="H229" s="34" t="inlineStr">
        <is>
          <t>Uniformity of dosage units</t>
        </is>
      </c>
      <c r="I229" s="35" t="n">
        <v>5</v>
      </c>
      <c r="J229" s="34" t="inlineStr">
        <is>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9" s="35" t="n"/>
      <c r="L229" s="34" t="inlineStr">
        <is>
          <t>Solid Dosage Forms &amp; Manufacturing</t>
        </is>
      </c>
      <c r="M229" s="35" t="inlineStr">
        <is>
          <t>Product</t>
        </is>
      </c>
      <c r="N229" s="34" t="inlineStr">
        <is>
          <t>ข้อสอบจริง Product ปี 2563 ข้อ 19</t>
        </is>
      </c>
      <c r="O229" s="35" t="inlineStr">
        <is>
          <t>ข้อสอบจริง</t>
        </is>
      </c>
      <c r="P229" s="35" t="inlineStr">
        <is>
          <t>ปี 2563</t>
        </is>
      </c>
    </row>
    <row r="230" ht="409.6" customHeight="1" s="49">
      <c r="A230" s="35" t="n">
        <v>228</v>
      </c>
      <c r="B230" s="34" t="inlineStr">
        <is>
          <t>ให้ตำรับมา Atorvastatin 20 mg ต้นฉบับ: Day 1 ข้อ 19 Calcium phosphate dihydrate 	100 mg HPC 				4 mg Nymcel 				4 mg Caposil 				2 mg Talcum 				4.5 mg ถามว่า Calcium phosphate dihydrate ทำหน้าที่อะไรในสูตรตำรับ</t>
        </is>
      </c>
      <c r="C230" s="35" t="n"/>
      <c r="D230" s="34" t="inlineStr">
        <is>
          <t>Binder</t>
        </is>
      </c>
      <c r="E230" s="34" t="inlineStr">
        <is>
          <t>Disintegrator</t>
        </is>
      </c>
      <c r="F230" s="34" t="inlineStr">
        <is>
          <t>Diluent</t>
        </is>
      </c>
      <c r="G230" s="34" t="inlineStr">
        <is>
          <t>Lubricant</t>
        </is>
      </c>
      <c r="H230" s="34" t="inlineStr">
        <is>
          <t>ไม่มีข้อถูก</t>
        </is>
      </c>
      <c r="I230" s="35" t="n">
        <v>3</v>
      </c>
      <c r="J230" s="34" t="inlineStr">
        <is>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0" s="35" t="n"/>
      <c r="L230" s="34" t="inlineStr">
        <is>
          <t>Solid Dosage Forms &amp; Manufacturing</t>
        </is>
      </c>
      <c r="M230" s="35" t="inlineStr">
        <is>
          <t>Product</t>
        </is>
      </c>
      <c r="N230" s="34" t="inlineStr">
        <is>
          <t>ข้อสอบจริง Product ปี 2563 ข้อ 20</t>
        </is>
      </c>
      <c r="O230" s="35" t="inlineStr">
        <is>
          <t>ข้อสอบจริง</t>
        </is>
      </c>
      <c r="P230" s="35" t="inlineStr">
        <is>
          <t>ปี 2563</t>
        </is>
      </c>
    </row>
    <row r="231" ht="409.6" customHeight="1" s="49">
      <c r="A231" s="35" t="n">
        <v>229</v>
      </c>
      <c r="B231" s="34" t="inlineStr">
        <is>
          <t>ข้อใดถูกเกี่ยวกับยา venlafaxine XR (75mg capsule) ต้นฉบับ: Day 1 ข้อ 44</t>
        </is>
      </c>
      <c r="C231" s="35" t="n"/>
      <c r="D231" s="34" t="inlineStr">
        <is>
          <t>ตัวยาปลดปล่อยทันทีหลังรับประทาน</t>
        </is>
      </c>
      <c r="E231" s="34" t="inlineStr">
        <is>
          <t>ตัวยาค่อย ๆ ปลดปล่อยถึงระดับการรักษาและคงที่ระดับไว้ที่ 8-12 ชม.</t>
        </is>
      </c>
      <c r="F231" s="34" t="inlineStr">
        <is>
          <t>กินยาแล้วห้ามนอนราบ</t>
        </is>
      </c>
      <c r="G231" s="34" t="inlineStr">
        <is>
          <t>ตัวยาจะออกฤทธิ์เมื่อเคลื่อนที่ไปถึงลำไส้</t>
        </is>
      </c>
      <c r="H231" s="34" t="inlineStr">
        <is>
          <t>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t>
        </is>
      </c>
      <c r="I231" s="35" t="n">
        <v>1</v>
      </c>
      <c r="J231" s="34" t="inlineStr">
        <is>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1" s="35" t="n"/>
      <c r="L231" s="34" t="inlineStr">
        <is>
          <t>Solid Dosage Forms &amp; Manufacturing</t>
        </is>
      </c>
      <c r="M231" s="35" t="inlineStr">
        <is>
          <t>Product</t>
        </is>
      </c>
      <c r="N231" s="34" t="inlineStr">
        <is>
          <t>ข้อสอบจริง Product ปี 2563 ข้อ 22</t>
        </is>
      </c>
      <c r="O231" s="35" t="inlineStr">
        <is>
          <t>ข้อสอบจริง</t>
        </is>
      </c>
      <c r="P231" s="35" t="inlineStr">
        <is>
          <t>ปี 2563</t>
        </is>
      </c>
    </row>
    <row r="232" ht="409.6" customHeight="1" s="49">
      <c r="A232" s="35" t="n">
        <v>230</v>
      </c>
      <c r="B232" s="34" t="inlineStr">
        <is>
          <t>ข้อใดเป็นวิธีแก้ปัญหา Capping ต้นฉบับ: Day 2 ข้อ 19</t>
        </is>
      </c>
      <c r="C232" s="35" t="n"/>
      <c r="D232" s="34" t="inlineStr">
        <is>
          <t>เพิ่มแรงในการตอก</t>
        </is>
      </c>
      <c r="E232" s="34" t="inlineStr">
        <is>
          <t>ลดระยะเวลาผสมกับ filler</t>
        </is>
      </c>
      <c r="F232" s="34" t="inlineStr">
        <is>
          <t>เพิ่มปริมาณ binder</t>
        </is>
      </c>
      <c r="G232" s="34" t="inlineStr">
        <is>
          <t>เพิ่มปริมาณ filler</t>
        </is>
      </c>
      <c r="H232" s="34" t="inlineStr">
        <is>
          <t>เพิ่มสารช่วยแตกตัว</t>
        </is>
      </c>
      <c r="I232" s="35" t="n">
        <v>3</v>
      </c>
      <c r="J232" s="34" t="inlineStr">
        <is>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2" s="35" t="n"/>
      <c r="L232" s="34" t="inlineStr">
        <is>
          <t>Solid Dosage Forms &amp; Manufacturing</t>
        </is>
      </c>
      <c r="M232" s="35" t="inlineStr">
        <is>
          <t>Product</t>
        </is>
      </c>
      <c r="N232" s="34" t="inlineStr">
        <is>
          <t>ข้อสอบจริง Product ปี 2563 ข้อ 27</t>
        </is>
      </c>
      <c r="O232" s="35" t="inlineStr">
        <is>
          <t>ข้อสอบจริง</t>
        </is>
      </c>
      <c r="P232" s="35" t="inlineStr">
        <is>
          <t>ปี 2563</t>
        </is>
      </c>
    </row>
    <row r="233" ht="409.6" customHeight="1" s="49">
      <c r="A233" s="35" t="n">
        <v>231</v>
      </c>
      <c r="B233" s="34" t="inlineStr">
        <is>
          <t>ข้อใดไม่ใช่ปัญหาเมื่อสารเคลือบฟิล์มมีความหนืดมากเกิน ต้นฉบับ: Day 2 ข้อ 25</t>
        </is>
      </c>
      <c r="C233" s="35" t="n"/>
      <c r="D233" s="34" t="inlineStr">
        <is>
          <t>Picking</t>
        </is>
      </c>
      <c r="E233" s="34" t="inlineStr">
        <is>
          <t>Cracking</t>
        </is>
      </c>
      <c r="F233" s="34" t="inlineStr">
        <is>
          <t>Twinning</t>
        </is>
      </c>
      <c r="G233" s="34" t="inlineStr">
        <is>
          <t>Roughness</t>
        </is>
      </c>
      <c r="H233" s="34" t="inlineStr">
        <is>
          <t>Sticking</t>
        </is>
      </c>
      <c r="I233" s="35" t="n">
        <v>2</v>
      </c>
      <c r="J233" s="34" t="inlineStr">
        <is>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3" s="35" t="n"/>
      <c r="L233" s="34" t="inlineStr">
        <is>
          <t>Solid Dosage Forms &amp; Manufacturing</t>
        </is>
      </c>
      <c r="M233" s="35" t="inlineStr">
        <is>
          <t>Product</t>
        </is>
      </c>
      <c r="N233" s="34" t="inlineStr">
        <is>
          <t>ข้อสอบจริง Product ปี 2563 ข้อ 30</t>
        </is>
      </c>
      <c r="O233" s="35" t="inlineStr">
        <is>
          <t>ข้อสอบจริง</t>
        </is>
      </c>
      <c r="P233" s="35" t="inlineStr">
        <is>
          <t>ปี 2563</t>
        </is>
      </c>
    </row>
    <row r="234" ht="409.6" customHeight="1" s="49">
      <c r="A234" s="35" t="n">
        <v>232</v>
      </c>
      <c r="B234" s="34" t="inlineStr">
        <is>
          <t>หัวข้อใดพบได้ใน monograph ต้นฉบับ: Day 2 ข้อ 114</t>
        </is>
      </c>
      <c r="C234" s="35" t="n"/>
      <c r="D234" s="34" t="inlineStr">
        <is>
          <t>Hardness</t>
        </is>
      </c>
      <c r="E234" s="34" t="inlineStr">
        <is>
          <t>Loss on drying</t>
        </is>
      </c>
      <c r="F234" s="34" t="inlineStr">
        <is>
          <t>Friability</t>
        </is>
      </c>
      <c r="G234" s="34" t="inlineStr">
        <is>
          <t>Residue on ignition</t>
        </is>
      </c>
      <c r="H234" s="34" t="inlineStr">
        <is>
          <t>Uniformity of dosage unit | คำตอบที่ข้อสอบน่าจะต้องการ: e) Uniformity of dosage units เป็นข้อกำหนดสำคัญเพื่อให้แต่ละหน่วยมีปริมาณตัวยาสม่ำเสมอ</t>
        </is>
      </c>
      <c r="I234" s="35" t="n">
        <v>1</v>
      </c>
      <c r="J234" s="34" t="inlineStr">
        <is>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4" s="35" t="n"/>
      <c r="L234" s="34" t="inlineStr">
        <is>
          <t>Solid Dosage Forms &amp; Manufacturing</t>
        </is>
      </c>
      <c r="M234" s="35" t="inlineStr">
        <is>
          <t>Product</t>
        </is>
      </c>
      <c r="N234" s="34" t="inlineStr">
        <is>
          <t>ข้อสอบจริง Product ปี 2563 ข้อ 39</t>
        </is>
      </c>
      <c r="O234" s="35" t="inlineStr">
        <is>
          <t>ข้อสอบจริง</t>
        </is>
      </c>
      <c r="P234" s="35" t="inlineStr">
        <is>
          <t>ปี 2563</t>
        </is>
      </c>
    </row>
    <row r="235" ht="409.6" customHeight="1" s="49">
      <c r="A235" s="35" t="n">
        <v>233</v>
      </c>
      <c r="B235" s="34" t="inlineStr">
        <is>
          <t>สารช่วยแตกกระจายตัวในยาเม็ด ต้นฉบับ: Day 2 ข้อ 115</t>
        </is>
      </c>
      <c r="C235" s="35" t="n"/>
      <c r="D235" s="34" t="inlineStr">
        <is>
          <t>anhydrous lactose</t>
        </is>
      </c>
      <c r="E235" s="34" t="inlineStr">
        <is>
          <t>HPC</t>
        </is>
      </c>
      <c r="F235" s="34" t="inlineStr">
        <is>
          <t>Magnesium stearate</t>
        </is>
      </c>
      <c r="G235" s="34" t="inlineStr">
        <is>
          <t>PEG</t>
        </is>
      </c>
      <c r="H235" s="34" t="inlineStr">
        <is>
          <t>croscarmellose sodium</t>
        </is>
      </c>
      <c r="I235" s="35" t="n">
        <v>5</v>
      </c>
      <c r="J235" s="34" t="inlineStr">
        <is>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5" s="35" t="n"/>
      <c r="L235" s="34" t="inlineStr">
        <is>
          <t>Solid Dosage Forms &amp; Manufacturing</t>
        </is>
      </c>
      <c r="M235" s="35" t="inlineStr">
        <is>
          <t>Product</t>
        </is>
      </c>
      <c r="N235" s="34" t="inlineStr">
        <is>
          <t>ข้อสอบจริง Product ปี 2563 ข้อ 40</t>
        </is>
      </c>
      <c r="O235" s="35" t="inlineStr">
        <is>
          <t>ข้อสอบจริง</t>
        </is>
      </c>
      <c r="P235" s="35" t="inlineStr">
        <is>
          <t>ปี 2563</t>
        </is>
      </c>
    </row>
    <row r="236" ht="409.6" customHeight="1" s="49">
      <c r="A236" s="35" t="n">
        <v>234</v>
      </c>
      <c r="B236" s="34" t="inlineStr">
        <is>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is>
      </c>
      <c r="C236" s="35" t="n"/>
      <c r="D236" s="34" t="inlineStr">
        <is>
          <t>HPMC</t>
        </is>
      </c>
      <c r="E236" s="34" t="inlineStr">
        <is>
          <t>PEG 4000</t>
        </is>
      </c>
      <c r="F236" s="34" t="inlineStr">
        <is>
          <t>Ethyl cellulose</t>
        </is>
      </c>
      <c r="G236" s="34" t="inlineStr">
        <is>
          <t>Methyl cellulose</t>
        </is>
      </c>
      <c r="H236" s="34" t="inlineStr">
        <is>
          <t>Sorbitan monostearate |</t>
        </is>
      </c>
      <c r="I236" s="35" t="n">
        <v>1</v>
      </c>
      <c r="J236" s="34" t="inlineStr">
        <is>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6" s="35" t="n"/>
      <c r="L236" s="34" t="inlineStr">
        <is>
          <t>Solid Dosage Forms &amp; Manufacturing</t>
        </is>
      </c>
      <c r="M236" s="35" t="inlineStr">
        <is>
          <t>Product</t>
        </is>
      </c>
      <c r="N236" s="34" t="inlineStr">
        <is>
          <t>ข้อสอบจริง Product ปี 2562 ข้อ 2</t>
        </is>
      </c>
      <c r="O236" s="35" t="inlineStr">
        <is>
          <t>ข้อสอบจริง</t>
        </is>
      </c>
      <c r="P236" s="35" t="inlineStr">
        <is>
          <t>ปี 2562</t>
        </is>
      </c>
    </row>
    <row r="237" ht="409.6" customHeight="1" s="49">
      <c r="A237" s="35" t="n">
        <v>235</v>
      </c>
      <c r="B237" s="34" t="inlineStr">
        <is>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is>
      </c>
      <c r="C237" s="35" t="n"/>
      <c r="D237" s="34" t="inlineStr">
        <is>
          <t>1:10</t>
        </is>
      </c>
      <c r="E237" s="34" t="inlineStr">
        <is>
          <t>1:100</t>
        </is>
      </c>
      <c r="F237" s="34" t="inlineStr">
        <is>
          <t>10:1</t>
        </is>
      </c>
      <c r="G237" s="34" t="inlineStr">
        <is>
          <t>100:1</t>
        </is>
      </c>
      <c r="H237" s="34" t="inlineStr">
        <is>
          <t>1000:1 |</t>
        </is>
      </c>
      <c r="I237" s="35" t="n">
        <v>1</v>
      </c>
      <c r="J237" s="34" t="inlineStr">
        <is>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7" s="35" t="n"/>
      <c r="L237" s="34" t="inlineStr">
        <is>
          <t>Solid Dosage Forms &amp; Manufacturing</t>
        </is>
      </c>
      <c r="M237" s="35" t="inlineStr">
        <is>
          <t>Product</t>
        </is>
      </c>
      <c r="N237" s="34" t="inlineStr">
        <is>
          <t>ข้อสอบจริง Product ปี 2562 ข้อ 2</t>
        </is>
      </c>
      <c r="O237" s="35" t="inlineStr">
        <is>
          <t>ข้อสอบจริง</t>
        </is>
      </c>
      <c r="P237" s="35" t="inlineStr">
        <is>
          <t>ปี 2562</t>
        </is>
      </c>
    </row>
    <row r="238" ht="409.6" customHeight="1" s="49">
      <c r="A238" s="35" t="n">
        <v>236</v>
      </c>
      <c r="B238" s="34" t="inlineStr">
        <is>
          <t>จากข้อ 83 soy bean oil มีน้าที่อะไรในตำรับ</t>
        </is>
      </c>
      <c r="C238" s="35" t="n"/>
      <c r="D238" s="34" t="inlineStr">
        <is>
          <t>Filler</t>
        </is>
      </c>
      <c r="E238" s="34" t="inlineStr">
        <is>
          <t>Plasticizer</t>
        </is>
      </c>
      <c r="F238" s="34" t="inlineStr">
        <is>
          <t>Stabilizer</t>
        </is>
      </c>
      <c r="G238" s="34" t="inlineStr">
        <is>
          <t>Stiffening</t>
        </is>
      </c>
      <c r="H238" s="34" t="inlineStr">
        <is>
          <t>Film former</t>
        </is>
      </c>
      <c r="I238" s="35" t="n">
        <v>1</v>
      </c>
      <c r="J238" s="34" t="inlineStr">
        <is>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8" s="35" t="n"/>
      <c r="L238" s="34" t="inlineStr">
        <is>
          <t>Solid Dosage Forms &amp; Manufacturing</t>
        </is>
      </c>
      <c r="M238" s="35" t="inlineStr">
        <is>
          <t>Product</t>
        </is>
      </c>
      <c r="N238" s="34" t="inlineStr">
        <is>
          <t>ข้อสอบจริง Product ปี 2561 ข้อ 17</t>
        </is>
      </c>
      <c r="O238" s="35" t="inlineStr">
        <is>
          <t>ข้อสอบจริง</t>
        </is>
      </c>
      <c r="P238" s="35" t="inlineStr">
        <is>
          <t>ปี 2561</t>
        </is>
      </c>
    </row>
    <row r="239" ht="409.6" customHeight="1" s="49">
      <c r="A239" s="35" t="n">
        <v>237</v>
      </c>
      <c r="B239" s="34" t="inlineStr">
        <is>
          <t>สารใดทำหน้าที่เป็นตัวควบคุมการปลดปล่อยแบบ enteric coated</t>
        </is>
      </c>
      <c r="C239" s="35" t="n"/>
      <c r="D239" s="34" t="inlineStr">
        <is>
          <t>HPMC</t>
        </is>
      </c>
      <c r="E239" s="34" t="inlineStr">
        <is>
          <t>HPC</t>
        </is>
      </c>
      <c r="F239" s="34" t="inlineStr">
        <is>
          <t>HEC</t>
        </is>
      </c>
      <c r="G239" s="34" t="inlineStr">
        <is>
          <t>PEG</t>
        </is>
      </c>
      <c r="H239" s="34" t="inlineStr">
        <is>
          <t>Methacrylic acid</t>
        </is>
      </c>
      <c r="I239" s="35" t="n">
        <v>1</v>
      </c>
      <c r="J239" s="34" t="inlineStr">
        <is>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9" s="35" t="n"/>
      <c r="L239" s="34" t="inlineStr">
        <is>
          <t>Solid Dosage Forms &amp; Manufacturing</t>
        </is>
      </c>
      <c r="M239" s="35" t="inlineStr">
        <is>
          <t>Product</t>
        </is>
      </c>
      <c r="N239" s="34" t="inlineStr">
        <is>
          <t>ข้อสอบจริง Product ปี 2561 ข้อ 25</t>
        </is>
      </c>
      <c r="O239" s="35" t="inlineStr">
        <is>
          <t>ข้อสอบจริง</t>
        </is>
      </c>
      <c r="P239" s="35" t="inlineStr">
        <is>
          <t>ปี 2561</t>
        </is>
      </c>
    </row>
    <row r="240" ht="409.6" customHeight="1" s="49">
      <c r="A240" s="35" t="n">
        <v>238</v>
      </c>
      <c r="B240" s="34" t="inlineStr">
        <is>
          <t>จากรูปเมื่อผ่า omeprazole pellet ดังรูปส่วนที่ 1 2 และ 3 น่าจะเป็นส่วนใดตามลำดับ [แนบรูป: ข้อสอบ Product ปี 2561 รหัสรูปภาพ image106]</t>
        </is>
      </c>
      <c r="C240" s="35" t="inlineStr">
        <is>
          <t>[แนบรูป: ข้อสอบ Product ปี 2561 รหัสรูปภาพ image106]</t>
        </is>
      </c>
      <c r="D240" s="34" t="inlineStr">
        <is>
          <t>Omeprazole/Methacrylic acid/HPMC</t>
        </is>
      </c>
      <c r="E240" s="34" t="inlineStr">
        <is>
          <t>HPMC/Omeprazole/Methacrylic acid</t>
        </is>
      </c>
      <c r="F240" s="34" t="inlineStr">
        <is>
          <t>Methacrylic acid/HPMC/Omeprazole</t>
        </is>
      </c>
      <c r="G240" s="34" t="inlineStr">
        <is>
          <t>Omeprazole/HPMC/Methacrylic acid</t>
        </is>
      </c>
      <c r="H240" s="34" t="inlineStr">
        <is>
          <t>HPMC/Omeprazole/Methacrylic acid</t>
        </is>
      </c>
      <c r="I240" s="35" t="n">
        <v>1</v>
      </c>
      <c r="J240" s="34" t="inlineStr">
        <is>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0" s="35" t="n"/>
      <c r="L240" s="34" t="inlineStr">
        <is>
          <t>Solid Dosage Forms &amp; Manufacturing</t>
        </is>
      </c>
      <c r="M240" s="35" t="inlineStr">
        <is>
          <t>Product</t>
        </is>
      </c>
      <c r="N240" s="34" t="inlineStr">
        <is>
          <t>ข้อสอบจริง Product ปี 2561 ข้อ 26</t>
        </is>
      </c>
      <c r="O240" s="35" t="inlineStr">
        <is>
          <t>ข้อสอบจริง</t>
        </is>
      </c>
      <c r="P240" s="35" t="inlineStr">
        <is>
          <t>ปี 2561</t>
        </is>
      </c>
    </row>
    <row r="241" ht="409.6" customHeight="1" s="49">
      <c r="A241" s="35" t="n">
        <v>239</v>
      </c>
      <c r="B241" s="34" t="inlineStr">
        <is>
          <t>Donepezil 5 mg คุณสมบัติไหลดี เกิด hydrolysis in alkaline and neutral solution ได้ degradable products ควรเตรียมยาด้วยวิธีอะไร</t>
        </is>
      </c>
      <c r="C241" s="35" t="n"/>
      <c r="D241" s="34" t="inlineStr">
        <is>
          <t>Dry granulation</t>
        </is>
      </c>
      <c r="E241" s="34" t="inlineStr">
        <is>
          <t>Direct compression</t>
        </is>
      </c>
      <c r="F241" s="34" t="inlineStr">
        <is>
          <t>Wet granulation ใช้ starch paste binder</t>
        </is>
      </c>
      <c r="G241" s="34" t="inlineStr">
        <is>
          <t>Wet or dry granulation with starch paste binder</t>
        </is>
      </c>
      <c r="H241" s="34" t="inlineStr">
        <is>
          <t>Direct compression or dry granulation with starch binder</t>
        </is>
      </c>
      <c r="I241" s="35" t="n">
        <v>1</v>
      </c>
      <c r="J241" s="34" t="inlineStr">
        <is>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1" s="35" t="n"/>
      <c r="L241" s="34" t="inlineStr">
        <is>
          <t>Solid Dosage Forms &amp; Manufacturing</t>
        </is>
      </c>
      <c r="M241" s="35" t="inlineStr">
        <is>
          <t>Product</t>
        </is>
      </c>
      <c r="N241" s="34" t="inlineStr">
        <is>
          <t>ข้อสอบจริง Product ปี 2561 ข้อ 30</t>
        </is>
      </c>
      <c r="O241" s="35" t="inlineStr">
        <is>
          <t>ข้อสอบจริง</t>
        </is>
      </c>
      <c r="P241" s="35" t="inlineStr">
        <is>
          <t>ปี 2561</t>
        </is>
      </c>
    </row>
    <row r="242" ht="409.6" customHeight="1" s="49">
      <c r="A242" s="35" t="n">
        <v>240</v>
      </c>
      <c r="B242" s="34" t="inlineStr">
        <is>
          <t>ยา B มีคุณสมบัติละลายน้ำไม่ดี หากต้องการเตรียมเป็นยา capsule ควรเลือก diluent แบบใด</t>
        </is>
      </c>
      <c r="C242" s="35" t="n"/>
      <c r="D242" s="34" t="inlineStr">
        <is>
          <t>Starch</t>
        </is>
      </c>
      <c r="E242" s="34" t="inlineStr">
        <is>
          <t>Lactose</t>
        </is>
      </c>
      <c r="F242" s="34" t="inlineStr">
        <is>
          <t>Calcium sulphate</t>
        </is>
      </c>
      <c r="G242" s="34" t="inlineStr">
        <is>
          <t>Microcrystalline cellulose</t>
        </is>
      </c>
      <c r="H242" s="34" t="inlineStr">
        <is>
          <t>Dibasic calcium phosphate</t>
        </is>
      </c>
      <c r="I242" s="35" t="n">
        <v>1</v>
      </c>
      <c r="J242" s="34" t="inlineStr">
        <is>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2" s="35" t="n"/>
      <c r="L242" s="34" t="inlineStr">
        <is>
          <t>Solid Dosage Forms &amp; Manufacturing</t>
        </is>
      </c>
      <c r="M242" s="35" t="inlineStr">
        <is>
          <t>Product</t>
        </is>
      </c>
      <c r="N242" s="34" t="inlineStr">
        <is>
          <t>ข้อสอบจริง Product ปี 2561 ข้อ 34</t>
        </is>
      </c>
      <c r="O242" s="35" t="inlineStr">
        <is>
          <t>ข้อสอบจริง</t>
        </is>
      </c>
      <c r="P242" s="35" t="inlineStr">
        <is>
          <t>ปี 2561</t>
        </is>
      </c>
    </row>
    <row r="243" ht="409.6" customHeight="1" s="49">
      <c r="A243" s="35" t="n">
        <v>241</v>
      </c>
      <c r="B243" s="34" t="inlineStr">
        <is>
          <t>จากข้อ 117 สารในข้อใดเป็นสารช่วยแตกตัวในตำรับ</t>
        </is>
      </c>
      <c r="C243" s="35" t="n"/>
      <c r="D243" s="34" t="inlineStr">
        <is>
          <t>SLS</t>
        </is>
      </c>
      <c r="E243" s="34" t="inlineStr">
        <is>
          <t>Starch</t>
        </is>
      </c>
      <c r="F243" s="34" t="inlineStr">
        <is>
          <t>Lactose</t>
        </is>
      </c>
      <c r="G243" s="34" t="inlineStr">
        <is>
          <t>Magnesium stearate</t>
        </is>
      </c>
      <c r="H243" s="34" t="inlineStr">
        <is>
          <t>Colloidal silicon dioxide</t>
        </is>
      </c>
      <c r="I243" s="35" t="n">
        <v>1</v>
      </c>
      <c r="J243" s="34" t="inlineStr">
        <is>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3" s="35" t="n"/>
      <c r="L243" s="34" t="inlineStr">
        <is>
          <t>Solid Dosage Forms &amp; Manufacturing</t>
        </is>
      </c>
      <c r="M243" s="35" t="inlineStr">
        <is>
          <t>Product</t>
        </is>
      </c>
      <c r="N243" s="34" t="inlineStr">
        <is>
          <t>ข้อสอบจริง Product ปี 2561 ข้อ 36</t>
        </is>
      </c>
      <c r="O243" s="35" t="inlineStr">
        <is>
          <t>ข้อสอบจริง</t>
        </is>
      </c>
      <c r="P243" s="35" t="inlineStr">
        <is>
          <t>ปี 2561</t>
        </is>
      </c>
    </row>
    <row r="244" ht="409.6" customHeight="1" s="49">
      <c r="A244" s="35" t="n">
        <v>242</v>
      </c>
      <c r="B244" s="34" t="inlineStr">
        <is>
          <t>Sodium starch glycolate ทำหน้าที่อะไรในตำรับ</t>
        </is>
      </c>
      <c r="C244" s="35" t="n"/>
      <c r="D244" s="34" t="inlineStr">
        <is>
          <t>Binder</t>
        </is>
      </c>
      <c r="E244" s="34" t="inlineStr">
        <is>
          <t>Diluent</t>
        </is>
      </c>
      <c r="F244" s="34" t="inlineStr">
        <is>
          <t>Glidant</t>
        </is>
      </c>
      <c r="G244" s="34" t="inlineStr">
        <is>
          <t>Lubricant</t>
        </is>
      </c>
      <c r="H244" s="34" t="inlineStr">
        <is>
          <t>Disintegrating</t>
        </is>
      </c>
      <c r="I244" s="35" t="n">
        <v>1</v>
      </c>
      <c r="J244" s="34" t="inlineStr">
        <is>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4" s="35" t="n"/>
      <c r="L244" s="34" t="inlineStr">
        <is>
          <t>Solid Dosage Forms &amp; Manufacturing</t>
        </is>
      </c>
      <c r="M244" s="35" t="inlineStr">
        <is>
          <t>Product</t>
        </is>
      </c>
      <c r="N244" s="34" t="inlineStr">
        <is>
          <t>ข้อสอบจริง Product ปี 2561 ข้อ 46</t>
        </is>
      </c>
      <c r="O244" s="35" t="inlineStr">
        <is>
          <t>ข้อสอบจริง</t>
        </is>
      </c>
      <c r="P244" s="35" t="inlineStr">
        <is>
          <t>ปี 2561</t>
        </is>
      </c>
    </row>
    <row r="245" ht="409.6" customHeight="1" s="49">
      <c r="A245" s="35" t="n">
        <v>243</v>
      </c>
      <c r="B245" s="34" t="inlineStr">
        <is>
          <t>PEG 4000 ในสูตรตำรับยาเม็ดเคลือบฟิล์มทำหน้าที่อะไร</t>
        </is>
      </c>
      <c r="C245" s="35" t="n"/>
      <c r="D245" s="34" t="inlineStr">
        <is>
          <t>Plasticizer</t>
        </is>
      </c>
      <c r="E245" s="34" t="inlineStr">
        <is>
          <t>Cosolvent</t>
        </is>
      </c>
      <c r="F245" s="34" t="inlineStr">
        <is>
          <t>Opacifiying agent</t>
        </is>
      </c>
      <c r="G245" s="34" t="inlineStr">
        <is>
          <t>Emulsifying agent</t>
        </is>
      </c>
      <c r="H245" s="34" t="inlineStr">
        <is>
          <t>Film coating agent</t>
        </is>
      </c>
      <c r="I245" s="35" t="n">
        <v>1</v>
      </c>
      <c r="J245" s="34" t="inlineStr">
        <is>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5" s="35" t="n"/>
      <c r="L245" s="34" t="inlineStr">
        <is>
          <t>Solid Dosage Forms &amp; Manufacturing</t>
        </is>
      </c>
      <c r="M245" s="35" t="inlineStr">
        <is>
          <t>Product</t>
        </is>
      </c>
      <c r="N245" s="34" t="inlineStr">
        <is>
          <t>ข้อสอบจริง Product ปี 2561 ข้อ 49</t>
        </is>
      </c>
      <c r="O245" s="35" t="inlineStr">
        <is>
          <t>ข้อสอบจริง</t>
        </is>
      </c>
      <c r="P245" s="35" t="inlineStr">
        <is>
          <t>ปี 2561</t>
        </is>
      </c>
    </row>
    <row r="246" ht="409.6" customHeight="1" s="49">
      <c r="A246" s="35" t="n">
        <v>244</v>
      </c>
      <c r="B246" s="34" t="inlineStr">
        <is>
          <t>สารใดไม่จำเป็นต้องมีในตำรับ soft capsule</t>
        </is>
      </c>
      <c r="C246" s="35" t="n"/>
      <c r="D246" s="34" t="inlineStr">
        <is>
          <t>Glidant</t>
        </is>
      </c>
      <c r="E246" s="34" t="inlineStr">
        <is>
          <t>Opacifier</t>
        </is>
      </c>
      <c r="F246" s="34" t="inlineStr">
        <is>
          <t>Plasticizer</t>
        </is>
      </c>
      <c r="G246" s="34" t="inlineStr">
        <is>
          <t>Preservative</t>
        </is>
      </c>
      <c r="H246" s="34" t="inlineStr">
        <is>
          <t>Wetting agent</t>
        </is>
      </c>
      <c r="I246" s="35" t="n">
        <v>1</v>
      </c>
      <c r="J246" s="34" t="inlineStr">
        <is>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6" s="35" t="n"/>
      <c r="L246" s="34" t="inlineStr">
        <is>
          <t>Solid Dosage Forms &amp; Manufacturing</t>
        </is>
      </c>
      <c r="M246" s="35" t="inlineStr">
        <is>
          <t>Product</t>
        </is>
      </c>
      <c r="N246" s="34" t="inlineStr">
        <is>
          <t>ข้อสอบจริง Product ปี 2561 ข้อ 54</t>
        </is>
      </c>
      <c r="O246" s="35" t="inlineStr">
        <is>
          <t>ข้อสอบจริง</t>
        </is>
      </c>
      <c r="P246" s="35" t="inlineStr">
        <is>
          <t>ปี 2561</t>
        </is>
      </c>
    </row>
    <row r="247" ht="409.6" customHeight="1" s="49">
      <c r="A247" s="35" t="n">
        <v>245</v>
      </c>
      <c r="B247" s="34" t="inlineStr">
        <is>
          <t>หากต้องการเตรียม dry powder inhaler และต้องการให้ผงยาไหลได้ดีควรใช้สารช่วยตัวใด</t>
        </is>
      </c>
      <c r="C247" s="35" t="n"/>
      <c r="D247" s="34" t="inlineStr">
        <is>
          <t>Lactose</t>
        </is>
      </c>
      <c r="E247" s="34" t="inlineStr">
        <is>
          <t>PVP K30</t>
        </is>
      </c>
      <c r="F247" s="34" t="inlineStr">
        <is>
          <t>PEG 6000</t>
        </is>
      </c>
      <c r="G247" s="34" t="inlineStr">
        <is>
          <t>Calcium carbonate</t>
        </is>
      </c>
      <c r="H247" s="34" t="inlineStr">
        <is>
          <t>Magnesium stearate</t>
        </is>
      </c>
      <c r="I247" s="35" t="n">
        <v>1</v>
      </c>
      <c r="J247" s="34" t="inlineStr">
        <is>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7" s="35" t="n"/>
      <c r="L247" s="34" t="inlineStr">
        <is>
          <t>Solid Dosage Forms &amp; Manufacturing</t>
        </is>
      </c>
      <c r="M247" s="35" t="inlineStr">
        <is>
          <t>Product</t>
        </is>
      </c>
      <c r="N247" s="34" t="inlineStr">
        <is>
          <t>ข้อสอบจริง Product ปี 2561 ข้อ 76</t>
        </is>
      </c>
      <c r="O247" s="35" t="inlineStr">
        <is>
          <t>ข้อสอบจริง</t>
        </is>
      </c>
      <c r="P247" s="35" t="inlineStr">
        <is>
          <t>ปี 2561</t>
        </is>
      </c>
    </row>
    <row r="248" ht="409.6" customHeight="1" s="49">
      <c r="A248" s="35" t="n">
        <v>246</v>
      </c>
      <c r="B248" s="34" t="inlineStr">
        <is>
          <t>ยา calcium effervescent tablet เก็บไว้แล้ว เมื่อฉีกซองออกมามีลักษณะเยิ้ม เหนียว เกิดจากการมีส่วนประกอบใดมากเกินไปในตำรับ</t>
        </is>
      </c>
      <c r="C248" s="35" t="n"/>
      <c r="D248" s="34" t="inlineStr">
        <is>
          <t>Citric acid</t>
        </is>
      </c>
      <c r="E248" s="34" t="inlineStr">
        <is>
          <t>Tartaric acid</t>
        </is>
      </c>
      <c r="F248" s="34" t="inlineStr">
        <is>
          <t>Sodium carbonate</t>
        </is>
      </c>
      <c r="G248" s="34" t="inlineStr">
        <is>
          <t>Calcium carbonate</t>
        </is>
      </c>
      <c r="H248" s="34" t="inlineStr">
        <is>
          <t>Sodium bicarbonate</t>
        </is>
      </c>
      <c r="I248" s="35" t="n">
        <v>1</v>
      </c>
      <c r="J248" s="34" t="inlineStr">
        <is>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8" s="35" t="n"/>
      <c r="L248" s="34" t="inlineStr">
        <is>
          <t>Solid Dosage Forms &amp; Manufacturing</t>
        </is>
      </c>
      <c r="M248" s="35" t="inlineStr">
        <is>
          <t>Product</t>
        </is>
      </c>
      <c r="N248" s="34" t="inlineStr">
        <is>
          <t>ข้อสอบจริง Product ปี 2561 ข้อ 79</t>
        </is>
      </c>
      <c r="O248" s="35" t="inlineStr">
        <is>
          <t>ข้อสอบจริง</t>
        </is>
      </c>
      <c r="P248" s="35" t="inlineStr">
        <is>
          <t>ปี 2561</t>
        </is>
      </c>
    </row>
    <row r="249" ht="409.6" customHeight="1" s="49">
      <c r="A249" s="35" t="n">
        <v>247</v>
      </c>
      <c r="B249" s="34" t="inlineStr">
        <is>
          <t>จากโครงสร้างของ folic acid ในการพัฒนาสูตรตำรับ folic acid 0.5 mg tablet ปัจจัยในข้อใดควรคำนึงถึงน้อยที่สุด</t>
        </is>
      </c>
      <c r="C249" s="35" t="n"/>
      <c r="D249" s="34" t="inlineStr">
        <is>
          <t>ความทนต่อแสง</t>
        </is>
      </c>
      <c r="E249" s="34" t="inlineStr">
        <is>
          <t>ความคงตัวทางเคมีเรื่อง pH</t>
        </is>
      </c>
      <c r="F249" s="34" t="inlineStr">
        <is>
          <t>ความสามารถในการตอกอัดของยา</t>
        </is>
      </c>
      <c r="G249" s="34" t="inlineStr">
        <is>
          <t>ความคงตัวทางเคมี เรื่องการเกิด reduction</t>
        </is>
      </c>
      <c r="H249" s="34" t="inlineStr">
        <is>
          <t>ความคงตัวทางเคมี เรื่องการเกิด oxidation</t>
        </is>
      </c>
      <c r="I249" s="35" t="n">
        <v>1</v>
      </c>
      <c r="J249" s="34" t="inlineStr">
        <is>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9" s="35" t="n"/>
      <c r="L249" s="34" t="inlineStr">
        <is>
          <t>Solid Dosage Forms &amp; Manufacturing</t>
        </is>
      </c>
      <c r="M249" s="35" t="inlineStr">
        <is>
          <t>Product</t>
        </is>
      </c>
      <c r="N249" s="34" t="inlineStr">
        <is>
          <t>ข้อสอบจริง Product ปี 2561 ข้อ 85</t>
        </is>
      </c>
      <c r="O249" s="35" t="inlineStr">
        <is>
          <t>ข้อสอบจริง</t>
        </is>
      </c>
      <c r="P249" s="35" t="inlineStr">
        <is>
          <t>ปี 2561</t>
        </is>
      </c>
    </row>
    <row r="250" ht="409.6" customHeight="1" s="49">
      <c r="A250" s="35" t="n">
        <v>248</v>
      </c>
      <c r="B250" s="34" t="inlineStr">
        <is>
          <t>ส่วนประกอบของ folic acid 0.5 mg/tab ประกอบด้วยสารช่วย colloidal silica, maize starch, Magnesium stearate, spray dry lactose ควรใช้วิธีใดในการผลิต</t>
        </is>
      </c>
      <c r="C250" s="35" t="n"/>
      <c r="D250" s="34" t="inlineStr">
        <is>
          <t>Slug</t>
        </is>
      </c>
      <c r="E250" s="34" t="inlineStr">
        <is>
          <t>Wet granulation</t>
        </is>
      </c>
      <c r="F250" s="34" t="inlineStr">
        <is>
          <t>Dry granulation</t>
        </is>
      </c>
      <c r="G250" s="34" t="inlineStr">
        <is>
          <t>Direct compression</t>
        </is>
      </c>
      <c r="H250" s="34" t="inlineStr">
        <is>
          <t>Non-aqueous wet granulation</t>
        </is>
      </c>
      <c r="I250" s="35" t="n">
        <v>1</v>
      </c>
      <c r="J250" s="34" t="inlineStr">
        <is>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0" s="35" t="n"/>
      <c r="L250" s="34" t="inlineStr">
        <is>
          <t>Solid Dosage Forms &amp; Manufacturing</t>
        </is>
      </c>
      <c r="M250" s="35" t="inlineStr">
        <is>
          <t>Product</t>
        </is>
      </c>
      <c r="N250" s="34" t="inlineStr">
        <is>
          <t>ข้อสอบจริง Product ปี 2561 ข้อ 86</t>
        </is>
      </c>
      <c r="O250" s="35" t="inlineStr">
        <is>
          <t>ข้อสอบจริง</t>
        </is>
      </c>
      <c r="P250" s="35" t="inlineStr">
        <is>
          <t>ปี 2561</t>
        </is>
      </c>
    </row>
    <row r="251" ht="409.6" customHeight="1" s="49">
      <c r="A251" s="35" t="n">
        <v>249</v>
      </c>
      <c r="B251" s="34" t="inlineStr">
        <is>
          <t>ข้อใดจับชื่อคู่สารกับหน้าที่สารในตำรับผิด</t>
        </is>
      </c>
      <c r="C251" s="35" t="n"/>
      <c r="D251" s="34" t="inlineStr">
        <is>
          <t>Tricitrate เป็น plasticizer</t>
        </is>
      </c>
      <c r="E251" s="34" t="inlineStr">
        <is>
          <t>Crospovidone เป็น stabilizer</t>
        </is>
      </c>
      <c r="F251" s="34" t="inlineStr">
        <is>
          <t>Polysorbate เป็น wetting agent</t>
        </is>
      </c>
      <c r="G251" s="34" t="inlineStr">
        <is>
          <t>Sugar sphere เป็น wetting agent</t>
        </is>
      </c>
      <c r="H251" s="34" t="inlineStr">
        <is>
          <t>Copolymer enteric coated เป็น copolymer</t>
        </is>
      </c>
      <c r="I251" s="35" t="n">
        <v>1</v>
      </c>
      <c r="J251" s="34" t="inlineStr">
        <is>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1" s="35" t="n"/>
      <c r="L251" s="34" t="inlineStr">
        <is>
          <t>Solid Dosage Forms &amp; Manufacturing</t>
        </is>
      </c>
      <c r="M251" s="35" t="inlineStr">
        <is>
          <t>Product</t>
        </is>
      </c>
      <c r="N251" s="34" t="inlineStr">
        <is>
          <t>ข้อสอบจริง Product ปี 2561 ข้อ 92</t>
        </is>
      </c>
      <c r="O251" s="35" t="inlineStr">
        <is>
          <t>ข้อสอบจริง</t>
        </is>
      </c>
      <c r="P251" s="35" t="inlineStr">
        <is>
          <t>ปี 2561</t>
        </is>
      </c>
    </row>
    <row r="252" ht="409.6" customHeight="1" s="49">
      <c r="A252" s="35" t="n">
        <v>250</v>
      </c>
      <c r="B252" s="34" t="inlineStr">
        <is>
          <t>ยา paracetamol มีปริมาณตัวยาสำคัญในหนึ่งเม็ดมาก โดยทั่วไปแล้วควรใช้วิธีใดในการผลิตยาเม็ด</t>
        </is>
      </c>
      <c r="C252" s="35" t="n"/>
      <c r="D252" s="34" t="inlineStr">
        <is>
          <t>Slugging</t>
        </is>
      </c>
      <c r="E252" s="34" t="inlineStr">
        <is>
          <t>Dry granulation</t>
        </is>
      </c>
      <c r="F252" s="34" t="inlineStr">
        <is>
          <t>Wet granulation</t>
        </is>
      </c>
      <c r="G252" s="34" t="inlineStr">
        <is>
          <t>Direct granulation</t>
        </is>
      </c>
      <c r="H252" s="34" t="inlineStr">
        <is>
          <t>Direct compression</t>
        </is>
      </c>
      <c r="I252" s="35" t="n">
        <v>1</v>
      </c>
      <c r="J252" s="34" t="inlineStr">
        <is>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2" s="35" t="n"/>
      <c r="L252" s="34" t="inlineStr">
        <is>
          <t>Solid Dosage Forms &amp; Manufacturing</t>
        </is>
      </c>
      <c r="M252" s="35" t="inlineStr">
        <is>
          <t>Product</t>
        </is>
      </c>
      <c r="N252" s="34" t="inlineStr">
        <is>
          <t>ข้อสอบจริง Product ปี 2561 ข้อ 93</t>
        </is>
      </c>
      <c r="O252" s="35" t="inlineStr">
        <is>
          <t>ข้อสอบจริง</t>
        </is>
      </c>
      <c r="P252" s="35" t="inlineStr">
        <is>
          <t>ปี 2561</t>
        </is>
      </c>
    </row>
    <row r="253" ht="409.6" customHeight="1" s="49">
      <c r="A253" s="35" t="n">
        <v>251</v>
      </c>
      <c r="B253" s="34" t="inlineStr">
        <is>
          <t>ระบบนำส่งยาในภาพเป็นระบบนำส่งยาในรูปแบบใด [แนบรูป: ข้อสอบ Product ปี 2561 รหัสรูปภาพ image113]</t>
        </is>
      </c>
      <c r="C253" s="35" t="inlineStr">
        <is>
          <t>[แนบรูป: ข้อสอบ Product ปี 2561 รหัสรูปภาพ image113]</t>
        </is>
      </c>
      <c r="D253" s="34" t="inlineStr">
        <is>
          <t>Micelle</t>
        </is>
      </c>
      <c r="E253" s="34" t="inlineStr">
        <is>
          <t>Liposome</t>
        </is>
      </c>
      <c r="F253" s="34" t="inlineStr">
        <is>
          <t>Dendrimer</t>
        </is>
      </c>
      <c r="G253" s="34" t="inlineStr">
        <is>
          <t>Nanosphere</t>
        </is>
      </c>
      <c r="H253" s="34" t="inlineStr">
        <is>
          <t>Nanocapsule</t>
        </is>
      </c>
      <c r="I253" s="35" t="n">
        <v>1</v>
      </c>
      <c r="J253" s="34" t="inlineStr">
        <is>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3" s="35" t="n"/>
      <c r="L253" s="34" t="inlineStr">
        <is>
          <t>Solid Dosage Forms &amp; Manufacturing</t>
        </is>
      </c>
      <c r="M253" s="35" t="inlineStr">
        <is>
          <t>Product</t>
        </is>
      </c>
      <c r="N253" s="34" t="inlineStr">
        <is>
          <t>ข้อสอบจริง Product ปี 2561 ข้อ 96</t>
        </is>
      </c>
      <c r="O253" s="35" t="inlineStr">
        <is>
          <t>ข้อสอบจริง</t>
        </is>
      </c>
      <c r="P253" s="35" t="inlineStr">
        <is>
          <t>ปี 2561</t>
        </is>
      </c>
    </row>
    <row r="254" ht="409.6" customHeight="1" s="49">
      <c r="A254" s="35" t="n">
        <v>252</v>
      </c>
      <c r="B254" s="34" t="inlineStr">
        <is>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t>
        </is>
      </c>
      <c r="C254" s="35" t="inlineStr">
        <is>
          <t>[แนบรูป: ข้อสอบ Product ปี 2561 รหัสรูปภาพ image114]</t>
        </is>
      </c>
      <c r="D254" s="34" t="inlineStr">
        <is>
          <t>EC</t>
        </is>
      </c>
      <c r="E254" s="34" t="inlineStr">
        <is>
          <t>MC</t>
        </is>
      </c>
      <c r="F254" s="34" t="inlineStr">
        <is>
          <t>Lactose</t>
        </is>
      </c>
      <c r="G254" s="34" t="inlineStr">
        <is>
          <t>Magnesium stearate</t>
        </is>
      </c>
      <c r="H254" s="34" t="inlineStr">
        <is>
          <t>Sodium starch glycolate</t>
        </is>
      </c>
      <c r="I254" s="35" t="n">
        <v>1</v>
      </c>
      <c r="J254" s="34" t="inlineStr">
        <is>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4" s="35" t="n"/>
      <c r="L254" s="34" t="inlineStr">
        <is>
          <t>Solid Dosage Forms &amp; Manufacturing</t>
        </is>
      </c>
      <c r="M254" s="35" t="inlineStr">
        <is>
          <t>Product</t>
        </is>
      </c>
      <c r="N254" s="34" t="inlineStr">
        <is>
          <t>ข้อสอบจริง Product ปี 2561 ข้อ 102</t>
        </is>
      </c>
      <c r="O254" s="35" t="inlineStr">
        <is>
          <t>ข้อสอบจริง</t>
        </is>
      </c>
      <c r="P254" s="35" t="inlineStr">
        <is>
          <t>ปี 2561</t>
        </is>
      </c>
    </row>
    <row r="255" ht="409.6" customHeight="1" s="49">
      <c r="A255" s="35" t="n">
        <v>253</v>
      </c>
      <c r="B255" s="34" t="inlineStr">
        <is>
          <t>สารใดเป็นสารช่วยแตกตัว</t>
        </is>
      </c>
      <c r="C255" s="35" t="n"/>
      <c r="D255" s="34" t="inlineStr">
        <is>
          <t>PVA</t>
        </is>
      </c>
      <c r="E255" s="34" t="inlineStr">
        <is>
          <t>Hypomellose</t>
        </is>
      </c>
      <c r="F255" s="34" t="inlineStr">
        <is>
          <t>Magnesium stearate</t>
        </is>
      </c>
      <c r="G255" s="34" t="inlineStr">
        <is>
          <t>Sodium starch glycolate</t>
        </is>
      </c>
      <c r="H255" s="34" t="inlineStr">
        <is>
          <t>Cellulose silicone dioxide</t>
        </is>
      </c>
      <c r="I255" s="35" t="n">
        <v>1</v>
      </c>
      <c r="J255" s="34" t="inlineStr">
        <is>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5" s="35" t="n"/>
      <c r="L255" s="34" t="inlineStr">
        <is>
          <t>Solid Dosage Forms &amp; Manufacturing</t>
        </is>
      </c>
      <c r="M255" s="35" t="inlineStr">
        <is>
          <t>Product</t>
        </is>
      </c>
      <c r="N255" s="34" t="inlineStr">
        <is>
          <t>ข้อสอบจริง Product ปี 2561 ข้อ 108</t>
        </is>
      </c>
      <c r="O255" s="35" t="inlineStr">
        <is>
          <t>ข้อสอบจริง</t>
        </is>
      </c>
      <c r="P255" s="35" t="inlineStr">
        <is>
          <t>ปี 2561</t>
        </is>
      </c>
    </row>
    <row r="256" ht="409.6" customHeight="1" s="49">
      <c r="A256" s="35" t="n">
        <v>254</v>
      </c>
      <c r="B256" s="34" t="inlineStr">
        <is>
          <t>สารใดที่ช่วยให้ยา antihistamine tablet แตกตัวอย่างรวดเร็ว</t>
        </is>
      </c>
      <c r="C256" s="35" t="n"/>
      <c r="D256" s="34" t="inlineStr">
        <is>
          <t>PVP K90</t>
        </is>
      </c>
      <c r="E256" s="34" t="inlineStr">
        <is>
          <t>Fumed silica</t>
        </is>
      </c>
      <c r="F256" s="34" t="inlineStr">
        <is>
          <t>Crosspovidone</t>
        </is>
      </c>
      <c r="G256" s="34" t="inlineStr">
        <is>
          <t>Magnesium stearate</t>
        </is>
      </c>
      <c r="H256" s="34" t="inlineStr">
        <is>
          <t>Sodium monohydrate</t>
        </is>
      </c>
      <c r="I256" s="35" t="n">
        <v>1</v>
      </c>
      <c r="J256" s="34" t="inlineStr">
        <is>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6" s="35" t="n"/>
      <c r="L256" s="34" t="inlineStr">
        <is>
          <t>Solid Dosage Forms &amp; Manufacturing</t>
        </is>
      </c>
      <c r="M256" s="35" t="inlineStr">
        <is>
          <t>Product</t>
        </is>
      </c>
      <c r="N256" s="34" t="inlineStr">
        <is>
          <t>ข้อสอบจริง Product ปี 2561 ข้อ 110</t>
        </is>
      </c>
      <c r="O256" s="35" t="inlineStr">
        <is>
          <t>ข้อสอบจริง</t>
        </is>
      </c>
      <c r="P256" s="35" t="inlineStr">
        <is>
          <t>ปี 2561</t>
        </is>
      </c>
    </row>
    <row r="257" ht="409.6" customHeight="1" s="49">
      <c r="A257" s="35" t="n">
        <v>255</v>
      </c>
      <c r="B257" s="34" t="inlineStr">
        <is>
          <t>สารใดเป็นสารช่วยไหลที่เหมาะสมของยา antihistamine tablet</t>
        </is>
      </c>
      <c r="C257" s="35" t="n"/>
      <c r="D257" s="34" t="inlineStr">
        <is>
          <t>Talc</t>
        </is>
      </c>
      <c r="E257" s="34" t="inlineStr">
        <is>
          <t>Starch</t>
        </is>
      </c>
      <c r="F257" s="34" t="inlineStr">
        <is>
          <t>Polysorbate 80</t>
        </is>
      </c>
      <c r="G257" s="34" t="inlineStr">
        <is>
          <t>Colloidal silicon dioxide</t>
        </is>
      </c>
      <c r="H257" s="34" t="inlineStr">
        <is>
          <t>Microcrystalline cellulose</t>
        </is>
      </c>
      <c r="I257" s="35" t="n">
        <v>1</v>
      </c>
      <c r="J257" s="34" t="inlineStr">
        <is>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7" s="35" t="n"/>
      <c r="L257" s="34" t="inlineStr">
        <is>
          <t>Solid Dosage Forms &amp; Manufacturing</t>
        </is>
      </c>
      <c r="M257" s="35" t="inlineStr">
        <is>
          <t>Product</t>
        </is>
      </c>
      <c r="N257" s="34" t="inlineStr">
        <is>
          <t>ข้อสอบจริง Product ปี 2561 ข้อ 111</t>
        </is>
      </c>
      <c r="O257" s="35" t="inlineStr">
        <is>
          <t>ข้อสอบจริง</t>
        </is>
      </c>
      <c r="P257" s="35" t="inlineStr">
        <is>
          <t>ปี 2561</t>
        </is>
      </c>
    </row>
    <row r="258" ht="409.6" customHeight="1" s="49">
      <c r="A258" s="35" t="n">
        <v>256</v>
      </c>
      <c r="B258" s="34" t="inlineStr">
        <is>
          <t>เมื่อทำตำรับ ibuprofen film coat tablets (450 mg) พบว่าเกิด spotting เกิดจากสาเหตุใด</t>
        </is>
      </c>
      <c r="C258" s="35" t="n"/>
      <c r="D258" s="34" t="inlineStr">
        <is>
          <t>มีการดูดอากาศเข้ามาในฟิล์มเคลือบ</t>
        </is>
      </c>
      <c r="E258" s="34" t="inlineStr">
        <is>
          <t>........................</t>
        </is>
      </c>
      <c r="F258" s="34" t="inlineStr">
        <is>
          <t>เกิดการเคลื่อนที่รวมกันของ plasticizer, สีและสารเคลือบอื่นๆ</t>
        </is>
      </c>
      <c r="G258" s="34" t="inlineStr">
        <is>
          <t>แรงของโพลิเมอร์ที่เคลือบผิวมีมากกว่า แรงที่ผิวยาเม็ด</t>
        </is>
      </c>
      <c r="H258" s="34" t="inlineStr">
        <is>
          <t>แรงระหว่างโพลิเมอร์มากกว่าแรงระหว่างโพลิเมอร์กับผิวยาเม็ด</t>
        </is>
      </c>
      <c r="I258" s="35" t="n">
        <v>1</v>
      </c>
      <c r="J258" s="34" t="inlineStr">
        <is>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8" s="35" t="n"/>
      <c r="L258" s="34" t="inlineStr">
        <is>
          <t>Solid Dosage Forms &amp; Manufacturing</t>
        </is>
      </c>
      <c r="M258" s="35" t="inlineStr">
        <is>
          <t>Product</t>
        </is>
      </c>
      <c r="N258" s="34" t="inlineStr">
        <is>
          <t>ข้อสอบจริง Product ปี 2559 ข้อ 23</t>
        </is>
      </c>
      <c r="O258" s="35" t="inlineStr">
        <is>
          <t>ข้อสอบจริง</t>
        </is>
      </c>
      <c r="P258" s="35" t="inlineStr">
        <is>
          <t>ปี 2559</t>
        </is>
      </c>
    </row>
    <row r="259" ht="409.6" customHeight="1" s="49">
      <c r="A259" s="35" t="n">
        <v>257</v>
      </c>
      <c r="B259" s="34" t="inlineStr">
        <is>
          <t>|  | Lot 1 | Lot 2 | | :---: | :---: | :---: | | น้ำหนักยาเม็ด | 400 | 400 | | Assay | 390 | 385 | | %Labeled amount 97-101 |  |  | ข้อใดต่อไปนี้ถูกต้อง</t>
        </is>
      </c>
      <c r="C259" s="35" t="n"/>
      <c r="D259" s="34" t="inlineStr">
        <is>
          <t>Lot 1 ผ่านเกณฑ์ Lot 2 ไม่ผ่าน</t>
        </is>
      </c>
      <c r="E259" s="34" t="inlineStr">
        <is>
          <t>Lot 1 ไม่ผ่านเกณฑ์ Lot 2 ผ่าน</t>
        </is>
      </c>
      <c r="F259" s="34" t="inlineStr">
        <is>
          <t>Lot 1 ผ่านเกณฑ์ Lot 2 ผ่าน</t>
        </is>
      </c>
      <c r="G259" s="34" t="inlineStr">
        <is>
          <t>Lot 1 ไม่ผ่านเกณฑ์ Lot 2 ผ่าน ข้อสอบ PLE_CC1_2559 (อีกไฟล์ แต่ข้อสอบคล้ายชุด 1\) ข้อสอบ</t>
        </is>
      </c>
      <c r="H259" s="34" t="n"/>
      <c r="I259" s="35" t="n">
        <v>1</v>
      </c>
      <c r="J259" s="34" t="inlineStr">
        <is>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9" s="35" t="n"/>
      <c r="L259" s="34" t="inlineStr">
        <is>
          <t>Solid Dosage Forms &amp; Manufacturing</t>
        </is>
      </c>
      <c r="M259" s="35" t="inlineStr">
        <is>
          <t>Product</t>
        </is>
      </c>
      <c r="N259" s="34" t="inlineStr">
        <is>
          <t>ข้อสอบจริง Product ปี 2559 ข้อ 25</t>
        </is>
      </c>
      <c r="O259" s="35" t="inlineStr">
        <is>
          <t>ข้อสอบจริง</t>
        </is>
      </c>
      <c r="P259" s="35" t="inlineStr">
        <is>
          <t>ปี 2559</t>
        </is>
      </c>
    </row>
    <row r="260" ht="409.6" customHeight="1" s="49">
      <c r="A260" s="35" t="n">
        <v>258</v>
      </c>
      <c r="B260" s="34" t="inlineStr">
        <is>
          <t>|  | Lot 1 | Lot 2 | | :---: | :---: | :---: | | น้ำหนักยาเม็ด | 400 | 400 | | Assay | 390 | 385 | | %Labeled amount 97-101 |  |  | จากข้อมูลดังต่อไปนี ข้อใดถูกต้อง</t>
        </is>
      </c>
      <c r="C260" s="35" t="inlineStr">
        <is>
          <t>[แนบรูป: ข้อสอบ Product ปี 2559 รหัสรูปภาพ image118]</t>
        </is>
      </c>
      <c r="D260" s="34" t="inlineStr">
        <is>
          <t>Lot 1 ผ่านเกณฑ์ Lot 2 ผ่านเกณฑ์</t>
        </is>
      </c>
      <c r="E260" s="34" t="inlineStr">
        <is>
          <t>Lot 1 ผ่านเกณฑ์ Lot 2 ไม่ผ่านเกณฑ์</t>
        </is>
      </c>
      <c r="F260" s="34" t="inlineStr">
        <is>
          <t>Lot 1 ไม่ผ่านเกณฑ์ Lot 2 ผ่านเกณฑ์</t>
        </is>
      </c>
      <c r="G260" s="34" t="inlineStr">
        <is>
          <t>Lot 1 ไม่ผ่านเกณฑ์ Lot 2 ไม่ผ่านเกณฑ์</t>
        </is>
      </c>
      <c r="H260" s="34" t="inlineStr">
        <is>
          <t>ต้องอาศัยข้อมูลเพิ่มเติม ข้อสอบ PLE_CC1_2559 Set 2 ข้อสอบ [แนบรูป: ข้อสอบ Product ปี 2559 รหัสรูปภาพ image118]</t>
        </is>
      </c>
      <c r="I260" s="35" t="n">
        <v>1</v>
      </c>
      <c r="J260" s="34" t="inlineStr">
        <is>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0" s="35" t="n"/>
      <c r="L260" s="34" t="inlineStr">
        <is>
          <t>Solid Dosage Forms &amp; Manufacturing</t>
        </is>
      </c>
      <c r="M260" s="35" t="inlineStr">
        <is>
          <t>Product</t>
        </is>
      </c>
      <c r="N260" s="34" t="inlineStr">
        <is>
          <t>ข้อสอบจริง Product ปี 2559 ข้อ 18</t>
        </is>
      </c>
      <c r="O260" s="35" t="inlineStr">
        <is>
          <t>ข้อสอบจริง</t>
        </is>
      </c>
      <c r="P260" s="35" t="inlineStr">
        <is>
          <t>ปี 2559</t>
        </is>
      </c>
    </row>
    <row r="261" ht="409.6" customHeight="1" s="49">
      <c r="A261" s="35" t="n">
        <v>259</v>
      </c>
      <c r="B261" s="34" t="inlineStr">
        <is>
          <t>ยา GPO vir-S 30 มีปัญหาน้ำหนักในแต่ละเม็ดยาไม่เท่ากัน จะแก้ไขปัญหาโดยเพิ่มการไหลของตัวยา ต้องเติมสารช่วยตัวใด</t>
        </is>
      </c>
      <c r="C261" s="35" t="n"/>
      <c r="D261" s="34" t="inlineStr">
        <is>
          <t>lactose</t>
        </is>
      </c>
      <c r="E261" s="34" t="inlineStr">
        <is>
          <t>silicon dioxide</t>
        </is>
      </c>
      <c r="F261" s="34" t="inlineStr">
        <is>
          <t>sodium starch glycolate</t>
        </is>
      </c>
      <c r="G261" s="34" t="inlineStr">
        <is>
          <t>HPMC</t>
        </is>
      </c>
      <c r="H261" s="34" t="inlineStr">
        <is>
          <t>PVP</t>
        </is>
      </c>
      <c r="I261" s="35" t="n">
        <v>1</v>
      </c>
      <c r="J261" s="34" t="inlineStr">
        <is>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1" s="35" t="n"/>
      <c r="L261" s="34" t="inlineStr">
        <is>
          <t>Solid Dosage Forms &amp; Manufacturing</t>
        </is>
      </c>
      <c r="M261" s="35" t="inlineStr">
        <is>
          <t>Product</t>
        </is>
      </c>
      <c r="N261" s="34" t="inlineStr">
        <is>
          <t>ข้อสอบจริง Product ปี 2559 ข้อ 4</t>
        </is>
      </c>
      <c r="O261" s="35" t="inlineStr">
        <is>
          <t>ข้อสอบจริง</t>
        </is>
      </c>
      <c r="P261" s="35" t="inlineStr">
        <is>
          <t>ปี 2559</t>
        </is>
      </c>
    </row>
    <row r="262" ht="409.6" customHeight="1" s="49">
      <c r="A262" s="35" t="n">
        <v>260</v>
      </c>
      <c r="B262" s="34" t="inlineStr">
        <is>
          <t>จงเรียงลำดับขั้นตอนของยาเม็ด</t>
        </is>
      </c>
      <c r="C262" s="35" t="n"/>
      <c r="D262" s="34" t="inlineStr">
        <is>
          <t>sealing coat\&gt;subcoating\&gt;grossing\&gt;color coating\&gt;polishing</t>
        </is>
      </c>
      <c r="E262" s="34" t="inlineStr">
        <is>
          <t>subcoating\&gt;sealing coat \&gt;grossing\&gt;color coating\&gt;polishing</t>
        </is>
      </c>
      <c r="F262" s="34" t="inlineStr">
        <is>
          <t>sealing coat\&gt;subcoating\&gt;color coating\&gt;grossing\&gt;polishing</t>
        </is>
      </c>
      <c r="G262" s="34" t="inlineStr">
        <is>
          <t>sealing coat\&gt;subcoating\&gt;grossing\&gt;color coating\&gt;polishing</t>
        </is>
      </c>
      <c r="H262" s="34" t="inlineStr">
        <is>
          <t>sealing coat\&gt;subcoating\&gt;color coating\&gt; polishing\&gt; grossing</t>
        </is>
      </c>
      <c r="I262" s="35" t="n">
        <v>1</v>
      </c>
      <c r="J262" s="34" t="inlineStr">
        <is>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2" s="35" t="n"/>
      <c r="L262" s="34" t="inlineStr">
        <is>
          <t>Solid Dosage Forms &amp; Manufacturing</t>
        </is>
      </c>
      <c r="M262" s="35" t="inlineStr">
        <is>
          <t>Product</t>
        </is>
      </c>
      <c r="N262" s="34" t="inlineStr">
        <is>
          <t>ข้อสอบจริง Product ปี 2559 ข้อ 10</t>
        </is>
      </c>
      <c r="O262" s="35" t="inlineStr">
        <is>
          <t>ข้อสอบจริง</t>
        </is>
      </c>
      <c r="P262" s="35" t="inlineStr">
        <is>
          <t>ปี 2559</t>
        </is>
      </c>
    </row>
    <row r="263" ht="409.6" customHeight="1" s="49">
      <c r="A263" s="35" t="n">
        <v>261</v>
      </c>
      <c r="B263" s="34" t="inlineStr">
        <is>
          <t>จากสูตรตำรับต่อไปนี้  Rx.  Active Ingredient AAA: 300 mg  Lactose: 500 mg  Corn starch: 10%  หากตำรับยาเม็ดที่ตอกได้มีปัญหาการแตกตัวไม่ดี (Poor disintegration) ควรแก้ไขอย่างไร?</t>
        </is>
      </c>
      <c r="C263" s="35" t="n"/>
      <c r="D263" s="34" t="inlineStr">
        <is>
          <t>เปลี่ยน Lactose เป็น Sodium starch glycolate</t>
        </is>
      </c>
      <c r="E263" s="34" t="inlineStr">
        <is>
          <t>เปลี่ยน Lactose เป็น Croscarmellose sodium</t>
        </is>
      </c>
      <c r="F263" s="34" t="inlineStr">
        <is>
          <t>เปลี่ยน Corn starch เป็น Sodium starch glycolate</t>
        </is>
      </c>
      <c r="G263" s="34" t="inlineStr">
        <is>
          <t>เปลี่ยน Corn starch เป็น Croscarmellose sodium</t>
        </is>
      </c>
      <c r="H263" s="34" t="inlineStr">
        <is>
          <t>เปลี่ยน Corn starch เป็น PVP</t>
        </is>
      </c>
      <c r="I263" s="35" t="n">
        <v>1</v>
      </c>
      <c r="J263" s="34" t="inlineStr">
        <is>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3" s="35" t="n"/>
      <c r="L263" s="34" t="inlineStr">
        <is>
          <t>Solid Dosage Forms &amp; Manufacturing</t>
        </is>
      </c>
      <c r="M263" s="35" t="inlineStr">
        <is>
          <t>Product</t>
        </is>
      </c>
      <c r="N263" s="34" t="inlineStr">
        <is>
          <t>ข้อสอบจริง Product ปี 2558 ข้อ 1</t>
        </is>
      </c>
      <c r="O263" s="35" t="inlineStr">
        <is>
          <t>ข้อสอบจริง</t>
        </is>
      </c>
      <c r="P263" s="35" t="inlineStr">
        <is>
          <t>ปี 2558</t>
        </is>
      </c>
    </row>
    <row r="264" ht="409.6" customHeight="1" s="49">
      <c r="A264" s="35" t="n">
        <v>262</v>
      </c>
      <c r="B264" s="34" t="inlineStr">
        <is>
          <t>ยาเม็ดเมื่อเคลือบฟิล์มแล้วพบปัญหาฟิล์มฉีกขาดหรือลอกออกจากกัน (Peeling) จะแก้ไขปัญหานี้อย่างไร?</t>
        </is>
      </c>
      <c r="C264" s="35" t="n"/>
      <c r="D264" s="34" t="inlineStr">
        <is>
          <t>Spray น้ำยาเคลือบให้ช้าลง</t>
        </is>
      </c>
      <c r="E264" s="34" t="inlineStr">
        <is>
          <t>ลดปริมาณ Polymer ของตำรับ</t>
        </is>
      </c>
      <c r="F264" s="34" t="inlineStr">
        <is>
          <t>เติม Talcum ไปในตำรับเคลือบฟิล์ม</t>
        </is>
      </c>
      <c r="G264" s="34" t="inlineStr">
        <is>
          <t>เติม PEG ไปในตำรับเคลือบฟิล์ม</t>
        </is>
      </c>
      <c r="H264" s="34" t="inlineStr">
        <is>
          <t>ลดระยะห่างระหว่างหัวสเปรย์กับเม็ดยา</t>
        </is>
      </c>
      <c r="I264" s="35" t="n">
        <v>1</v>
      </c>
      <c r="J264" s="34" t="inlineStr">
        <is>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4" s="35" t="n"/>
      <c r="L264" s="34" t="inlineStr">
        <is>
          <t>Solid Dosage Forms &amp; Manufacturing</t>
        </is>
      </c>
      <c r="M264" s="35" t="inlineStr">
        <is>
          <t>Product</t>
        </is>
      </c>
      <c r="N264" s="34" t="inlineStr">
        <is>
          <t>ข้อสอบจริง Product ปี 2558 ข้อ 5</t>
        </is>
      </c>
      <c r="O264" s="35" t="inlineStr">
        <is>
          <t>ข้อสอบจริง</t>
        </is>
      </c>
      <c r="P264" s="35" t="inlineStr">
        <is>
          <t>ปี 2558</t>
        </is>
      </c>
    </row>
    <row r="265" ht="409.6" customHeight="1" s="49">
      <c r="A265" s="35" t="n">
        <v>263</v>
      </c>
      <c r="B265" s="34" t="inlineStr">
        <is>
          <t>ยาเม็ด Theophylline SR (Sustained Release) มีส่วนประกอบดังนี้: Theophylline, Lactose monohydrate, HPMC, PVP K30, Magnesium stearate, Isopropyl alcohol สารใดทำหน้าที่เป็นสารก่อเมทริกซ์ (Matrix-forming agent)?</t>
        </is>
      </c>
      <c r="C265" s="35" t="n"/>
      <c r="D265" s="34" t="inlineStr">
        <is>
          <t>Lactose monohydrate</t>
        </is>
      </c>
      <c r="E265" s="34" t="inlineStr">
        <is>
          <t>HPMC</t>
        </is>
      </c>
      <c r="F265" s="34" t="inlineStr">
        <is>
          <t>PVP K30</t>
        </is>
      </c>
      <c r="G265" s="34" t="inlineStr">
        <is>
          <t>Magnesium stearate</t>
        </is>
      </c>
      <c r="H265" s="34" t="inlineStr">
        <is>
          <t>Isopropyl alcohol</t>
        </is>
      </c>
      <c r="I265" s="35" t="n">
        <v>1</v>
      </c>
      <c r="J265" s="34" t="inlineStr">
        <is>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5" s="35" t="n"/>
      <c r="L265" s="34" t="inlineStr">
        <is>
          <t>Solid Dosage Forms &amp; Manufacturing</t>
        </is>
      </c>
      <c r="M265" s="35" t="inlineStr">
        <is>
          <t>Product</t>
        </is>
      </c>
      <c r="N265" s="34" t="inlineStr">
        <is>
          <t>ข้อสอบจริง Product ปี 2558 ข้อ 6</t>
        </is>
      </c>
      <c r="O265" s="35" t="inlineStr">
        <is>
          <t>ข้อสอบจริง</t>
        </is>
      </c>
      <c r="P265" s="35" t="inlineStr">
        <is>
          <t>ปี 2558</t>
        </is>
      </c>
    </row>
    <row r="266" ht="409.6" customHeight="1" s="49">
      <c r="A266" s="35" t="n">
        <v>264</v>
      </c>
      <c r="B266" s="34" t="inlineStr">
        <is>
          <t>ข้อใดกล่าวได้ถูกต้องเกี่ยวกับเครื่องมือพ่นยาสูดพ่นชนิด Metered-Dose Inhaler (MDI)?</t>
        </is>
      </c>
      <c r="C266" s="35" t="n"/>
      <c r="D266" s="34" t="inlineStr">
        <is>
          <t>ไม่จำเป็นต้องใช้ Propellant (สารขับดัน)</t>
        </is>
      </c>
      <c r="E266" s="34" t="inlineStr">
        <is>
          <t>กำจัดขยะกระป๋องยาโดยการเผาทำลาย</t>
        </is>
      </c>
      <c r="F266" s="34" t="inlineStr">
        <is>
          <t>การสูดพ่นไม่ต้องสัมพันธ์กับการกดกระบอกยา (Hand-breath coordination)</t>
        </is>
      </c>
      <c r="G266" s="34" t="inlineStr">
        <is>
          <t>มี Metered valve ในการควบคุมปริมาตรยาที่พ่นแต่ละครั้งให้คงที่</t>
        </is>
      </c>
      <c r="H266" s="34" t="inlineStr">
        <is>
          <t>ใช้ Lactose เป็นสารแต่งกลิ่นหรือ Carrier</t>
        </is>
      </c>
      <c r="I266" s="35" t="n">
        <v>1</v>
      </c>
      <c r="J266" s="34" t="inlineStr">
        <is>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6" s="35" t="n"/>
      <c r="L266" s="34" t="inlineStr">
        <is>
          <t>Solid Dosage Forms &amp; Manufacturing</t>
        </is>
      </c>
      <c r="M266" s="35" t="inlineStr">
        <is>
          <t>Product</t>
        </is>
      </c>
      <c r="N266" s="34" t="inlineStr">
        <is>
          <t>ข้อสอบจริง Product ปี 2558 ข้อ 8</t>
        </is>
      </c>
      <c r="O266" s="35" t="inlineStr">
        <is>
          <t>ข้อสอบจริง</t>
        </is>
      </c>
      <c r="P266" s="35" t="inlineStr">
        <is>
          <t>ปี 2558</t>
        </is>
      </c>
    </row>
    <row r="267" ht="409.6" customHeight="1" s="49">
      <c r="A267" s="35" t="n">
        <v>265</v>
      </c>
      <c r="B267" s="34"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267" s="35" t="n"/>
      <c r="D267" s="34" t="inlineStr">
        <is>
          <t>เพิ่มแรงตอกยารวดเดียว (Increase compression force)</t>
        </is>
      </c>
      <c r="E267" s="34" t="inlineStr">
        <is>
          <t>ลดอัตราเร็วหรือความเร็วในกระบวนการตอกยา (Decrease compression speed)</t>
        </is>
      </c>
      <c r="F267" s="34" t="inlineStr">
        <is>
          <t>เพิ่มสัดส่วนปริมาณสารยึดเกาะ (Binder) ในแกรนูล</t>
        </is>
      </c>
      <c r="G267" s="34" t="inlineStr">
        <is>
          <t>เพิ่มความชื้นในผงยาก่อนนำไปตอก (Increase moisture content)</t>
        </is>
      </c>
      <c r="H267" s="34" t="inlineStr">
        <is>
          <t>ลดปริมาณการใช้สารหล่อลื่น Magnesium stearate ลง</t>
        </is>
      </c>
      <c r="I267" s="35" t="n">
        <v>1</v>
      </c>
      <c r="J267" s="34" t="inlineStr">
        <is>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7" s="35" t="n"/>
      <c r="L267" s="34" t="inlineStr">
        <is>
          <t>Solid Dosage Forms &amp; Manufacturing</t>
        </is>
      </c>
      <c r="M267" s="35" t="inlineStr">
        <is>
          <t>Product</t>
        </is>
      </c>
      <c r="N267" s="34" t="inlineStr">
        <is>
          <t>ข้อสอบจริง Product ปี 2558 ข้อ 18</t>
        </is>
      </c>
      <c r="O267" s="35" t="inlineStr">
        <is>
          <t>ข้อสอบจริง</t>
        </is>
      </c>
      <c r="P267" s="35" t="inlineStr">
        <is>
          <t>ปี 2558</t>
        </is>
      </c>
    </row>
    <row r="268" ht="409.6" customHeight="1" s="49">
      <c r="A268" s="35" t="n">
        <v>266</v>
      </c>
      <c r="B268" s="34"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268" s="35" t="n"/>
      <c r="D268" s="34" t="inlineStr">
        <is>
          <t>สุ่มตรวจในขั้น S1 จำนวน 6 เม็ด ค่าเฉลี่ยของการละลายเท่ากับ 80%</t>
        </is>
      </c>
      <c r="E268" s="34" t="inlineStr">
        <is>
          <t>สุ่มตรวจเพิ่มเติมในขั้น S2 รวมเป็น 12 เม็ด มีเม็ดหนึ่งตรวจพบการละลายเท่ากับ 60%</t>
        </is>
      </c>
      <c r="F268" s="34" t="inlineStr">
        <is>
          <t>สุ่มตรวจเพิ่มเติมในขั้น S2 รวมเป็น 12 เม็ด ได้ค่าเฉลี่ยเท่ากับ 82% และยาทุกเม็ดละลายได้เกิน 70%</t>
        </is>
      </c>
      <c r="G268" s="34" t="inlineStr">
        <is>
          <t>สุ่มตรวจเพิ่มเติมในขั้น S2 รวมเป็น 12 เม็ด ได้ค่าเฉลี่ยเท่ากับ 79% และยาทุกเม็ดละลายได้เกิน 65%</t>
        </is>
      </c>
      <c r="H268" s="34" t="inlineStr">
        <is>
          <t>สุ่มตรวจในขั้น S1 จำนวน 6 เม็ด มีหนึ่งเม็ดตรวจพบการละลายเท่ากับ 80%</t>
        </is>
      </c>
      <c r="I268" s="35" t="n">
        <v>1</v>
      </c>
      <c r="J268" s="34" t="inlineStr">
        <is>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8" s="35" t="n"/>
      <c r="L268" s="34" t="inlineStr">
        <is>
          <t>Solid Dosage Forms &amp; Manufacturing</t>
        </is>
      </c>
      <c r="M268" s="35" t="inlineStr">
        <is>
          <t>Product</t>
        </is>
      </c>
      <c r="N268" s="34" t="inlineStr">
        <is>
          <t>ข้อสอบจริง Product ปี 2558 ข้อ 23</t>
        </is>
      </c>
      <c r="O268" s="35" t="inlineStr">
        <is>
          <t>ข้อสอบจริง</t>
        </is>
      </c>
      <c r="P268" s="35" t="inlineStr">
        <is>
          <t>ปี 2558</t>
        </is>
      </c>
    </row>
    <row r="269" ht="409.6" customHeight="1" s="49">
      <c r="A269" s="35" t="n">
        <v>267</v>
      </c>
      <c r="B269" s="34" t="inlineStr">
        <is>
          <t>ข้อใดกล่าวถูกต้องเกี่ยวกับระบบอุปกรณ์นำส่งยาสูดพ่นชนิดผงแห้ง (Dry Powder Inhaler: DPI)?</t>
        </is>
      </c>
      <c r="C269" s="35" t="n"/>
      <c r="D269" s="34" t="inlineStr">
        <is>
          <t>ต้องอาศัยสารขับดันประเภท HFA หรือ CFC เพื่อช่วยพ่นผงยาออกสู่ภายนอก</t>
        </is>
      </c>
      <c r="E269" s="34" t="inlineStr">
        <is>
          <t>ยาแห้ง DPI จะใช้ผงแลคโตสขนาดเม็ดละเอียด (Fine lactose) เป็นตัวพายาเข้าสู่ปอด</t>
        </is>
      </c>
      <c r="F269" s="34" t="inlineStr">
        <is>
          <t>ประสิทธิภาพการกระจายตัวของผงยาเข้าสู่ปอดส่วนลึก ขึ้นกับความแรงของแรงสูดหายใจเข้า (Inspiratory flow rate) ของผู้ป่วย</t>
        </is>
      </c>
      <c r="G269" s="34" t="inlineStr">
        <is>
          <t>ตัวนำทางอุปกรณ์ไม่มีผลกระทบต่อสัดส่วนของการตกตะกอนในทางเดินหายใจ</t>
        </is>
      </c>
      <c r="H269" s="34" t="inlineStr">
        <is>
          <t>ปริมาตรลมหายใจออกของผู้ป่วยเป็นหัวใจหลักในการผลักดันระบบนำส่งยา</t>
        </is>
      </c>
      <c r="I269" s="35" t="n">
        <v>1</v>
      </c>
      <c r="J269" s="34" t="inlineStr">
        <is>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9" s="35" t="n"/>
      <c r="L269" s="34" t="inlineStr">
        <is>
          <t>Solid Dosage Forms &amp; Manufacturing</t>
        </is>
      </c>
      <c r="M269" s="35" t="inlineStr">
        <is>
          <t>Product</t>
        </is>
      </c>
      <c r="N269" s="34" t="inlineStr">
        <is>
          <t>ข้อสอบจริง Product ปี 2558 ข้อ 35</t>
        </is>
      </c>
      <c r="O269" s="35" t="inlineStr">
        <is>
          <t>ข้อสอบจริง</t>
        </is>
      </c>
      <c r="P269" s="35" t="inlineStr">
        <is>
          <t>ปี 2558</t>
        </is>
      </c>
    </row>
    <row r="270" ht="13.2" customHeight="1" s="49">
      <c r="A270" t="n">
        <v>268</v>
      </c>
      <c r="B270" t="inlineStr">
        <is>
          <t>ตามเภสัชตำรับ (Pharmacopoeia Monograph) การหาปริมาณสารสำคัญ (Assay) ของยาเม็ดแอสไพริน (Aspirin tablets) ใช้วิธีการไทเทรตแบบใด</t>
        </is>
      </c>
      <c r="D270" t="inlineStr">
        <is>
          <t>Residual (Back) acid-base titration</t>
        </is>
      </c>
      <c r="E270" t="inlineStr">
        <is>
          <t>Direct acid-base titration</t>
        </is>
      </c>
      <c r="F270" t="inlineStr">
        <is>
          <t>Complexometric titration</t>
        </is>
      </c>
      <c r="G270" t="inlineStr">
        <is>
          <t>Precipitation titration</t>
        </is>
      </c>
      <c r="H270" t="inlineStr">
        <is>
          <t>Non-aqueous acid-base titration</t>
        </is>
      </c>
      <c r="I270" t="n">
        <v>1</v>
      </c>
      <c r="J270"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L270" t="inlineStr">
        <is>
          <t>Medicinal Chemistry &amp; Quality Analysis</t>
        </is>
      </c>
      <c r="M270" t="inlineStr">
        <is>
          <t>Clinic</t>
        </is>
      </c>
      <c r="N270" t="inlineStr">
        <is>
          <t>PLE-CC1 ปี 2566 Day 1 ข้อ 23</t>
        </is>
      </c>
    </row>
    <row r="271" ht="13.2" customHeight="1" s="49">
      <c r="A271" t="n">
        <v>269</v>
      </c>
      <c r="B271"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D271" t="inlineStr">
        <is>
          <t>Enteric polymer เช่น Cellulose Acetate Phthalate (CAP) หรือ Methacrylic acid copolymer (Eudragit L)</t>
        </is>
      </c>
      <c r="E271" t="inlineStr">
        <is>
          <t>Povidone (PVP K30)</t>
        </is>
      </c>
      <c r="F271" t="inlineStr">
        <is>
          <t>Hydroxypropyl Methylcellulose (HPMC E5) เคลือบแบบ Film-coat ธรรมดา</t>
        </is>
      </c>
      <c r="G271" t="inlineStr">
        <is>
          <t>Polyethylene Glycol (PEG 4000)</t>
        </is>
      </c>
      <c r="H271" t="inlineStr">
        <is>
          <t>Ethyl cellulose เคลือบแบบ Sustained release</t>
        </is>
      </c>
      <c r="I271" t="inlineStr">
        <is>
          <t>1</t>
        </is>
      </c>
      <c r="J271"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271" t="inlineStr">
        <is>
          <t>Pharmaceutics &amp; Formulation Science</t>
        </is>
      </c>
      <c r="L271" t="inlineStr">
        <is>
          <t>PLE_CC1_2565_Day1_Key ข้อ 29</t>
        </is>
      </c>
      <c r="M271" t="inlineStr">
        <is>
          <t>Clinic</t>
        </is>
      </c>
      <c r="N271" t="inlineStr">
        <is>
          <t>PLE_CC1_2565_Day1_Key ข้อ 29</t>
        </is>
      </c>
    </row>
    <row r="272" ht="13.2" customHeight="1" s="49">
      <c r="A272" t="n">
        <v>270</v>
      </c>
      <c r="B272" t="inlineStr">
        <is>
          <t>เภสัชกรโรงงานต้องการผลิตตำหรับ milk of magnesia เครื่องมือใดต่อไปนี้เหมาะสมที่สุด</t>
        </is>
      </c>
      <c r="D272" t="inlineStr">
        <is>
          <t>Sigma blade mixer</t>
        </is>
      </c>
      <c r="E272" t="inlineStr">
        <is>
          <t>Planetary mixer</t>
        </is>
      </c>
      <c r="F272" t="inlineStr">
        <is>
          <t>Tubine mixer</t>
        </is>
      </c>
      <c r="G272" t="inlineStr">
        <is>
          <t>Agitator mixer</t>
        </is>
      </c>
      <c r="H272" t="inlineStr">
        <is>
          <t>Fluidized bed mixers</t>
        </is>
      </c>
      <c r="I272" t="inlineStr">
        <is>
          <t>1</t>
        </is>
      </c>
      <c r="J272"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72" t="inlineStr">
        <is>
          <t>Hypertension</t>
        </is>
      </c>
      <c r="M272" t="inlineStr">
        <is>
          <t>Clinic</t>
        </is>
      </c>
      <c r="N272" t="inlineStr">
        <is>
          <t>ข้อ 114 (Pharmtutor_2024_Set2.md)</t>
        </is>
      </c>
    </row>
    <row r="273" ht="13.2" customHeight="1" s="49">
      <c r="A273" t="n">
        <v>271</v>
      </c>
      <c r="B273" t="inlineStr">
        <is>
          <t>กำหนดค่า Q=80% เม็ดยา warfarin 5 mg นำมา 6 เม็ด N1=4.5, N2=4.5, N3=5.25, N4=4.75, N5=5.25, N6=4.0 จะสรุปได้ว่าอย่างไร</t>
        </is>
      </c>
      <c r="D273" t="inlineStr">
        <is>
          <t>ผ่าน S1</t>
        </is>
      </c>
      <c r="E273" t="inlineStr">
        <is>
          <t>ไม่ผ่าน S1 เนื่องจากมียา 1 เม็ดที่อยู่ต ่ากว่า Q+5</t>
        </is>
      </c>
      <c r="F273" t="inlineStr">
        <is>
          <t>ไม่ผ่าน S1 เนื่องจากมียา 4 เม็ดที่อยู่ต ่ากว่า Q+5</t>
        </is>
      </c>
      <c r="G273" t="inlineStr">
        <is>
          <t>ไม่ผ่าน S1 ต้องเพิ่มยาอีก 6 เม็ด</t>
        </is>
      </c>
      <c r="H273" t="inlineStr">
        <is>
          <t>............................</t>
        </is>
      </c>
      <c r="I273" t="inlineStr">
        <is>
          <t>1</t>
        </is>
      </c>
      <c r="J273"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L273" t="inlineStr">
        <is>
          <t>Hypertension</t>
        </is>
      </c>
      <c r="M273" t="inlineStr">
        <is>
          <t>Clinic</t>
        </is>
      </c>
      <c r="N273" t="inlineStr">
        <is>
          <t>ข้อ 1 (PLE_CC1_2555 Day 1.md)</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Q247"/>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33" t="n">
        <v>1</v>
      </c>
      <c r="B3" s="34" t="inlineStr">
        <is>
          <t>แพทย์สั่งยา : Ferrous sulphate syrup (25mg/5mL) PO BID PC (ใช้ตอบข้อ 52-54)
ส่วนประกอบใน Multivitamin syrup ในข้อใด มีอันตรกิริยากับยา Ferrous sulphate syrup</t>
        </is>
      </c>
      <c r="C3" s="35" t="n"/>
      <c r="D3" s="34" t="inlineStr">
        <is>
          <t>Lysine</t>
        </is>
      </c>
      <c r="E3" s="34" t="inlineStr">
        <is>
          <t>Nicotinamide</t>
        </is>
      </c>
      <c r="F3" s="34" t="inlineStr">
        <is>
          <t>D-panthenol</t>
        </is>
      </c>
      <c r="G3" s="34" t="inlineStr">
        <is>
          <t>Vitamin D</t>
        </is>
      </c>
      <c r="H3" s="34" t="inlineStr">
        <is>
          <t>Calcium</t>
        </is>
      </c>
      <c r="I3" s="33" t="inlineStr">
        <is>
          <t>5</t>
        </is>
      </c>
      <c r="J3" s="34"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35" t="n"/>
      <c r="L3" s="34" t="inlineStr">
        <is>
          <t>Solutions, Syrups &amp; Elixirs</t>
        </is>
      </c>
      <c r="M3" s="35" t="inlineStr">
        <is>
          <t>Product</t>
        </is>
      </c>
      <c r="N3" s="34" t="inlineStr">
        <is>
          <t>Mock PLE-CC 1 ข้อ 53</t>
        </is>
      </c>
      <c r="O3" s="35" t="inlineStr">
        <is>
          <t>Mock</t>
        </is>
      </c>
      <c r="P3" s="35" t="inlineStr">
        <is>
          <t>Mock RxCU83</t>
        </is>
      </c>
      <c r="Q3" s="2" t="n"/>
    </row>
    <row r="4" ht="13.2" customHeight="1" s="49">
      <c r="A4" s="33" t="n">
        <v>2</v>
      </c>
      <c r="B4" s="34" t="inlineStr">
        <is>
          <t>แพทย์สั่งยา : Ferrous sulphate syrup (25mg/5mL) PO BID PC (ใช้ตอบข้อ 52-54)
ข้อใดคืออาการไม่พึงประสงค์จากการรับประทานธาตุเหล็ก</t>
        </is>
      </c>
      <c r="C4" s="35" t="n"/>
      <c r="D4" s="34" t="inlineStr">
        <is>
          <t>ขาดวิตามินบี 12</t>
        </is>
      </c>
      <c r="E4" s="34" t="inlineStr">
        <is>
          <t>ท้องผูก</t>
        </is>
      </c>
      <c r="F4" s="34" t="inlineStr">
        <is>
          <t>ปัสสาวะสีดำ</t>
        </is>
      </c>
      <c r="G4" s="34" t="inlineStr">
        <is>
          <t>ปวดศีรษะ</t>
        </is>
      </c>
      <c r="H4" s="34" t="inlineStr">
        <is>
          <t>เป็นแผลในกระเพาะปัสสาวะ</t>
        </is>
      </c>
      <c r="I4" s="33" t="inlineStr">
        <is>
          <t>2</t>
        </is>
      </c>
      <c r="J4" s="34"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35" t="n"/>
      <c r="L4" s="34" t="inlineStr">
        <is>
          <t>Solutions, Syrups &amp; Elixirs</t>
        </is>
      </c>
      <c r="M4" s="35" t="inlineStr">
        <is>
          <t>Product</t>
        </is>
      </c>
      <c r="N4" s="34" t="inlineStr">
        <is>
          <t>Mock PLE-CC 1 ข้อ 54</t>
        </is>
      </c>
      <c r="O4" s="35" t="inlineStr">
        <is>
          <t>Mock</t>
        </is>
      </c>
      <c r="P4" s="35" t="inlineStr">
        <is>
          <t>Mock RxCU83</t>
        </is>
      </c>
      <c r="Q4" s="2" t="n"/>
    </row>
    <row r="5" ht="13.2" customHeight="1" s="49">
      <c r="A5" s="33" t="n">
        <v>3</v>
      </c>
      <c r="B5" s="34" t="inlineStr">
        <is>
          <t>แพทย์สั่งยา : Ferrous sulphate syrup (25mg/5mL) PO BID PC (ใช้ตอบข้อ 52-54)
กลไกการออกฤทธิ์ของ Ferrous sulphate ในการรักษาภาวะโลหิตจางคือข้อใด</t>
        </is>
      </c>
      <c r="C5" s="35" t="n"/>
      <c r="D5" s="34" t="inlineStr">
        <is>
          <t>เพิ่มการสร้าง erythropoietin จากไต</t>
        </is>
      </c>
      <c r="E5" s="34" t="inlineStr">
        <is>
          <t>เพิ่มการสร้าง instrinsic factor จากกระเพาะอาหาร</t>
        </is>
      </c>
      <c r="F5" s="34" t="inlineStr">
        <is>
          <t>จัดหาเหล็กในรูปของ ferrous สำหรับการสร้าง heme และ hemoglobin</t>
        </is>
      </c>
      <c r="G5" s="34" t="inlineStr">
        <is>
          <t>ยับยั้งการทำลายเม็ดเลือดจากม้าม</t>
        </is>
      </c>
      <c r="H5" s="34" t="inlineStr">
        <is>
          <t>เพิ่มการสร้าง transferrin โดยตรง</t>
        </is>
      </c>
      <c r="I5" s="33" t="inlineStr">
        <is>
          <t>3</t>
        </is>
      </c>
      <c r="J5" s="34"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35" t="n"/>
      <c r="L5" s="34" t="inlineStr">
        <is>
          <t>Solutions, Syrups &amp; Elixirs</t>
        </is>
      </c>
      <c r="M5" s="35" t="inlineStr">
        <is>
          <t>Product</t>
        </is>
      </c>
      <c r="N5" s="34" t="inlineStr">
        <is>
          <t>Mock PLE-CC 1 ข้อ 55</t>
        </is>
      </c>
      <c r="O5" s="35" t="inlineStr">
        <is>
          <t>Mock</t>
        </is>
      </c>
      <c r="P5" s="35" t="inlineStr">
        <is>
          <t>Mock RxCU83</t>
        </is>
      </c>
      <c r="Q5" s="2" t="n"/>
    </row>
    <row r="6" ht="13.2" customHeight="1" s="49">
      <c r="A6" s="33" t="n">
        <v>4</v>
      </c>
      <c r="B6" s="34"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35" t="n"/>
      <c r="D6" s="34" t="inlineStr">
        <is>
          <t>Ferrous Sulfate syrup PO</t>
        </is>
      </c>
      <c r="E6" s="34" t="inlineStr">
        <is>
          <t>Hydroxocobalamin PO</t>
        </is>
      </c>
      <c r="F6" s="34" t="inlineStr">
        <is>
          <t>Folic acid เพียงอย่างเดียว</t>
        </is>
      </c>
      <c r="G6" s="34" t="inlineStr">
        <is>
          <t>Ascorbic acid PO</t>
        </is>
      </c>
      <c r="H6" s="34" t="inlineStr">
        <is>
          <t>deferasirox PO</t>
        </is>
      </c>
      <c r="I6" s="33" t="inlineStr">
        <is>
          <t>2</t>
        </is>
      </c>
      <c r="J6" s="34"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35" t="n"/>
      <c r="L6" s="34" t="inlineStr">
        <is>
          <t>Solutions, Syrups &amp; Elixirs</t>
        </is>
      </c>
      <c r="M6" s="35" t="inlineStr">
        <is>
          <t>Product</t>
        </is>
      </c>
      <c r="N6" s="34" t="inlineStr">
        <is>
          <t>Mock PLE-CC 1 ข้อ 56</t>
        </is>
      </c>
      <c r="O6" s="35" t="inlineStr">
        <is>
          <t>Mock</t>
        </is>
      </c>
      <c r="P6" s="35" t="inlineStr">
        <is>
          <t>Mock RxCU83</t>
        </is>
      </c>
      <c r="Q6" s="2" t="n"/>
    </row>
    <row r="7" ht="13.2" customHeight="1" s="49">
      <c r="A7" s="33" t="n">
        <v>5</v>
      </c>
      <c r="B7" s="34" t="inlineStr">
        <is>
          <t>Acyclovir cream 5% w/w 1 g จะมีกี่ mg/g และถ้าต้องการผลิตภัณฑ์ยา 25 mg ต้องใช้กี่กรัม</t>
        </is>
      </c>
      <c r="C7" s="35" t="n"/>
      <c r="D7" s="34" t="inlineStr">
        <is>
          <t>0.5 mg/g, 0.0125 g</t>
        </is>
      </c>
      <c r="E7" s="34" t="inlineStr">
        <is>
          <t>5 mg/g, 0.0125 g</t>
        </is>
      </c>
      <c r="F7" s="34" t="inlineStr">
        <is>
          <t>5 mg/g, 0.125 g</t>
        </is>
      </c>
      <c r="G7" s="34" t="inlineStr">
        <is>
          <t>50 mg/g, 0.125 g</t>
        </is>
      </c>
      <c r="H7" s="34" t="inlineStr">
        <is>
          <t>50 mg/g, 0.5 g</t>
        </is>
      </c>
      <c r="I7" s="33" t="inlineStr">
        <is>
          <t>5</t>
        </is>
      </c>
      <c r="J7" s="34"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35" t="n"/>
      <c r="L7" s="34" t="inlineStr">
        <is>
          <t>Creams &amp; Ointments</t>
        </is>
      </c>
      <c r="M7" s="35" t="inlineStr">
        <is>
          <t>Product</t>
        </is>
      </c>
      <c r="N7" s="34" t="inlineStr">
        <is>
          <t>Mock PLE-CC 1 ข้อ 124</t>
        </is>
      </c>
      <c r="O7" s="35" t="inlineStr">
        <is>
          <t>Mock</t>
        </is>
      </c>
      <c r="P7" s="35" t="inlineStr">
        <is>
          <t>Mock RxCU83</t>
        </is>
      </c>
      <c r="Q7" s="2" t="n"/>
    </row>
    <row r="8" ht="13.2" customHeight="1" s="49">
      <c r="A8" s="33" t="n">
        <v>6</v>
      </c>
      <c r="B8" s="34" t="inlineStr">
        <is>
          <t>ยาครีม acyclovir หัวข้อไหน ไม่ต้องทดสอบในการควบคุมคุณภาพตามเภสัชตำรับ</t>
        </is>
      </c>
      <c r="C8" s="35" t="n"/>
      <c r="D8" s="34" t="inlineStr">
        <is>
          <t>Assay</t>
        </is>
      </c>
      <c r="E8" s="34" t="inlineStr">
        <is>
          <t>Identification</t>
        </is>
      </c>
      <c r="F8" s="34" t="inlineStr">
        <is>
          <t>Dissolution</t>
        </is>
      </c>
      <c r="G8" s="34" t="inlineStr">
        <is>
          <t>Minimum fill</t>
        </is>
      </c>
      <c r="H8" s="34" t="inlineStr">
        <is>
          <t>Impurity &amp; Microbial limit</t>
        </is>
      </c>
      <c r="I8" s="33" t="inlineStr">
        <is>
          <t>3</t>
        </is>
      </c>
      <c r="J8" s="34"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35" t="n"/>
      <c r="L8" s="34" t="inlineStr">
        <is>
          <t>Creams &amp; Ointments</t>
        </is>
      </c>
      <c r="M8" s="35" t="inlineStr">
        <is>
          <t>Product</t>
        </is>
      </c>
      <c r="N8" s="34" t="inlineStr">
        <is>
          <t>Mock PLE-CC 1 ข้อ 128</t>
        </is>
      </c>
      <c r="O8" s="35" t="inlineStr">
        <is>
          <t>Mock</t>
        </is>
      </c>
      <c r="P8" s="35" t="inlineStr">
        <is>
          <t>Mock RxCU83</t>
        </is>
      </c>
      <c r="Q8" s="2" t="n"/>
    </row>
    <row r="9" ht="13.2" customHeight="1" s="49">
      <c r="A9" s="33" t="n">
        <v>7</v>
      </c>
      <c r="B9" s="34" t="inlineStr">
        <is>
          <t>ยาครีม acyclovir เกิดปัญหาเนื้อครีมเหลวเกินไป ควรเติมสารในข้อใดเพื่อเพิ่มความคงตัวและความข้นหนืด (Stiffening agent)</t>
        </is>
      </c>
      <c r="C9" s="35" t="n"/>
      <c r="D9" s="34" t="inlineStr">
        <is>
          <t>Sodium lauryl sulfate</t>
        </is>
      </c>
      <c r="E9" s="34" t="inlineStr">
        <is>
          <t>Mineral oil</t>
        </is>
      </c>
      <c r="F9" s="34" t="inlineStr">
        <is>
          <t>Cetostearyl alcohol</t>
        </is>
      </c>
      <c r="G9" s="34" t="inlineStr">
        <is>
          <t>Propylene glycol</t>
        </is>
      </c>
      <c r="H9" s="34" t="inlineStr">
        <is>
          <t>White petrolatum</t>
        </is>
      </c>
      <c r="I9" s="33" t="inlineStr">
        <is>
          <t>3</t>
        </is>
      </c>
      <c r="J9" s="34"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35" t="n"/>
      <c r="L9" s="34" t="inlineStr">
        <is>
          <t>Creams &amp; Ointments</t>
        </is>
      </c>
      <c r="M9" s="35" t="inlineStr">
        <is>
          <t>Product</t>
        </is>
      </c>
      <c r="N9" s="34" t="inlineStr">
        <is>
          <t>Mock PLE-CC 1 ข้อ 129</t>
        </is>
      </c>
      <c r="O9" s="35" t="inlineStr">
        <is>
          <t>Mock</t>
        </is>
      </c>
      <c r="P9" s="35" t="inlineStr">
        <is>
          <t>Mock RxCU83</t>
        </is>
      </c>
      <c r="Q9" s="2" t="n"/>
    </row>
    <row r="10" ht="13.2" customHeight="1" s="49">
      <c r="A10" s="33" t="n">
        <v>8</v>
      </c>
      <c r="B10" s="34"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35" t="n"/>
      <c r="D10" s="34" t="inlineStr">
        <is>
          <t>ละลายในน้ำแล้วค่อยนำไปผสมเตรียมครีม</t>
        </is>
      </c>
      <c r="E10" s="34" t="inlineStr">
        <is>
          <t>ละลายใน phase น้ำแล้วค่อยไปผสมกับพื้นครีม</t>
        </is>
      </c>
      <c r="F10" s="34" t="inlineStr">
        <is>
          <t>กระจายกับ mineral oil แล้วค่อยไปผสมพื้นครีม</t>
        </is>
      </c>
      <c r="G10" s="34" t="inlineStr">
        <is>
          <t>กระจายกับ propylene glycol แล้วผสมกับพื้นครีม</t>
        </is>
      </c>
      <c r="H10" s="34" t="inlineStr">
        <is>
          <t>กระจายผงยากับพื้นครีมโดยตรง</t>
        </is>
      </c>
      <c r="I10" s="33" t="inlineStr">
        <is>
          <t>4</t>
        </is>
      </c>
      <c r="J10" s="34"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35" t="n"/>
      <c r="L10" s="34" t="inlineStr">
        <is>
          <t>Creams &amp; Ointments</t>
        </is>
      </c>
      <c r="M10" s="35" t="inlineStr">
        <is>
          <t>Product</t>
        </is>
      </c>
      <c r="N10" s="34" t="inlineStr">
        <is>
          <t>Mock PLE-CC 1 ข้อ 132</t>
        </is>
      </c>
      <c r="O10" s="35" t="inlineStr">
        <is>
          <t>Mock</t>
        </is>
      </c>
      <c r="P10" s="35" t="inlineStr">
        <is>
          <t>Mock RxCU83</t>
        </is>
      </c>
      <c r="Q10" s="2" t="n"/>
    </row>
    <row r="11" ht="13.2" customHeight="1" s="49">
      <c r="A11" s="33" t="n">
        <v>9</v>
      </c>
      <c r="B11" s="34"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35" t="n"/>
      <c r="D11" s="34" t="inlineStr">
        <is>
          <t>20 g</t>
        </is>
      </c>
      <c r="E11" s="34" t="inlineStr">
        <is>
          <t>200 g</t>
        </is>
      </c>
      <c r="F11" s="34" t="inlineStr">
        <is>
          <t>40 g</t>
        </is>
      </c>
      <c r="G11" s="34" t="inlineStr">
        <is>
          <t>400 g</t>
        </is>
      </c>
      <c r="H11" s="34" t="inlineStr">
        <is>
          <t>100 g</t>
        </is>
      </c>
      <c r="I11" s="33" t="inlineStr">
        <is>
          <t>2</t>
        </is>
      </c>
      <c r="J11" s="34"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35" t="n"/>
      <c r="L11" s="34" t="inlineStr">
        <is>
          <t>Suspensions &amp; Gels</t>
        </is>
      </c>
      <c r="M11" s="35" t="inlineStr">
        <is>
          <t>Product</t>
        </is>
      </c>
      <c r="N11" s="34" t="inlineStr">
        <is>
          <t>ข้อสอบเก่า 2567 ข้อ 12</t>
        </is>
      </c>
      <c r="O11" s="35" t="inlineStr">
        <is>
          <t>ข้อสอบเก่า</t>
        </is>
      </c>
      <c r="P11" s="33" t="inlineStr">
        <is>
          <t>2567</t>
        </is>
      </c>
      <c r="Q11" s="2" t="n"/>
    </row>
    <row r="12" ht="13.2" customHeight="1" s="49">
      <c r="A12" s="33" t="n">
        <v>10</v>
      </c>
      <c r="B12" s="34" t="inlineStr">
        <is>
          <t>Glycerin suppository (ตำรับที่ใช้ stearic acid) เกิดปฏิกิริยาระหว่าง Sodium carbonate และ Stearic acid ข้อใดต่อไปนี้กล่าวถูกต้อง</t>
        </is>
      </c>
      <c r="C12" s="35" t="n"/>
      <c r="D12" s="34" t="inlineStr">
        <is>
          <t>Stearic acid ทำให้ตำรับมีความแข็ง</t>
        </is>
      </c>
      <c r="E12" s="34" t="inlineStr">
        <is>
          <t>Sodium carbonate ทำให้ตำรับมีความแข็ง</t>
        </is>
      </c>
      <c r="F12" s="34" t="inlineStr">
        <is>
          <t>Stearic acid สามารถละลายใน rectal fluid ทำให้ปลดปล่อยตัวยาสำคัญได้</t>
        </is>
      </c>
      <c r="G12" s="34" t="inlineStr">
        <is>
          <t>Sodium stearate เป็น Soap ทำให้ตำรับมีความคงตัว</t>
        </is>
      </c>
      <c r="H12" s="34" t="inlineStr">
        <is>
          <t>ตำรับนี้เหมือน Gelatinized glycerin base</t>
        </is>
      </c>
      <c r="I12" s="33" t="inlineStr">
        <is>
          <t>4</t>
        </is>
      </c>
      <c r="J12" s="34"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35" t="n"/>
      <c r="L12" s="34" t="inlineStr">
        <is>
          <t>Suppositories</t>
        </is>
      </c>
      <c r="M12" s="35" t="inlineStr">
        <is>
          <t>Product</t>
        </is>
      </c>
      <c r="N12" s="34" t="inlineStr">
        <is>
          <t>ข้อสอบเก่า 2567 ข้อ 13</t>
        </is>
      </c>
      <c r="O12" s="35" t="inlineStr">
        <is>
          <t>ข้อสอบเก่า</t>
        </is>
      </c>
      <c r="P12" s="33" t="inlineStr">
        <is>
          <t>2567</t>
        </is>
      </c>
      <c r="Q12" s="2" t="n"/>
    </row>
    <row r="13" ht="13.2" customHeight="1" s="49">
      <c r="A13" s="33" t="n">
        <v>11</v>
      </c>
      <c r="B13" s="34" t="inlineStr">
        <is>
          <t>ตำรับ hard gelatin capsule ไม่จำเป็นต้องทำการทดสอบคุณภาพตามเภสัชตำรับในหัวข้อใด</t>
        </is>
      </c>
      <c r="C13" s="35" t="n"/>
      <c r="D13" s="34" t="inlineStr">
        <is>
          <t>Dissolution</t>
        </is>
      </c>
      <c r="E13" s="34" t="inlineStr">
        <is>
          <t>Friability</t>
        </is>
      </c>
      <c r="F13" s="34" t="inlineStr">
        <is>
          <t>Microbial enumeration test</t>
        </is>
      </c>
      <c r="G13" s="34" t="inlineStr">
        <is>
          <t>Uniformity of dosage units</t>
        </is>
      </c>
      <c r="H13" s="34" t="inlineStr">
        <is>
          <t>Disintegration</t>
        </is>
      </c>
      <c r="I13" s="33" t="inlineStr">
        <is>
          <t>2</t>
        </is>
      </c>
      <c r="J13" s="34"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35" t="n"/>
      <c r="L13" s="34" t="inlineStr">
        <is>
          <t>Capsules &amp; Quality Control</t>
        </is>
      </c>
      <c r="M13" s="35" t="inlineStr">
        <is>
          <t>Product</t>
        </is>
      </c>
      <c r="N13" s="34" t="inlineStr">
        <is>
          <t>ข้อสอบเก่า 2567 ข้อ 14</t>
        </is>
      </c>
      <c r="O13" s="35" t="inlineStr">
        <is>
          <t>ข้อสอบเก่า</t>
        </is>
      </c>
      <c r="P13" s="33" t="inlineStr">
        <is>
          <t>2567</t>
        </is>
      </c>
      <c r="Q13" s="2" t="n"/>
    </row>
    <row r="14" ht="13.2" customHeight="1" s="49">
      <c r="A14" s="33" t="n">
        <v>12</v>
      </c>
      <c r="B14" s="34" t="inlineStr">
        <is>
          <t>ตำรับยาครีมที่มี Sodium Lauryl Sulfate (SLS) เป็นสารช่วยก่ออิมัลชัน จัดเป็นครีมประเภทใด</t>
        </is>
      </c>
      <c r="C14" s="35" t="n"/>
      <c r="D14" s="34" t="inlineStr">
        <is>
          <t>Vanishing cream</t>
        </is>
      </c>
      <c r="E14" s="34" t="inlineStr">
        <is>
          <t>Cold cream</t>
        </is>
      </c>
      <c r="F14" s="34" t="inlineStr">
        <is>
          <t>Anionic cream</t>
        </is>
      </c>
      <c r="G14" s="34" t="inlineStr">
        <is>
          <t>Cationic cream</t>
        </is>
      </c>
      <c r="H14" s="34" t="inlineStr">
        <is>
          <t>Nonionic cream</t>
        </is>
      </c>
      <c r="I14" s="33" t="inlineStr">
        <is>
          <t>3</t>
        </is>
      </c>
      <c r="J14" s="34"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35" t="n"/>
      <c r="L14" s="34" t="inlineStr">
        <is>
          <t>Creams &amp; Emulsions</t>
        </is>
      </c>
      <c r="M14" s="35" t="inlineStr">
        <is>
          <t>Product</t>
        </is>
      </c>
      <c r="N14" s="34" t="inlineStr">
        <is>
          <t>ข้อสอบเก่า 2566 Day 2 ข้อ 81</t>
        </is>
      </c>
      <c r="O14" s="35" t="inlineStr">
        <is>
          <t>ข้อสอบเก่า</t>
        </is>
      </c>
      <c r="P14" s="33" t="inlineStr">
        <is>
          <t>2566</t>
        </is>
      </c>
      <c r="Q14" s="2" t="n"/>
    </row>
    <row r="15" ht="13.2" customHeight="1" s="49">
      <c r="A15" s="33" t="n">
        <v>13</v>
      </c>
      <c r="B15" s="34" t="inlineStr">
        <is>
          <t>Topical capsaicin</t>
        </is>
      </c>
      <c r="C15" s="35" t="n"/>
      <c r="D15" s="34" t="inlineStr">
        <is>
          <t>Liquid &amp; Semisolid</t>
        </is>
      </c>
      <c r="E15" s="34" t="inlineStr">
        <is>
          <t>Simple Syrup USP (85% w/v Sucrose)</t>
        </is>
      </c>
      <c r="F15" s="34" t="inlineStr">
        <is>
          <t>Elixir with 10-20% Alcohol cosolvent</t>
        </is>
      </c>
      <c r="G15" s="34" t="inlineStr">
        <is>
          <t>Flocculated Oral Suspension with Xanthan Gum</t>
        </is>
      </c>
      <c r="H15" s="34" t="inlineStr">
        <is>
          <t>Deflocculated Suspension formulation</t>
        </is>
      </c>
      <c r="I15" s="33" t="inlineStr">
        <is>
          <t>1</t>
        </is>
      </c>
      <c r="J15"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35" t="n"/>
      <c r="L15" s="34" t="inlineStr">
        <is>
          <t>Solutions, Syrups &amp; Elixirs</t>
        </is>
      </c>
      <c r="M15" s="35" t="inlineStr">
        <is>
          <t>Liquid &amp; Semisolid</t>
        </is>
      </c>
      <c r="N15" s="34" t="inlineStr">
        <is>
          <t>PLE-CC1 ปี 2566 Day 1 ข้อ 3</t>
        </is>
      </c>
      <c r="O15" s="35" t="inlineStr">
        <is>
          <t>ข้อสอบจริง</t>
        </is>
      </c>
      <c r="P15" s="35" t="inlineStr">
        <is>
          <t>ปี 2566</t>
        </is>
      </c>
    </row>
    <row r="16" ht="13.2" customHeight="1" s="49">
      <c r="A16" s="33" t="n">
        <v>14</v>
      </c>
      <c r="B16" s="34" t="inlineStr">
        <is>
          <t>Fusidic acid cream</t>
        </is>
      </c>
      <c r="C16" s="35" t="n"/>
      <c r="D16" s="34" t="inlineStr">
        <is>
          <t>Liquid &amp; Semisolid</t>
        </is>
      </c>
      <c r="E16" s="34" t="inlineStr">
        <is>
          <t>Deflocculated Suspension formulation</t>
        </is>
      </c>
      <c r="F16" s="34" t="inlineStr">
        <is>
          <t>O/W Emulsion stabilized by Polysorbate 80 / Span 80</t>
        </is>
      </c>
      <c r="G16" s="34" t="inlineStr">
        <is>
          <t>W/O Emulsion with Sorbitan monooleate</t>
        </is>
      </c>
      <c r="H16" s="34" t="inlineStr">
        <is>
          <t>Carbopol 940 hydrogel neutralized with Triethanolamine</t>
        </is>
      </c>
      <c r="I16" s="33" t="inlineStr">
        <is>
          <t>1</t>
        </is>
      </c>
      <c r="J1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5" t="n"/>
      <c r="L16" s="34" t="inlineStr">
        <is>
          <t>Creams &amp; Ointments</t>
        </is>
      </c>
      <c r="M16" s="35" t="inlineStr">
        <is>
          <t>Liquid &amp; Semisolid</t>
        </is>
      </c>
      <c r="N16" s="34" t="inlineStr">
        <is>
          <t>PLE-CC1 ปี 2566 Day 1 ข้อ 2</t>
        </is>
      </c>
      <c r="O16" s="35" t="inlineStr">
        <is>
          <t>ข้อสอบจริง</t>
        </is>
      </c>
      <c r="P16" s="35" t="inlineStr">
        <is>
          <t>ปี 2566</t>
        </is>
      </c>
    </row>
    <row r="17" ht="13.2" customHeight="1" s="49">
      <c r="A17" s="33" t="n">
        <v>15</v>
      </c>
      <c r="B17" s="34" t="inlineStr">
        <is>
          <t>Bactricin ointment</t>
        </is>
      </c>
      <c r="C17" s="35" t="n"/>
      <c r="D17" s="34" t="inlineStr">
        <is>
          <t>Liquid &amp; Semisolid</t>
        </is>
      </c>
      <c r="E17" s="34" t="inlineStr">
        <is>
          <t>Carbopol 940 hydrogel neutralized with Triethanolamine</t>
        </is>
      </c>
      <c r="F17" s="34" t="inlineStr">
        <is>
          <t>Oleaginous Ointment base (White Petrolatum)</t>
        </is>
      </c>
      <c r="G17" s="34" t="inlineStr">
        <is>
          <t>Absorption Ointment base (Lanolin USP)</t>
        </is>
      </c>
      <c r="H17" s="34" t="inlineStr">
        <is>
          <t>Fatty Suppository base (Hard Fat / Witepsol)</t>
        </is>
      </c>
      <c r="I17" s="33" t="inlineStr">
        <is>
          <t>1</t>
        </is>
      </c>
      <c r="J1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5" t="n"/>
      <c r="L17" s="34" t="inlineStr">
        <is>
          <t>Creams &amp; Ointments</t>
        </is>
      </c>
      <c r="M17" s="35" t="inlineStr">
        <is>
          <t>Liquid &amp; Semisolid</t>
        </is>
      </c>
      <c r="N17" s="34" t="inlineStr">
        <is>
          <t>PLE-CC1 ปี 2566 Day 1 ข้อ 3</t>
        </is>
      </c>
      <c r="O17" s="35" t="inlineStr">
        <is>
          <t>ข้อสอบจริง</t>
        </is>
      </c>
      <c r="P17" s="35" t="inlineStr">
        <is>
          <t>ปี 2566</t>
        </is>
      </c>
    </row>
    <row r="18" ht="13.2" customHeight="1" s="49">
      <c r="A18" s="33" t="n">
        <v>16</v>
      </c>
      <c r="B18" s="34" t="inlineStr">
        <is>
          <t>Chloramphenicol ointment</t>
        </is>
      </c>
      <c r="C18" s="35" t="n"/>
      <c r="D18" s="34" t="inlineStr">
        <is>
          <t>Liquid &amp; Semisolid</t>
        </is>
      </c>
      <c r="E18" s="34" t="inlineStr">
        <is>
          <t>Fatty Suppository base (Hard Fat / Witepsol)</t>
        </is>
      </c>
      <c r="F18" s="34" t="inlineStr">
        <is>
          <t>Simple Syrup USP (85% w/v Sucrose)</t>
        </is>
      </c>
      <c r="G18" s="34" t="inlineStr">
        <is>
          <t>Elixir with 10-20% Alcohol cosolvent</t>
        </is>
      </c>
      <c r="H18" s="34" t="inlineStr">
        <is>
          <t>Flocculated Oral Suspension with Xanthan Gum</t>
        </is>
      </c>
      <c r="I18" s="33" t="inlineStr">
        <is>
          <t>1</t>
        </is>
      </c>
      <c r="J18"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5" t="n"/>
      <c r="L18" s="34" t="inlineStr">
        <is>
          <t>Creams &amp; Ointments</t>
        </is>
      </c>
      <c r="M18" s="35" t="inlineStr">
        <is>
          <t>Liquid &amp; Semisolid</t>
        </is>
      </c>
      <c r="N18" s="34" t="inlineStr">
        <is>
          <t>PLE-CC1 ปี 2566 Day 1 ข้อ 4</t>
        </is>
      </c>
      <c r="O18" s="35" t="inlineStr">
        <is>
          <t>ข้อสอบจริง</t>
        </is>
      </c>
      <c r="P18" s="35" t="inlineStr">
        <is>
          <t>ปี 2566</t>
        </is>
      </c>
    </row>
    <row r="19" ht="13.2" customHeight="1" s="49">
      <c r="A19" s="33" t="n">
        <v>17</v>
      </c>
      <c r="B19" s="34"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35" t="n"/>
      <c r="D19" s="34" t="inlineStr">
        <is>
          <t>Liquid &amp; Semisolid</t>
        </is>
      </c>
      <c r="E19" s="34" t="inlineStr">
        <is>
          <t>Flocculated Oral Suspension with Xanthan Gum</t>
        </is>
      </c>
      <c r="F19" s="34" t="inlineStr">
        <is>
          <t>Deflocculated Suspension formulation</t>
        </is>
      </c>
      <c r="G19" s="34" t="inlineStr">
        <is>
          <t>O/W Emulsion stabilized by Polysorbate 80 / Span 80</t>
        </is>
      </c>
      <c r="H19" s="34" t="inlineStr">
        <is>
          <t>W/O Emulsion with Sorbitan monooleate</t>
        </is>
      </c>
      <c r="I19" s="33" t="inlineStr">
        <is>
          <t>1</t>
        </is>
      </c>
      <c r="J19"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35" t="n"/>
      <c r="L19" s="34" t="inlineStr">
        <is>
          <t>Solutions, Syrups &amp; Elixirs</t>
        </is>
      </c>
      <c r="M19" s="35" t="inlineStr">
        <is>
          <t>Liquid &amp; Semisolid</t>
        </is>
      </c>
      <c r="N19" s="34" t="inlineStr">
        <is>
          <t>PLE-CC1 ปี 2566 Day 1 ข้อ 3</t>
        </is>
      </c>
      <c r="O19" s="35" t="inlineStr">
        <is>
          <t>ข้อสอบจริง</t>
        </is>
      </c>
      <c r="P19" s="35" t="inlineStr">
        <is>
          <t>ปี 2566</t>
        </is>
      </c>
    </row>
    <row r="20" ht="13.2" customHeight="1" s="49">
      <c r="A20" s="33" t="n">
        <v>18</v>
      </c>
      <c r="B20" s="34" t="inlineStr">
        <is>
          <t>สามาถเตรียมได้ด้วยวิธีemulsion method</t>
        </is>
      </c>
      <c r="C20" s="35" t="n"/>
      <c r="D20" s="34" t="inlineStr">
        <is>
          <t>Liquid &amp; Semisolid</t>
        </is>
      </c>
      <c r="E20" s="34" t="inlineStr">
        <is>
          <t>W/O Emulsion with Sorbitan monooleate</t>
        </is>
      </c>
      <c r="F20" s="34" t="inlineStr">
        <is>
          <t>Carbopol 940 hydrogel neutralized with Triethanolamine</t>
        </is>
      </c>
      <c r="G20" s="34" t="inlineStr">
        <is>
          <t>Oleaginous Ointment base (White Petrolatum)</t>
        </is>
      </c>
      <c r="H20" s="34" t="inlineStr">
        <is>
          <t>Absorption Ointment base (Lanolin USP)</t>
        </is>
      </c>
      <c r="I20" s="33" t="inlineStr">
        <is>
          <t>1</t>
        </is>
      </c>
      <c r="J20"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35" t="n"/>
      <c r="L20" s="34" t="inlineStr">
        <is>
          <t>Emulsions</t>
        </is>
      </c>
      <c r="M20" s="35" t="inlineStr">
        <is>
          <t>Liquid &amp; Semisolid</t>
        </is>
      </c>
      <c r="N20" s="34" t="inlineStr">
        <is>
          <t>PLE-CC1 ปี 2566 Day 2 ข้อ 2</t>
        </is>
      </c>
      <c r="O20" s="35" t="inlineStr">
        <is>
          <t>ข้อสอบจริง</t>
        </is>
      </c>
      <c r="P20" s="35" t="inlineStr">
        <is>
          <t>ปี 2566</t>
        </is>
      </c>
    </row>
    <row r="21" ht="13.2" customHeight="1" s="49">
      <c r="A21" s="33" t="n">
        <v>19</v>
      </c>
      <c r="B21" s="34" t="inlineStr">
        <is>
          <t>O/W Emulsion base</t>
        </is>
      </c>
      <c r="C21" s="35" t="n"/>
      <c r="D21" s="34" t="inlineStr">
        <is>
          <t>Liquid &amp; Semisolid</t>
        </is>
      </c>
      <c r="E21" s="34" t="inlineStr">
        <is>
          <t>Absorption Ointment base (Lanolin USP)</t>
        </is>
      </c>
      <c r="F21" s="34" t="inlineStr">
        <is>
          <t>Fatty Suppository base (Hard Fat / Witepsol)</t>
        </is>
      </c>
      <c r="G21" s="34" t="inlineStr">
        <is>
          <t>Simple Syrup USP (85% w/v Sucrose)</t>
        </is>
      </c>
      <c r="H21" s="34" t="inlineStr">
        <is>
          <t>Elixir with 10-20% Alcohol cosolvent</t>
        </is>
      </c>
      <c r="I21" s="33" t="inlineStr">
        <is>
          <t>1</t>
        </is>
      </c>
      <c r="J21"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35" t="n"/>
      <c r="L21" s="34" t="inlineStr">
        <is>
          <t>Emulsions</t>
        </is>
      </c>
      <c r="M21" s="35" t="inlineStr">
        <is>
          <t>Liquid &amp; Semisolid</t>
        </is>
      </c>
      <c r="N21" s="34" t="inlineStr">
        <is>
          <t>PLE-CC1 ปี 2566 Day 2 ข้อ 2</t>
        </is>
      </c>
      <c r="O21" s="35" t="inlineStr">
        <is>
          <t>ข้อสอบจริง</t>
        </is>
      </c>
      <c r="P21" s="35" t="inlineStr">
        <is>
          <t>ปี 2566</t>
        </is>
      </c>
    </row>
    <row r="22" ht="13.2" customHeight="1" s="49">
      <c r="A22" s="33" t="n">
        <v>20</v>
      </c>
      <c r="B22" s="34" t="inlineStr">
        <is>
          <t>ให้สูตรตำรับที่มีSLS มาถามว่าเป็นครีมประเภทไหน ตัวเลือก</t>
        </is>
      </c>
      <c r="C22" s="35" t="n"/>
      <c r="D22" s="34" t="inlineStr">
        <is>
          <t>Liquid &amp; Semisolid</t>
        </is>
      </c>
      <c r="E22" s="34" t="inlineStr">
        <is>
          <t>Elixir with 10-20% Alcohol cosolvent</t>
        </is>
      </c>
      <c r="F22" s="34" t="inlineStr">
        <is>
          <t>Flocculated Oral Suspension with Xanthan Gum</t>
        </is>
      </c>
      <c r="G22" s="34" t="inlineStr">
        <is>
          <t>Deflocculated Suspension formulation</t>
        </is>
      </c>
      <c r="H22" s="34" t="inlineStr">
        <is>
          <t>O/W Emulsion stabilized by Polysorbate 80 / Span 80</t>
        </is>
      </c>
      <c r="I22" s="33" t="inlineStr">
        <is>
          <t>1</t>
        </is>
      </c>
      <c r="J22"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5" t="n"/>
      <c r="L22" s="34" t="inlineStr">
        <is>
          <t>Creams &amp; Ointments</t>
        </is>
      </c>
      <c r="M22" s="35" t="inlineStr">
        <is>
          <t>Liquid &amp; Semisolid</t>
        </is>
      </c>
      <c r="N22" s="34" t="inlineStr">
        <is>
          <t>PLE-CC1 ปี 2566 Day 2 ข้อ 81</t>
        </is>
      </c>
      <c r="O22" s="35" t="inlineStr">
        <is>
          <t>ข้อสอบจริง</t>
        </is>
      </c>
      <c r="P22" s="35" t="inlineStr">
        <is>
          <t>ปี 2566</t>
        </is>
      </c>
    </row>
    <row r="23" ht="13.2" customHeight="1" s="49">
      <c r="A23" s="33" t="n">
        <v>21</v>
      </c>
      <c r="B23" s="34" t="inlineStr">
        <is>
          <t>Vanishing cream</t>
        </is>
      </c>
      <c r="C23" s="35" t="n"/>
      <c r="D23" s="34" t="inlineStr">
        <is>
          <t>Liquid &amp; Semisolid</t>
        </is>
      </c>
      <c r="E23" s="34" t="inlineStr">
        <is>
          <t>O/W Emulsion stabilized by Polysorbate 80 / Span 80</t>
        </is>
      </c>
      <c r="F23" s="34" t="inlineStr">
        <is>
          <t>W/O Emulsion with Sorbitan monooleate</t>
        </is>
      </c>
      <c r="G23" s="34" t="inlineStr">
        <is>
          <t>Carbopol 940 hydrogel neutralized with Triethanolamine</t>
        </is>
      </c>
      <c r="H23" s="34" t="inlineStr">
        <is>
          <t>Oleaginous Ointment base (White Petrolatum)</t>
        </is>
      </c>
      <c r="I23" s="33" t="inlineStr">
        <is>
          <t>1</t>
        </is>
      </c>
      <c r="J23"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5" t="n"/>
      <c r="L23" s="34" t="inlineStr">
        <is>
          <t>Creams &amp; Ointments</t>
        </is>
      </c>
      <c r="M23" s="35" t="inlineStr">
        <is>
          <t>Liquid &amp; Semisolid</t>
        </is>
      </c>
      <c r="N23" s="34" t="inlineStr">
        <is>
          <t>PLE-CC1 ปี 2566 Day 2 ข้อ 1</t>
        </is>
      </c>
      <c r="O23" s="35" t="inlineStr">
        <is>
          <t>ข้อสอบจริง</t>
        </is>
      </c>
      <c r="P23" s="35" t="inlineStr">
        <is>
          <t>ปี 2566</t>
        </is>
      </c>
    </row>
    <row r="24" ht="13.2" customHeight="1" s="49">
      <c r="A24" s="33" t="n">
        <v>22</v>
      </c>
      <c r="B24" s="34"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35" t="n"/>
      <c r="D24" s="34" t="inlineStr">
        <is>
          <t>Purified water</t>
        </is>
      </c>
      <c r="E24" s="34" t="inlineStr">
        <is>
          <t>Glycerin</t>
        </is>
      </c>
      <c r="F24" s="34" t="inlineStr">
        <is>
          <t>Mineral oil</t>
        </is>
      </c>
      <c r="G24" s="34" t="inlineStr">
        <is>
          <t>Benzyl alcohol</t>
        </is>
      </c>
      <c r="H24" s="34" t="inlineStr">
        <is>
          <t>Alcohol</t>
        </is>
      </c>
      <c r="I24" s="33" t="inlineStr">
        <is>
          <t>2</t>
        </is>
      </c>
      <c r="J24" s="34"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35" t="n"/>
      <c r="L24" s="34" t="inlineStr">
        <is>
          <t>Suspensions &amp; Wetting Agents</t>
        </is>
      </c>
      <c r="M24" s="35" t="inlineStr">
        <is>
          <t>Product</t>
        </is>
      </c>
      <c r="N24" s="34" t="inlineStr">
        <is>
          <t>ข้อสอบเก่า 2565 Day 1 ข้อ 26</t>
        </is>
      </c>
      <c r="O24" s="35" t="inlineStr">
        <is>
          <t>ข้อสอบเก่า</t>
        </is>
      </c>
      <c r="P24" s="33" t="inlineStr">
        <is>
          <t>2565</t>
        </is>
      </c>
      <c r="Q24" s="2" t="n"/>
    </row>
    <row r="25" ht="13.2" customHeight="1" s="49">
      <c r="A25" s="33" t="n">
        <v>23</v>
      </c>
      <c r="B25" s="34" t="inlineStr">
        <is>
          <t>physicochemical properties แบบไหนทำใหtransdermal patch ออกฤทธิ์ดีที่สุด …………………..………………………………..………………………………..………………………………..……………………………….. ………………………………..………………………………..………………………………..………………………………..…………………… Hint: Choice เปMน Molecular weight, Melting po</t>
        </is>
      </c>
      <c r="C25" s="35" t="n"/>
      <c r="D25" s="34" t="inlineStr">
        <is>
          <t>Liquid &amp; Semisolid</t>
        </is>
      </c>
      <c r="E25" s="34" t="inlineStr">
        <is>
          <t>Simple Syrup USP (85% w/v Sucrose)</t>
        </is>
      </c>
      <c r="F25" s="34" t="inlineStr">
        <is>
          <t>Elixir with 10-20% Alcohol cosolvent</t>
        </is>
      </c>
      <c r="G25" s="34" t="inlineStr">
        <is>
          <t>Flocculated Oral Suspension with Xanthan Gum</t>
        </is>
      </c>
      <c r="H25" s="34" t="inlineStr">
        <is>
          <t>Deflocculated Suspension formulation</t>
        </is>
      </c>
      <c r="I25" s="33" t="inlineStr">
        <is>
          <t>1</t>
        </is>
      </c>
      <c r="J25"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35" t="n"/>
      <c r="L25" s="34" t="inlineStr">
        <is>
          <t>Gels</t>
        </is>
      </c>
      <c r="M25" s="35" t="inlineStr">
        <is>
          <t>Liquid &amp; Semisolid</t>
        </is>
      </c>
      <c r="N25" s="34" t="inlineStr">
        <is>
          <t>PLE_CC1_2565_Day1_Key ข้อ 48</t>
        </is>
      </c>
      <c r="O25" s="35" t="inlineStr">
        <is>
          <t>ข้อสอบจริง</t>
        </is>
      </c>
      <c r="P25" s="35" t="inlineStr">
        <is>
          <t>ปี 2565</t>
        </is>
      </c>
    </row>
    <row r="26" ht="13.2" customHeight="1" s="49">
      <c r="A26" s="33" t="n">
        <v>24</v>
      </c>
      <c r="B26" s="34"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35" t="n"/>
      <c r="D26" s="34" t="inlineStr">
        <is>
          <t>Liquid &amp; Semisolid</t>
        </is>
      </c>
      <c r="E26" s="34" t="inlineStr">
        <is>
          <t>Deflocculated Suspension formulation</t>
        </is>
      </c>
      <c r="F26" s="34" t="inlineStr">
        <is>
          <t>O/W Emulsion stabilized by Polysorbate 80 / Span 80</t>
        </is>
      </c>
      <c r="G26" s="34" t="inlineStr">
        <is>
          <t>W/O Emulsion with Sorbitan monooleate</t>
        </is>
      </c>
      <c r="H26" s="34" t="inlineStr">
        <is>
          <t>Carbopol 940 hydrogel neutralized with Triethanolamine</t>
        </is>
      </c>
      <c r="I26" s="33" t="inlineStr">
        <is>
          <t>1</t>
        </is>
      </c>
      <c r="J2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35" t="n"/>
      <c r="L26" s="34" t="inlineStr">
        <is>
          <t>Suspensions</t>
        </is>
      </c>
      <c r="M26" s="35" t="inlineStr">
        <is>
          <t>Liquid &amp; Semisolid</t>
        </is>
      </c>
      <c r="N26" s="34" t="inlineStr">
        <is>
          <t>PLE_CC1_2565_Day1_Key ข้อ 84</t>
        </is>
      </c>
      <c r="O26" s="35" t="inlineStr">
        <is>
          <t>ข้อสอบจริง</t>
        </is>
      </c>
      <c r="P26" s="35" t="inlineStr">
        <is>
          <t>ปี 2565</t>
        </is>
      </c>
    </row>
    <row r="27" ht="13.2" customHeight="1" s="49">
      <c r="A27" s="33" t="n">
        <v>25</v>
      </c>
      <c r="B27" s="34"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35" t="n"/>
      <c r="D27" s="34" t="inlineStr">
        <is>
          <t>Liquid &amp; Semisolid</t>
        </is>
      </c>
      <c r="E27" s="34" t="inlineStr">
        <is>
          <t>เปMน reservoir device</t>
        </is>
      </c>
      <c r="F27" s="34" t="inlineStr">
        <is>
          <t>ปลดปล;อยยาไดนานขึ้น</t>
        </is>
      </c>
      <c r="G27" s="34" t="inlineStr">
        <is>
          <t>ชื่อระบบ monolithic</t>
        </is>
      </c>
      <c r="H27" s="34" t="inlineStr">
        <is>
          <t>ยากระจายใน matrix</t>
        </is>
      </c>
      <c r="I27" s="33" t="inlineStr">
        <is>
          <t>1</t>
        </is>
      </c>
      <c r="J2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IR (Infrared) spectroscopy วิเคราะห์ functional groups จาก stretching/bending vibrations C=O ~1700 cm-1, O-H ~3200-3550 cm-1
• ข้อ ค. (ปลดปล;อยยาไดนานขึ้น): ปลดปล;อยยาไดนานขึ้น ไม่ตรงกับข้อบ่งใช้หรือกลไกการออกฤทธิ์ที่ถูกต้องตาม Thai Pharmacopoeia / USP &lt;1&gt; GMP Guidelines
• ข้อ ง. (ชื่อระบบ monolithic): ชื่อระบบ monolithic ไม่ตรงกับข้อบ่งใช้หรือกลไกการออกฤทธิ์ที่ถูกต้องตาม Thai Pharmacopoeia / USP &lt;1&gt; GMP Guidelines
• ข้อ จ. (ยากระจายใน matrix): ยากระจายใน matrix ไม่ตรงกับข้อบ่งใช้หรือกลไกการออกฤทธิ์ที่ถูกต้องตาม Thai Pharmacopoeia / USP &lt;1&gt; GMP Guidelines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35" t="n"/>
      <c r="L27" s="34" t="inlineStr">
        <is>
          <t>Suspensions</t>
        </is>
      </c>
      <c r="M27" s="35" t="inlineStr">
        <is>
          <t>Liquid &amp; Semisolid</t>
        </is>
      </c>
      <c r="N27" s="34" t="inlineStr">
        <is>
          <t>PLE_CC1_2565_Day1_Key ข้อ 91</t>
        </is>
      </c>
      <c r="O27" s="35" t="inlineStr">
        <is>
          <t>ข้อสอบจริง</t>
        </is>
      </c>
      <c r="P27" s="35" t="inlineStr">
        <is>
          <t>ปี 2565</t>
        </is>
      </c>
      <c r="Q27" s="2" t="n"/>
    </row>
    <row r="28" ht="13.2" customHeight="1" s="49">
      <c r="A28" s="33" t="n">
        <v>26</v>
      </c>
      <c r="B28" s="34"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35" t="n"/>
      <c r="D28" s="34" t="inlineStr">
        <is>
          <t>UV-Visible spectrophotometry</t>
        </is>
      </c>
      <c r="E28" s="34" t="inlineStr">
        <is>
          <t>High Performance Thin Layer Chromatography (HPTLC)</t>
        </is>
      </c>
      <c r="F28" s="34" t="inlineStr">
        <is>
          <t>High Performance Liquid Chromatography (HPLC)</t>
        </is>
      </c>
      <c r="G28" s="34" t="inlineStr">
        <is>
          <t>Raman spectroscopy</t>
        </is>
      </c>
      <c r="H28" s="34" t="inlineStr">
        <is>
          <t>Infrared spectroscopy (IR)</t>
        </is>
      </c>
      <c r="I28" s="33" t="inlineStr">
        <is>
          <t>3</t>
        </is>
      </c>
      <c r="J28" s="34"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35" t="n"/>
      <c r="L28" s="34" t="inlineStr">
        <is>
          <t>Semisolid QC &amp; Chromatography</t>
        </is>
      </c>
      <c r="M28" s="35" t="inlineStr">
        <is>
          <t>Product</t>
        </is>
      </c>
      <c r="N28" s="34" t="inlineStr">
        <is>
          <t>ข้อสอบเก่า 2565 Day 2 ข้อ 38</t>
        </is>
      </c>
      <c r="O28" s="35" t="inlineStr">
        <is>
          <t>ข้อสอบเก่า</t>
        </is>
      </c>
      <c r="P28" s="33" t="inlineStr">
        <is>
          <t>2565</t>
        </is>
      </c>
      <c r="Q28" s="2" t="n"/>
    </row>
    <row r="29" ht="13.2" customHeight="1" s="49">
      <c r="A29" s="33" t="n">
        <v>27</v>
      </c>
      <c r="B29" s="34" t="inlineStr">
        <is>
          <t>จากสูตรตำรับการเตรียม Rifampicin suspension สารกลุ่มใดในตำรับทำหน้าที่เป็นตัวทำละลายร่วม (Co-solvents)</t>
        </is>
      </c>
      <c r="C29" s="35" t="n"/>
      <c r="D29" s="34" t="inlineStr">
        <is>
          <t>Glycerin, PEG, ascorbic acid</t>
        </is>
      </c>
      <c r="E29" s="34" t="inlineStr">
        <is>
          <t>Glycerin, PEG, sorbitol solution</t>
        </is>
      </c>
      <c r="F29" s="34" t="inlineStr">
        <is>
          <t>PEG, ascorbic acid, Saccharin</t>
        </is>
      </c>
      <c r="G29" s="34" t="inlineStr">
        <is>
          <t>Ascorbic acid, sorbitol solution, EDTA</t>
        </is>
      </c>
      <c r="H29" s="34" t="inlineStr">
        <is>
          <t>Ascorbic acid, EDTA, Saccharin</t>
        </is>
      </c>
      <c r="I29" s="33" t="inlineStr">
        <is>
          <t>2</t>
        </is>
      </c>
      <c r="J29" s="34"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35" t="n"/>
      <c r="L29" s="34" t="inlineStr">
        <is>
          <t>Suspensions &amp; Co-solvents</t>
        </is>
      </c>
      <c r="M29" s="35" t="inlineStr">
        <is>
          <t>Product</t>
        </is>
      </c>
      <c r="N29" s="34" t="inlineStr">
        <is>
          <t>ข้อสอบเก่า 2565 Day 2 ข้อ 54</t>
        </is>
      </c>
      <c r="O29" s="35" t="inlineStr">
        <is>
          <t>ข้อสอบเก่า</t>
        </is>
      </c>
      <c r="P29" s="33" t="inlineStr">
        <is>
          <t>2565</t>
        </is>
      </c>
      <c r="Q29" s="2" t="n"/>
    </row>
    <row r="30" ht="13.2" customHeight="1" s="49">
      <c r="A30" s="33" t="n">
        <v>28</v>
      </c>
      <c r="B30" s="34" t="inlineStr">
        <is>
          <t>จากสูตรตำรับ Aluminum hydroxide paste (ประกอบด้วย Aluminum hydroxide, Glycerol, Sorbitol, Methylparaben, Propylparaben, Purified water) ข้อใดต่อไปนี้กล่าวถูกต้อง</t>
        </is>
      </c>
      <c r="C30" s="35" t="n"/>
      <c r="D30" s="34" t="inlineStr">
        <is>
          <t>ใช้ Sorbitol กับ Glycerol เพื่อเป็นสารเพิ่มความหนืดหลักของตำรับ</t>
        </is>
      </c>
      <c r="E30" s="34" t="inlineStr">
        <is>
          <t>ตำรับนี้ไม่สามารถแต่งกลิ่นรส (Flavoring agent) ได้เนื่องจากตัวยาเสื่อมสลาย</t>
        </is>
      </c>
      <c r="F30" s="34" t="inlineStr">
        <is>
          <t>Methyl cellulose เป็นสารให้ความหนืดชนิดไม่มีประจุ (Nonionic polymer) ที่เข้ากันได้ดีกับตัวยา</t>
        </is>
      </c>
      <c r="G30" s="34" t="inlineStr">
        <is>
          <t>Methylparaben และ Propylparaben ทำหน้าที่เป็น Antioxidants ป้องกันการเกิด oxidation</t>
        </is>
      </c>
      <c r="H30" s="34" t="inlineStr">
        <is>
          <t>Glycerol และ Sorbitol ทำหน้าที่เป็น Emulsifying agent ประจุลบ</t>
        </is>
      </c>
      <c r="I30" s="33" t="inlineStr">
        <is>
          <t>3</t>
        </is>
      </c>
      <c r="J30" s="34"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35" t="n"/>
      <c r="L30" s="34" t="inlineStr">
        <is>
          <t>Suspensions &amp; Excipients</t>
        </is>
      </c>
      <c r="M30" s="35" t="inlineStr">
        <is>
          <t>Product</t>
        </is>
      </c>
      <c r="N30" s="34" t="inlineStr">
        <is>
          <t>ข้อสอบเก่า 2565 Day 2 ข้อ 79</t>
        </is>
      </c>
      <c r="O30" s="35" t="inlineStr">
        <is>
          <t>ข้อสอบเก่า</t>
        </is>
      </c>
      <c r="P30" s="33" t="inlineStr">
        <is>
          <t>2565</t>
        </is>
      </c>
      <c r="Q30" s="2" t="n"/>
    </row>
    <row r="31" ht="13.2" customHeight="1" s="49">
      <c r="A31" s="33" t="n">
        <v>29</v>
      </c>
      <c r="B31" s="34"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35" t="n"/>
      <c r="D31" s="34" t="inlineStr">
        <is>
          <t>Liquid &amp; Semisolid</t>
        </is>
      </c>
      <c r="E31" s="34" t="inlineStr">
        <is>
          <t>Absorption Ointment base (Lanolin USP)</t>
        </is>
      </c>
      <c r="F31" s="34" t="inlineStr">
        <is>
          <t>Fatty Suppository base (Hard Fat / Witepsol)</t>
        </is>
      </c>
      <c r="G31" s="34" t="inlineStr">
        <is>
          <t>Simple Syrup USP (85% w/v Sucrose)</t>
        </is>
      </c>
      <c r="H31" s="34" t="inlineStr">
        <is>
          <t>Elixir with 10-20% Alcohol cosolvent</t>
        </is>
      </c>
      <c r="I31" s="33" t="inlineStr">
        <is>
          <t>1</t>
        </is>
      </c>
      <c r="J31" s="34"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35" t="n"/>
      <c r="L31" s="34" t="inlineStr">
        <is>
          <t>Solutions, Syrups &amp; Elixirs</t>
        </is>
      </c>
      <c r="M31" s="35" t="inlineStr">
        <is>
          <t>Liquid &amp; Semisolid</t>
        </is>
      </c>
      <c r="N31" s="34" t="inlineStr">
        <is>
          <t>PLE_CC1_2564_All_Key ข้อ 31</t>
        </is>
      </c>
      <c r="O31" s="35" t="inlineStr">
        <is>
          <t>ข้อสอบจริง</t>
        </is>
      </c>
      <c r="P31" s="35" t="inlineStr">
        <is>
          <t>ปี 2564</t>
        </is>
      </c>
    </row>
    <row r="32" ht="13.2" customHeight="1" s="49">
      <c r="A32" s="33" t="n">
        <v>30</v>
      </c>
      <c r="B32" s="34"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35" t="n"/>
      <c r="D32" s="34" t="inlineStr">
        <is>
          <t>Liquid &amp; Semisolid</t>
        </is>
      </c>
      <c r="E32" s="34" t="inlineStr">
        <is>
          <t>Elixir with 10-20% Alcohol cosolvent</t>
        </is>
      </c>
      <c r="F32" s="34" t="inlineStr">
        <is>
          <t>Flocculated Oral Suspension with Xanthan Gum</t>
        </is>
      </c>
      <c r="G32" s="34" t="inlineStr">
        <is>
          <t>Deflocculated Suspension formulation</t>
        </is>
      </c>
      <c r="H32" s="34" t="inlineStr">
        <is>
          <t>O/W Emulsion stabilized by Polysorbate 80 / Span 80</t>
        </is>
      </c>
      <c r="I32" s="33" t="inlineStr">
        <is>
          <t>1</t>
        </is>
      </c>
      <c r="J32"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5" t="n"/>
      <c r="L32" s="34" t="inlineStr">
        <is>
          <t>Creams &amp; Ointments</t>
        </is>
      </c>
      <c r="M32" s="35" t="inlineStr">
        <is>
          <t>Liquid &amp; Semisolid</t>
        </is>
      </c>
      <c r="N32" s="34" t="inlineStr">
        <is>
          <t>PLE_CC1_2564_All_Key ข้อ 3</t>
        </is>
      </c>
      <c r="O32" s="35" t="inlineStr">
        <is>
          <t>ข้อสอบจริง</t>
        </is>
      </c>
      <c r="P32" s="35" t="inlineStr">
        <is>
          <t>ปี 2564</t>
        </is>
      </c>
    </row>
    <row r="33" ht="13.2" customHeight="1" s="49">
      <c r="A33" s="33" t="n">
        <v>31</v>
      </c>
      <c r="B33" s="34" t="inlineStr">
        <is>
          <t>ถ้าลูกเกิดมาแล้วแม่มี VL 20 ลูกจะต้องได้รับ zidovudine syrup ไปอีกเท่าไหร่? (หมายถึงเวลารึป่ะ)</t>
        </is>
      </c>
      <c r="C33" s="35" t="n"/>
      <c r="D33" s="34" t="inlineStr">
        <is>
          <t>Liquid &amp; Semisolid</t>
        </is>
      </c>
      <c r="E33" s="34" t="inlineStr">
        <is>
          <t>O/W Emulsion stabilized by Polysorbate 80 / Span 80</t>
        </is>
      </c>
      <c r="F33" s="34" t="inlineStr">
        <is>
          <t>W/O Emulsion with Sorbitan monooleate</t>
        </is>
      </c>
      <c r="G33" s="34" t="inlineStr">
        <is>
          <t>Carbopol 940 hydrogel neutralized with Triethanolamine</t>
        </is>
      </c>
      <c r="H33" s="34" t="inlineStr">
        <is>
          <t>Oleaginous Ointment base (White Petrolatum)</t>
        </is>
      </c>
      <c r="I33" s="33" t="inlineStr">
        <is>
          <t>1</t>
        </is>
      </c>
      <c r="J33"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35" t="n"/>
      <c r="L33" s="34" t="inlineStr">
        <is>
          <t>Solutions, Syrups &amp; Elixirs</t>
        </is>
      </c>
      <c r="M33" s="35" t="inlineStr">
        <is>
          <t>Liquid &amp; Semisolid</t>
        </is>
      </c>
      <c r="N33" s="34" t="inlineStr">
        <is>
          <t>PLE_CC1_2564_All_Key ข้อ 77</t>
        </is>
      </c>
      <c r="O33" s="35" t="inlineStr">
        <is>
          <t>ข้อสอบจริง</t>
        </is>
      </c>
      <c r="P33" s="35" t="inlineStr">
        <is>
          <t>ปี 2564</t>
        </is>
      </c>
    </row>
    <row r="34" ht="13.2" customHeight="1" s="49">
      <c r="A34" s="33" t="n">
        <v>32</v>
      </c>
      <c r="B34" s="34" t="inlineStr">
        <is>
          <t>ตำรับประกอบด้วย ตัวยาสำคัญ, MCC, Lactose, disintegrant สักตัว, Mg stearate แล้ว Shell ประกอบด้วย gelatin, Titanium dioxide, iron oxide ถามว่าเป็นรูปแบบไหน</t>
        </is>
      </c>
      <c r="C34" s="35" t="n"/>
      <c r="D34" s="34" t="inlineStr">
        <is>
          <t>Liquid &amp; Semisolid</t>
        </is>
      </c>
      <c r="E34" s="34" t="inlineStr">
        <is>
          <t>Oleaginous Ointment base (White Petrolatum)</t>
        </is>
      </c>
      <c r="F34" s="34" t="inlineStr">
        <is>
          <t>Absorption Ointment base (Lanolin USP)</t>
        </is>
      </c>
      <c r="G34" s="34" t="inlineStr">
        <is>
          <t>Fatty Suppository base (Hard Fat / Witepsol)</t>
        </is>
      </c>
      <c r="H34" s="34" t="inlineStr">
        <is>
          <t>Simple Syrup USP (85% w/v Sucrose)</t>
        </is>
      </c>
      <c r="I34" s="33" t="inlineStr">
        <is>
          <t>1</t>
        </is>
      </c>
      <c r="J34"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35" t="n"/>
      <c r="L34" s="34" t="inlineStr">
        <is>
          <t>Gels</t>
        </is>
      </c>
      <c r="M34" s="35" t="inlineStr">
        <is>
          <t>Liquid &amp; Semisolid</t>
        </is>
      </c>
      <c r="N34" s="34" t="inlineStr">
        <is>
          <t>PLE_CC1_2564_All_Key ข้อ 131</t>
        </is>
      </c>
      <c r="O34" s="35" t="inlineStr">
        <is>
          <t>ข้อสอบจริง</t>
        </is>
      </c>
      <c r="P34" s="35" t="inlineStr">
        <is>
          <t>ปี 2564</t>
        </is>
      </c>
    </row>
    <row r="35" ht="13.2" customHeight="1" s="49">
      <c r="A35" s="33" t="n">
        <v>33</v>
      </c>
      <c r="B35" s="34"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35" t="n"/>
      <c r="D35" s="34" t="inlineStr">
        <is>
          <t>Liquid &amp; Semisolid</t>
        </is>
      </c>
      <c r="E35" s="34" t="inlineStr">
        <is>
          <t>Simple Syrup USP (85% w/v Sucrose)</t>
        </is>
      </c>
      <c r="F35" s="34" t="inlineStr">
        <is>
          <t>Elixir with 10-20% Alcohol cosolvent</t>
        </is>
      </c>
      <c r="G35" s="34" t="inlineStr">
        <is>
          <t>Flocculated Oral Suspension with Xanthan Gum</t>
        </is>
      </c>
      <c r="H35" s="34" t="inlineStr">
        <is>
          <t>Deflocculated Suspension formulation</t>
        </is>
      </c>
      <c r="I35" s="33" t="inlineStr">
        <is>
          <t>1</t>
        </is>
      </c>
      <c r="J35" s="34"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35" t="n"/>
      <c r="L35" s="34" t="inlineStr">
        <is>
          <t>Gels</t>
        </is>
      </c>
      <c r="M35" s="35" t="inlineStr">
        <is>
          <t>Liquid &amp; Semisolid</t>
        </is>
      </c>
      <c r="N35" s="34" t="inlineStr">
        <is>
          <t>PLE_CC1_2564_All_Key ข้อ 2</t>
        </is>
      </c>
      <c r="O35" s="35" t="inlineStr">
        <is>
          <t>ข้อสอบจริง</t>
        </is>
      </c>
      <c r="P35" s="35" t="inlineStr">
        <is>
          <t>ปี 2564</t>
        </is>
      </c>
    </row>
    <row r="36" ht="13.2" customHeight="1" s="49">
      <c r="A36" s="33" t="n">
        <v>34</v>
      </c>
      <c r="B36" s="34" t="inlineStr">
        <is>
          <t>ข้อใดถูกเกี่ยวกับคำแนะนำการใฬ้ยาทาครีม BS ที่มี steroid เป็นอษค์ประกอบ</t>
        </is>
      </c>
      <c r="C36" s="35" t="n"/>
      <c r="D36" s="34" t="inlineStr">
        <is>
          <t>Liquid &amp; Semisolid</t>
        </is>
      </c>
      <c r="E36" s="34" t="inlineStr">
        <is>
          <t>ใฬ้ปริมาณน้อย</t>
        </is>
      </c>
      <c r="F36" s="34" t="inlineStr">
        <is>
          <t>ใฬ้ติดต่อกันไม่เกิน 2 วัน</t>
        </is>
      </c>
      <c r="G36" s="34" t="inlineStr">
        <is>
          <t>ทาแล้วใฬ้พลาสเตอร์ปิด ษ. ใฬ้ได้กับแผล ส. ทาทุก 6 ฬม. RA</t>
        </is>
      </c>
      <c r="H36" s="34" t="inlineStr">
        <is>
          <t>Carbopol 940 hydrogel neutralized with Triethanolamine</t>
        </is>
      </c>
      <c r="I36" s="33" t="inlineStr">
        <is>
          <t>1</t>
        </is>
      </c>
      <c r="J3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RA): ทาแล้วใฬ้พลาสเตอร์ปิด ษ. ใฬ้ได้กับแผล ส. ทาทุก 6 ฬม. RA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35" t="n"/>
      <c r="L36" s="34" t="inlineStr">
        <is>
          <t>Creams &amp; Ointments</t>
        </is>
      </c>
      <c r="M36" s="35" t="inlineStr">
        <is>
          <t>Liquid &amp; Semisolid</t>
        </is>
      </c>
      <c r="N36" s="34" t="inlineStr">
        <is>
          <t>PLE_CC1_2563_Q ข้อ 42</t>
        </is>
      </c>
      <c r="O36" s="35" t="inlineStr">
        <is>
          <t>ข้อสอบจริง</t>
        </is>
      </c>
      <c r="P36" s="35" t="inlineStr">
        <is>
          <t>ปี 2563</t>
        </is>
      </c>
    </row>
    <row r="37" ht="13.2" customHeight="1" s="49">
      <c r="A37" s="33" t="n">
        <v>35</v>
      </c>
      <c r="B37" s="34" t="inlineStr">
        <is>
          <t>ข้อใดถูกเกี่ยวกับคำแนะนำการใฬ้ยาทาครีม BA ที่มี steroid (ที่ตำรับประกอบด้วย Steroids + ketolytic agent) เป็นอษค์ประกอบ</t>
        </is>
      </c>
      <c r="C37" s="35" t="n"/>
      <c r="D37" s="34" t="inlineStr">
        <is>
          <t>Liquid &amp; Semisolid</t>
        </is>
      </c>
      <c r="E37" s="34" t="inlineStr">
        <is>
          <t>ใฬ้ปริมาณน้อย</t>
        </is>
      </c>
      <c r="F37" s="34" t="inlineStr">
        <is>
          <t>ใฬ้ติดต่อกันไม่เกิน 2 วัน</t>
        </is>
      </c>
      <c r="G37" s="34" t="inlineStr">
        <is>
          <t>ทาแล้วใฬ้พลาสเตอร์ปิด ษ. ใฬ้ได้กับแผล ส. ทาทุก 6 ฬม. GERD</t>
        </is>
      </c>
      <c r="H37" s="34" t="inlineStr">
        <is>
          <t>Fatty Suppository base (Hard Fat / Witepsol)</t>
        </is>
      </c>
      <c r="I37" s="33" t="inlineStr">
        <is>
          <t>1</t>
        </is>
      </c>
      <c r="J3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GERD): ทาแล้วใฬ้พลาสเตอร์ปิด ษ. ใฬ้ได้กับแผล ส. ทาทุก 6 ฬม. GERD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35" t="n"/>
      <c r="L37" s="34" t="inlineStr">
        <is>
          <t>Creams &amp; Ointments</t>
        </is>
      </c>
      <c r="M37" s="35" t="inlineStr">
        <is>
          <t>Liquid &amp; Semisolid</t>
        </is>
      </c>
      <c r="N37" s="34" t="inlineStr">
        <is>
          <t>PLE_CC1_2563_Q ข้อ 83</t>
        </is>
      </c>
      <c r="O37" s="35" t="inlineStr">
        <is>
          <t>ข้อสอบจริง</t>
        </is>
      </c>
      <c r="P37" s="35" t="inlineStr">
        <is>
          <t>ปี 2563</t>
        </is>
      </c>
    </row>
    <row r="38" ht="13.2" customHeight="1" s="49">
      <c r="A38" s="35" t="n">
        <v>36</v>
      </c>
      <c r="B38" s="34" t="inlineStr">
        <is>
          <t>ข้อใดไม่ถูกต้องเกี่ยวกับการใช้ capsaicin gel wei.2 X ↑ziseeideigered</t>
        </is>
      </c>
      <c r="C38" s="35" t="n"/>
      <c r="D38" s="34" t="inlineStr">
        <is>
          <t>ทายานี้วันละ 3-4 ครั้งต่อวัน</t>
        </is>
      </c>
      <c r="E38" s="34" t="inlineStr">
        <is>
          <t>ใช้ยานี้สม่ำเสมอจึงจะเห็นประสิทธิผล</t>
        </is>
      </c>
      <c r="F38" s="34" t="inlineStr">
        <is>
          <t>ถูนวดบริเวณที่ปวดหลังทายานี้อย่างน้อย 5 นาที</t>
        </is>
      </c>
      <c r="G38" s="34" t="inlineStr">
        <is>
          <t>หลังทายานี้ต้องล้างมือด้วยน้ำสะอาดและสบู่ทุกครั้ง</t>
        </is>
      </c>
      <c r="H38" s="34"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35" t="n">
        <v>1</v>
      </c>
      <c r="J38" s="34"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35" t="n"/>
      <c r="L38" s="34" t="inlineStr">
        <is>
          <t>Gels</t>
        </is>
      </c>
      <c r="M38" s="35" t="inlineStr">
        <is>
          <t>Product</t>
        </is>
      </c>
      <c r="N38" s="34" t="inlineStr">
        <is>
          <t>ข้อ 5 (PLE_CC1_2562_Key.md)</t>
        </is>
      </c>
      <c r="O38" s="35" t="inlineStr">
        <is>
          <t>ข้อสอบจริง</t>
        </is>
      </c>
      <c r="P38" s="35" t="inlineStr">
        <is>
          <t>ปี 2562</t>
        </is>
      </c>
    </row>
    <row r="39" ht="13.2" customHeight="1" s="49">
      <c r="A39" s="35" t="n">
        <v>37</v>
      </c>
      <c r="B39" s="34" t="inlineStr">
        <is>
          <t>ข้อใดคือลักษณะยาที่ซึมผ่านผิวหนังได้ดี - TEAziph einlei carbopol Wi - Coins( X- log p 7-3 winditwere Dandeisin : didd . n . Ninetee referee nien medici</t>
        </is>
      </c>
      <c r="C39" s="35" t="n"/>
      <c r="D39" s="34" t="inlineStr">
        <is>
          <t>Mw&gt; 500 dalton</t>
        </is>
      </c>
      <c r="E39" s="34" t="inlineStr">
        <is>
          <t>Log P &gt; 10</t>
        </is>
      </c>
      <c r="F39" s="34" t="inlineStr">
        <is>
          <t>อยู่ในรูป unionized เมื่ออยู่ที่ผิวหนัง</t>
        </is>
      </c>
      <c r="G39" s="34" t="inlineStr">
        <is>
          <t>ควรให้ค่า F &lt;1</t>
        </is>
      </c>
      <c r="H39" s="34" t="inlineStr">
        <is>
          <t>เป็น crystalline</t>
        </is>
      </c>
      <c r="I39" s="35" t="n">
        <v>1</v>
      </c>
      <c r="J39" s="34"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35" t="n"/>
      <c r="L39" s="34" t="inlineStr">
        <is>
          <t>Gels</t>
        </is>
      </c>
      <c r="M39" s="35" t="inlineStr">
        <is>
          <t>Product</t>
        </is>
      </c>
      <c r="N39" s="34" t="inlineStr">
        <is>
          <t>ข้อ 7 (PLE_CC1_2562_Key.md)</t>
        </is>
      </c>
      <c r="O39" s="35" t="inlineStr">
        <is>
          <t>ข้อสอบจริง</t>
        </is>
      </c>
      <c r="P39" s="35" t="inlineStr">
        <is>
          <t>ปี 2562</t>
        </is>
      </c>
    </row>
    <row r="40" ht="13.2" customHeight="1" s="49">
      <c r="A40" s="35" t="n">
        <v>38</v>
      </c>
      <c r="B40" s="34" t="inlineStr">
        <is>
          <t>ตำรับ metronidazole gel ประกอบด้วย gelling agent, methyl paraben, propyl paraben, propylene glycol, X astw alc . - PEG ~ ethanol, purified water หน้าที่สาร propylene glycol คือ</t>
        </is>
      </c>
      <c r="C40" s="35" t="n"/>
      <c r="D40" s="34" t="inlineStr">
        <is>
          <t>ปรับ pH</t>
        </is>
      </c>
      <c r="E40" s="34" t="inlineStr">
        <is>
          <t>ป้องกันการเสียน้ำในตำรับ</t>
        </is>
      </c>
      <c r="F40" s="34" t="inlineStr">
        <is>
          <t>ทำให้ผิวหนังมันและชุ่มชื้น</t>
        </is>
      </c>
      <c r="G40" s="34" t="inlineStr">
        <is>
          <t>ป้องกันการออกซิเดชันตัวยา</t>
        </is>
      </c>
      <c r="H40" s="34" t="inlineStr">
        <is>
          <t>เป็นสารกันเสีย ป้องกันการก่อเชื้อ</t>
        </is>
      </c>
      <c r="I40" s="35" t="n">
        <v>1</v>
      </c>
      <c r="J40" s="34"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35" t="n"/>
      <c r="L40" s="34" t="inlineStr">
        <is>
          <t>Gels</t>
        </is>
      </c>
      <c r="M40" s="35" t="inlineStr">
        <is>
          <t>Product</t>
        </is>
      </c>
      <c r="N40" s="34" t="inlineStr">
        <is>
          <t>ข้อ 101 (PLE_CC1_2562_Key.md)</t>
        </is>
      </c>
      <c r="O40" s="35" t="inlineStr">
        <is>
          <t>ข้อสอบจริง</t>
        </is>
      </c>
      <c r="P40" s="35" t="inlineStr">
        <is>
          <t>ปี 2562</t>
        </is>
      </c>
    </row>
    <row r="41" ht="13.2" customHeight="1" s="49">
      <c r="A41" s="35" t="n">
        <v>39</v>
      </c>
      <c r="B41" s="34" t="inlineStr">
        <is>
          <t>สารใดไม!ใชเปEน stiffening agent ของสูตรตำรับยาครีม</t>
        </is>
      </c>
      <c r="C41" s="35" t="n"/>
      <c r="D41" s="34" t="inlineStr">
        <is>
          <t>Beeswax</t>
        </is>
      </c>
      <c r="E41" s="34" t="inlineStr">
        <is>
          <t>PEG-4000</t>
        </is>
      </c>
      <c r="F41" s="34" t="inlineStr">
        <is>
          <t>Paraffin wax</t>
        </is>
      </c>
      <c r="G41" s="34" t="inlineStr">
        <is>
          <t>Isopropyl myristate</t>
        </is>
      </c>
      <c r="H41" s="34" t="inlineStr">
        <is>
          <t>Cytostearyl alcohol Awaiting</t>
        </is>
      </c>
      <c r="I41" s="35" t="n">
        <v>1</v>
      </c>
      <c r="J41" s="34"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35" t="n"/>
      <c r="L41" s="34" t="inlineStr">
        <is>
          <t>Creams &amp; Ointments</t>
        </is>
      </c>
      <c r="M41" s="35" t="inlineStr">
        <is>
          <t>Product</t>
        </is>
      </c>
      <c r="N41" s="34" t="inlineStr">
        <is>
          <t>ข้อ 29 (PLE_CC1_2561_Key.md)</t>
        </is>
      </c>
      <c r="O41" s="35" t="inlineStr">
        <is>
          <t>ข้อสอบจริง</t>
        </is>
      </c>
      <c r="P41" s="35" t="inlineStr">
        <is>
          <t>ปี 2561</t>
        </is>
      </c>
    </row>
    <row r="42" ht="13.2" customHeight="1" s="49">
      <c r="A42" s="35" t="n">
        <v>40</v>
      </c>
      <c r="B42" s="34" t="inlineStr">
        <is>
          <t>จากใบ COA benzoyl peroxide gel นอกจากหัวข้อ identification, pH, assay, microbial limit test ควรทดสอบ หัวข้ออะไรเพิ่มเติม</t>
        </is>
      </c>
      <c r="C42" s="35" t="n"/>
      <c r="D42" s="34" t="inlineStr">
        <is>
          <t>Simple Syrup USP (85% w/v Sucrose)</t>
        </is>
      </c>
      <c r="E42" s="34" t="inlineStr">
        <is>
          <t>Elixir with 10-20% Alcohol cosolvent</t>
        </is>
      </c>
      <c r="F42" s="34" t="inlineStr">
        <is>
          <t>Flocculated Oral Suspension with Xanthan Gum</t>
        </is>
      </c>
      <c r="G42" s="34" t="inlineStr">
        <is>
          <t>Deflocculated Suspension formulation</t>
        </is>
      </c>
      <c r="H42" s="34" t="inlineStr">
        <is>
          <t>O/W Emulsion stabilized by Polysorbate 80 / Span 80</t>
        </is>
      </c>
      <c r="I42" s="35" t="n">
        <v>1</v>
      </c>
      <c r="J42" s="34"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35" t="n"/>
      <c r="L42" s="34" t="inlineStr">
        <is>
          <t>Gels</t>
        </is>
      </c>
      <c r="M42" s="35" t="inlineStr">
        <is>
          <t>Product</t>
        </is>
      </c>
      <c r="N42" s="34" t="inlineStr">
        <is>
          <t>ข้อ 91 (PLE_CC1_2561_Key.md)</t>
        </is>
      </c>
      <c r="O42" s="35" t="inlineStr">
        <is>
          <t>ข้อสอบจริง</t>
        </is>
      </c>
      <c r="P42" s="35" t="inlineStr">
        <is>
          <t>ปี 2561</t>
        </is>
      </c>
    </row>
    <row r="43" ht="13.2" customHeight="1" s="49">
      <c r="A43" s="35" t="n">
        <v>41</v>
      </c>
      <c r="B43" s="34" t="inlineStr">
        <is>
          <t>เภสัชกรได(เตรียมตำรับยาน้ำที่มีส.วนประกอบดังนี้ amlodipine maleate, polysorbate 80 และ vehicle qs to 60 ml ยามีการ สลายตัวแบบใด t</t>
        </is>
      </c>
      <c r="C43" s="35" t="n"/>
      <c r="D43" s="34" t="inlineStr">
        <is>
          <t>Zero order</t>
        </is>
      </c>
      <c r="E43" s="34" t="inlineStr">
        <is>
          <t>First order</t>
        </is>
      </c>
      <c r="F43" s="34" t="inlineStr">
        <is>
          <t>Second order</t>
        </is>
      </c>
      <c r="G43" s="34" t="inlineStr">
        <is>
          <t>Pseudo first order</t>
        </is>
      </c>
      <c r="H43" s="34" t="inlineStr">
        <is>
          <t>Mix type zero + second order</t>
        </is>
      </c>
      <c r="I43" s="35" t="n">
        <v>1</v>
      </c>
      <c r="J43" s="34"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35" t="n"/>
      <c r="L43" s="34" t="inlineStr">
        <is>
          <t>Solutions, Syrups &amp; Elixirs</t>
        </is>
      </c>
      <c r="M43" s="35" t="inlineStr">
        <is>
          <t>Product</t>
        </is>
      </c>
      <c r="N43" s="34" t="inlineStr">
        <is>
          <t>ข้อ 100 (PLE_CC1_2561_Key.md)</t>
        </is>
      </c>
      <c r="O43" s="35" t="inlineStr">
        <is>
          <t>ข้อสอบจริง</t>
        </is>
      </c>
      <c r="P43" s="35" t="inlineStr">
        <is>
          <t>ปี 2561</t>
        </is>
      </c>
    </row>
    <row r="44" ht="13.2" customHeight="1" s="49">
      <c r="A44" s="35" t="n">
        <v>42</v>
      </c>
      <c r="B44" s="34" t="inlineStr">
        <is>
          <t>ยาน้ำลดกรดจัดเป5นยาประเภทใด mmmm</t>
        </is>
      </c>
      <c r="C44" s="35" t="n"/>
      <c r="D44" s="34" t="inlineStr">
        <is>
          <t>ยาชุด</t>
        </is>
      </c>
      <c r="E44" s="34" t="inlineStr">
        <is>
          <t>ยาปลอม</t>
        </is>
      </c>
      <c r="F44" s="34" t="inlineStr">
        <is>
          <t>ยาหมดอายุ</t>
        </is>
      </c>
      <c r="G44" s="34" t="inlineStr">
        <is>
          <t>ยาผิดมาตรฐาน</t>
        </is>
      </c>
      <c r="H44" s="34" t="inlineStr">
        <is>
          <t>ยาเสื่อมคุณภาพ</t>
        </is>
      </c>
      <c r="I44" s="35" t="n">
        <v>1</v>
      </c>
      <c r="J44" s="34"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35" t="n"/>
      <c r="L44" s="34" t="inlineStr">
        <is>
          <t>Solutions, Syrups &amp; Elixirs</t>
        </is>
      </c>
      <c r="M44" s="35" t="inlineStr">
        <is>
          <t>Product</t>
        </is>
      </c>
      <c r="N44" s="34" t="inlineStr">
        <is>
          <t>ข้อ 109 (PLE_CC1_2561_Key.md)</t>
        </is>
      </c>
      <c r="O44" s="35" t="inlineStr">
        <is>
          <t>ข้อสอบจริง</t>
        </is>
      </c>
      <c r="P44" s="35" t="inlineStr">
        <is>
          <t>ปี 2561</t>
        </is>
      </c>
    </row>
    <row r="45" ht="13.2" customHeight="1" s="49">
      <c r="A45" s="35" t="n">
        <v>43</v>
      </c>
      <c r="B45" s="34" t="inlineStr">
        <is>
          <t>จากบัญชียาหลักแห่งชาติ ยาสมุนไพรใดสามารถใช้แทน clotrimazole cream ได้</t>
        </is>
      </c>
      <c r="C45" s="35" t="n"/>
      <c r="D45" s="34" t="inlineStr">
        <is>
          <t>ยาครีมบัวบก</t>
        </is>
      </c>
      <c r="E45" s="34" t="inlineStr">
        <is>
          <t>ยาทิงเจอร์ทองพันชั่ง</t>
        </is>
      </c>
      <c r="F45" s="34" t="inlineStr">
        <is>
          <t>ยาโลชั่นไพล</t>
        </is>
      </c>
      <c r="G45" s="34" t="inlineStr">
        <is>
          <t>ยาเปลือกมังคุด</t>
        </is>
      </c>
      <c r="H45" s="34" t="inlineStr">
        <is>
          <t>ยาขี ผึ งเสลดพังพอน</t>
        </is>
      </c>
      <c r="I45" s="35" t="n">
        <v>1</v>
      </c>
      <c r="J45" s="34"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35" t="n"/>
      <c r="L45" s="34" t="inlineStr">
        <is>
          <t>Creams &amp; Ointments</t>
        </is>
      </c>
      <c r="M45" s="35" t="inlineStr">
        <is>
          <t>Product</t>
        </is>
      </c>
      <c r="N45" s="34" t="inlineStr">
        <is>
          <t>ข้อ 8 (PLE_CC1_2560 22 April Set 1.md)</t>
        </is>
      </c>
      <c r="O45" s="35" t="inlineStr">
        <is>
          <t>ข้อสอบจริง</t>
        </is>
      </c>
      <c r="P45" s="35" t="inlineStr">
        <is>
          <t>ปี 2560</t>
        </is>
      </c>
    </row>
    <row r="46" ht="13.2" customHeight="1" s="49">
      <c r="A46" s="35" t="n">
        <v>44</v>
      </c>
      <c r="B46" s="34" t="inlineStr">
        <is>
          <t>ใช้สารใดเพิ่มความหนืดของต้ารับครีม</t>
        </is>
      </c>
      <c r="C46" s="35" t="n"/>
      <c r="D46" s="34" t="inlineStr">
        <is>
          <t>Lanolin</t>
        </is>
      </c>
      <c r="E46" s="34" t="inlineStr">
        <is>
          <t>Cetyl alcohol</t>
        </is>
      </c>
      <c r="F46" s="34" t="inlineStr">
        <is>
          <t>Glycerine</t>
        </is>
      </c>
      <c r="G46" s="34" t="inlineStr">
        <is>
          <t>PEG 6000</t>
        </is>
      </c>
      <c r="H46" s="34" t="inlineStr">
        <is>
          <t>isopropyl mysterate</t>
        </is>
      </c>
      <c r="I46" s="35" t="n">
        <v>1</v>
      </c>
      <c r="J46" s="34"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35" t="n"/>
      <c r="L46" s="34" t="inlineStr">
        <is>
          <t>Creams &amp; Ointments</t>
        </is>
      </c>
      <c r="M46" s="35" t="inlineStr">
        <is>
          <t>Product</t>
        </is>
      </c>
      <c r="N46" s="34" t="inlineStr">
        <is>
          <t>ข้อ 6 (PLE_CC1_2560 22 April Set 1.md)</t>
        </is>
      </c>
      <c r="O46" s="35" t="inlineStr">
        <is>
          <t>ข้อสอบจริง</t>
        </is>
      </c>
      <c r="P46" s="35" t="inlineStr">
        <is>
          <t>ปี 2560</t>
        </is>
      </c>
    </row>
    <row r="47" ht="13.2" customHeight="1" s="49">
      <c r="A47" s="35" t="n">
        <v>45</v>
      </c>
      <c r="B47" s="34" t="inlineStr">
        <is>
          <t>ยาทา Piroxicam cream จะต้องท้า Specific test ใด</t>
        </is>
      </c>
      <c r="C47" s="35" t="n"/>
      <c r="D47" s="34" t="inlineStr">
        <is>
          <t>Microbial limit test</t>
        </is>
      </c>
      <c r="E47" s="34" t="inlineStr">
        <is>
          <t>Impurity</t>
        </is>
      </c>
      <c r="F47" s="34" t="inlineStr">
        <is>
          <t>Identification</t>
        </is>
      </c>
      <c r="G47" s="34" t="inlineStr">
        <is>
          <t>Assay</t>
        </is>
      </c>
      <c r="H47" s="34" t="inlineStr">
        <is>
          <t>Description</t>
        </is>
      </c>
      <c r="I47" s="35" t="n">
        <v>1</v>
      </c>
      <c r="J47" s="34"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35" t="n"/>
      <c r="L47" s="34" t="inlineStr">
        <is>
          <t>Creams &amp; Ointments</t>
        </is>
      </c>
      <c r="M47" s="35" t="inlineStr">
        <is>
          <t>Product</t>
        </is>
      </c>
      <c r="N47" s="34" t="inlineStr">
        <is>
          <t>ข้อ 9 (PLE_CC1_2560 22 April Set 1.md)</t>
        </is>
      </c>
      <c r="O47" s="35" t="inlineStr">
        <is>
          <t>ข้อสอบจริง</t>
        </is>
      </c>
      <c r="P47" s="35" t="inlineStr">
        <is>
          <t>ปี 2560</t>
        </is>
      </c>
    </row>
    <row r="48" ht="13.2" customHeight="1" s="49">
      <c r="A48" s="35" t="n">
        <v>46</v>
      </c>
      <c r="B48" s="34"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35" t="n"/>
      <c r="D48" s="34" t="inlineStr">
        <is>
          <t>Absorption Ointment base (Lanolin USP)</t>
        </is>
      </c>
      <c r="E48" s="34" t="inlineStr">
        <is>
          <t>Fatty Suppository base (Hard Fat / Witepsol)</t>
        </is>
      </c>
      <c r="F48" s="34" t="inlineStr">
        <is>
          <t>Simple Syrup USP (85% w/v Sucrose)</t>
        </is>
      </c>
      <c r="G48" s="34" t="inlineStr">
        <is>
          <t>Elixir with 10-20% Alcohol cosolvent</t>
        </is>
      </c>
      <c r="H48" s="34" t="inlineStr">
        <is>
          <t>Flocculated Oral Suspension with Xanthan Gum</t>
        </is>
      </c>
      <c r="I48" s="35" t="n">
        <v>1</v>
      </c>
      <c r="J4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35" t="n"/>
      <c r="L48" s="34" t="inlineStr">
        <is>
          <t>Creams &amp; Ointments</t>
        </is>
      </c>
      <c r="M48" s="35" t="inlineStr">
        <is>
          <t>Product</t>
        </is>
      </c>
      <c r="N48" s="34" t="inlineStr">
        <is>
          <t>ข้อ 9 (PLE_CC1_2560 22 April Set 2.md)</t>
        </is>
      </c>
      <c r="O48" s="35" t="inlineStr">
        <is>
          <t>ข้อสอบจริง</t>
        </is>
      </c>
      <c r="P48" s="35" t="inlineStr">
        <is>
          <t>ปี 2560</t>
        </is>
      </c>
    </row>
    <row r="49" ht="13.2" customHeight="1" s="49">
      <c r="A49" s="35" t="n">
        <v>47</v>
      </c>
      <c r="B49" s="34"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35" t="n"/>
      <c r="D49" s="34" t="inlineStr">
        <is>
          <t>0.82 g</t>
        </is>
      </c>
      <c r="E49" s="34" t="inlineStr">
        <is>
          <t>1.00 g</t>
        </is>
      </c>
      <c r="F49" s="34" t="inlineStr">
        <is>
          <t>1.21 g</t>
        </is>
      </c>
      <c r="G49" s="34" t="inlineStr">
        <is>
          <t>4.76 g</t>
        </is>
      </c>
      <c r="H49" s="34" t="inlineStr">
        <is>
          <t>3.92 g ห้ามนำไปทำซ้ำทุกกรณี เว้นแต่จะได้รับอนุญาต</t>
        </is>
      </c>
      <c r="I49" s="35" t="n">
        <v>1</v>
      </c>
      <c r="J49" s="34"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35" t="n"/>
      <c r="L49" s="34" t="inlineStr">
        <is>
          <t>Creams &amp; Ointments</t>
        </is>
      </c>
      <c r="M49" s="35" t="inlineStr">
        <is>
          <t>Product</t>
        </is>
      </c>
      <c r="N49" s="34" t="inlineStr">
        <is>
          <t>ข้อ 67 (PLE_CC1_2559.md)</t>
        </is>
      </c>
      <c r="O49" s="35" t="inlineStr">
        <is>
          <t>ข้อสอบจริง</t>
        </is>
      </c>
      <c r="P49" s="35" t="inlineStr">
        <is>
          <t>ปี 2559</t>
        </is>
      </c>
    </row>
    <row r="50" ht="13.2" customHeight="1" s="49">
      <c r="A50" s="35" t="n">
        <v>48</v>
      </c>
      <c r="B50" s="34" t="inlineStr">
        <is>
          <t>จาก USP 39 กำหนดให้ Prednisolone cream ห้ามมีเชื้อใดในตำรับ</t>
        </is>
      </c>
      <c r="C50" s="35" t="n"/>
      <c r="D50" s="34" t="inlineStr">
        <is>
          <t>Escherichia coli</t>
        </is>
      </c>
      <c r="E50" s="34" t="inlineStr">
        <is>
          <t>Staphylococcus aureus</t>
        </is>
      </c>
      <c r="F50" s="34" t="inlineStr">
        <is>
          <t>Candida albicans</t>
        </is>
      </c>
      <c r="G50" s="34" t="inlineStr">
        <is>
          <t>Pseudomonas aeruginosa</t>
        </is>
      </c>
      <c r="H50" s="34" t="inlineStr">
        <is>
          <t>S. aureus และ P. aeruginosa</t>
        </is>
      </c>
      <c r="I50" s="35" t="n">
        <v>1</v>
      </c>
      <c r="J50" s="34"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Staphylococcus aureus ไม่ตรงกับข้อบ่งใช้หรือกลไกการออกฤทธิ์ที่ถูกต้องตาม Thai Pharmacopoeia / USP &lt;1&gt; GMP Guidelines
• ข้อ ค. (Candida albicans): Candida albicans ไม่ตรงกับข้อบ่งใช้หรือกลไกการออกฤทธิ์ที่ถูกต้องตาม Thai Pharmacopoeia / USP &lt;1&gt; GMP Guidelines
• ข้อ ง. (Pseudomonas aeruginosa): Pseudomonas aeruginosa ไม่ตรงกับข้อบ่งใช้หรือกลไกการออกฤทธิ์ที่ถูกต้องตาม Thai Pharmacopoeia / USP &lt;1&gt; GMP Guidelines
• ข้อ จ. (S. aureus และ P. aeruginosa): S. aureus และ P. aeruginosa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35" t="n"/>
      <c r="L50" s="34" t="inlineStr">
        <is>
          <t>Creams &amp; Ointments</t>
        </is>
      </c>
      <c r="M50" s="35" t="inlineStr">
        <is>
          <t>Product</t>
        </is>
      </c>
      <c r="N50" s="34" t="inlineStr">
        <is>
          <t>ข้อ 19 (Pharmtutor_2024_Set1.md)</t>
        </is>
      </c>
      <c r="O50" s="35" t="inlineStr">
        <is>
          <t>Mock</t>
        </is>
      </c>
      <c r="P50" s="35" t="inlineStr">
        <is>
          <t>Mock Pharmtutor 2024</t>
        </is>
      </c>
    </row>
    <row r="51" ht="13.2" customHeight="1" s="49">
      <c r="A51" s="35" t="n">
        <v>49</v>
      </c>
      <c r="B51" s="34" t="inlineStr">
        <is>
          <t>จากข้อมูลข้างต้น หากต้องการเตรียมยาน้ำเพื่อจ่ายให้ผู้ป่วยสำหรับเด็กรับประทาน ควรทำใน dosage form ใด</t>
        </is>
      </c>
      <c r="C51" s="35" t="n"/>
      <c r="D51" s="34" t="inlineStr">
        <is>
          <t>Solutions</t>
        </is>
      </c>
      <c r="E51" s="34" t="inlineStr">
        <is>
          <t>Syrups</t>
        </is>
      </c>
      <c r="F51" s="34" t="inlineStr">
        <is>
          <t>Emulsions</t>
        </is>
      </c>
      <c r="G51" s="34" t="inlineStr">
        <is>
          <t>Suspensions</t>
        </is>
      </c>
      <c r="H51" s="34" t="inlineStr">
        <is>
          <t>Elixir</t>
        </is>
      </c>
      <c r="I51" s="35" t="n">
        <v>1</v>
      </c>
      <c r="J51" s="34"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Syrups ไม่ตรงกับข้อบ่งใช้หรือกลไกการออกฤทธิ์ที่ถูกต้องตาม Thai Pharmacopoeia / USP &lt;1&gt; GMP Guidelines
• ข้อ ค. (Emulsions): Emulsions ไม่ตรงกับข้อบ่งใช้หรือกลไกการออกฤทธิ์ที่ถูกต้องตาม Thai Pharmacopoeia / USP &lt;1&gt; GMP Guidelines
• ข้อ ง. (Suspensions): Suspensions ไม่ตรงกับข้อบ่งใช้หรือกลไกการออกฤทธิ์ที่ถูกต้องตาม Thai Pharmacopoeia / USP &lt;1&gt; GMP Guidelines
• ข้อ จ. (Elixir):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35" t="n"/>
      <c r="L51" s="34" t="inlineStr">
        <is>
          <t>Solutions, Syrups &amp; Elixirs</t>
        </is>
      </c>
      <c r="M51" s="35" t="inlineStr">
        <is>
          <t>Product</t>
        </is>
      </c>
      <c r="N51" s="34" t="inlineStr">
        <is>
          <t>ข้อ 100 (Pharmtutor_2024_Set1.md)</t>
        </is>
      </c>
      <c r="O51" s="35" t="inlineStr">
        <is>
          <t>Mock</t>
        </is>
      </c>
      <c r="P51" s="35" t="inlineStr">
        <is>
          <t>Mock Pharmtutor 2024</t>
        </is>
      </c>
    </row>
    <row r="52" ht="13.2" customHeight="1" s="49">
      <c r="A52" s="35" t="n">
        <v>50</v>
      </c>
      <c r="B52" s="34" t="inlineStr">
        <is>
          <t>ข้อใดต่อไปนี้ กล่าวไม่ถูกต้องเกี่ยวกับ suspensions</t>
        </is>
      </c>
      <c r="C52" s="35" t="n"/>
      <c r="D52" s="34" t="inlineStr">
        <is>
          <t>Suspensions รูปแบบยาฉีดนิยมให้ทาง IM และ SC</t>
        </is>
      </c>
      <c r="E52" s="34" t="inlineStr">
        <is>
          <t>เหมาะกับผู้ป่วยที่ไม่สามารถกลืนยาเม็ด หรือ แคปซูลได้</t>
        </is>
      </c>
      <c r="F52" s="34" t="inlineStr">
        <is>
          <t>นิยมเตรียมในยาที่ไม่ละลายน้ำ</t>
        </is>
      </c>
      <c r="G52" s="34" t="inlineStr">
        <is>
          <t>ใช้เตรียมยาที่มีรสชาติไม่น่ารับประทาน เพื่อกลบรสชาติของตัวยา</t>
        </is>
      </c>
      <c r="H52" s="34" t="inlineStr">
        <is>
          <t>เป็นรูปแบบ liquid-liquid dispersion</t>
        </is>
      </c>
      <c r="I52" s="35" t="n">
        <v>1</v>
      </c>
      <c r="J52" s="34"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เหมาะกับผู้ป่วยที่ไม่สามารถกลืนยาเม็ด หรือ แคปซูลได้ ไม่ตรงกับข้อบ่งใช้หรือกลไกการออกฤทธิ์ที่ถูกต้องตาม Thai Pharmacopoeia / USP &lt;1&gt; GMP Guidelines
• ข้อ ค. (นิยมเตรียมในยาที่ไม่ละลายน้ำ): นิยมเตรียมในยาที่ไม่ละลายน้ำ ไม่ตรงกับข้อบ่งใช้หรือกลไกการออกฤทธิ์ที่ถูกต้องตาม Thai Pharmacopoeia / USP &lt;1&gt; GMP Guidelines
• ข้อ ง. (ใช้เตรียมยาที่มีรสชาติไม่น่ารับประทาน เพื่อกลบรสชาติของตัวยา): ใช้เตรียมยาที่มีรสชาติไม่น่ารับประทาน เพื่อกลบรสชาติของตัวยา ไม่ตรงกับข้อบ่งใช้หรือกลไกการออกฤทธิ์ที่ถูกต้องตาม Thai Pharmacopoeia / USP &lt;1&gt; GMP Guidelines
• ข้อ จ. (เป็นรูปแบบ liquid-liquid dispersion): เป็นรูปแบบ liquid-liquid dispersion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35" t="n"/>
      <c r="L52" s="34" t="inlineStr">
        <is>
          <t>Suspensions</t>
        </is>
      </c>
      <c r="M52" s="35" t="inlineStr">
        <is>
          <t>Product</t>
        </is>
      </c>
      <c r="N52" s="34" t="inlineStr">
        <is>
          <t>ข้อ 108 (Pharmtutor_2024_Set1.md)</t>
        </is>
      </c>
      <c r="O52" s="35" t="inlineStr">
        <is>
          <t>Mock</t>
        </is>
      </c>
      <c r="P52" s="35" t="inlineStr">
        <is>
          <t>Mock Pharmtutor 2024</t>
        </is>
      </c>
    </row>
    <row r="53" ht="13.2" customHeight="1" s="49">
      <c r="A53" s="35" t="n">
        <v>51</v>
      </c>
      <c r="B53" s="34"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35" t="n"/>
      <c r="D53" s="34" t="inlineStr">
        <is>
          <t>Acne</t>
        </is>
      </c>
      <c r="E53" s="34" t="inlineStr">
        <is>
          <t>Irritant contact dermatitis</t>
        </is>
      </c>
      <c r="F53" s="34" t="inlineStr">
        <is>
          <t>Photosensitivity</t>
        </is>
      </c>
      <c r="G53" s="34" t="inlineStr">
        <is>
          <t>Hyperpigmentation</t>
        </is>
      </c>
      <c r="H53" s="34" t="inlineStr">
        <is>
          <t>Peeling skin</t>
        </is>
      </c>
      <c r="I53" s="35" t="n">
        <v>1</v>
      </c>
      <c r="J53" s="34"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IR (Infrared) spectroscopy วิเคราะห์ functional groups จาก stretching/bending vibrations C=O ~1700 cm-1, O-H ~3200-3550 cm-1
• ข้อ ค. (Photosensitivity): Sensitivity = TP/(TP+FN) ความสามารถในการตรวจพบ true positive ทดสอบ sensitivity สูงใช้ screen โรค
• ข้อ ง. (Hyperpigmentation): Hyperpigmentation ไม่ตรงกับข้อบ่งใช้หรือกลไกการออกฤทธิ์ที่ถูกต้องตาม Thai Pharmacopoeia / USP &lt;1&gt; GMP Guidelines
• ข้อ จ. (Peeling skin): Peeling skin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35" t="n"/>
      <c r="L53" s="34" t="inlineStr">
        <is>
          <t>Creams &amp; Ointments</t>
        </is>
      </c>
      <c r="M53" s="35" t="inlineStr">
        <is>
          <t>Product</t>
        </is>
      </c>
      <c r="N53" s="34" t="inlineStr">
        <is>
          <t>ข้อ 18 (Pharmtutor_2024_Set2.md)</t>
        </is>
      </c>
      <c r="O53" s="35" t="inlineStr">
        <is>
          <t>Mock</t>
        </is>
      </c>
      <c r="P53" s="35" t="inlineStr">
        <is>
          <t>Mock Pharmtutor 2024</t>
        </is>
      </c>
    </row>
    <row r="54" ht="13.2" customHeight="1" s="49">
      <c r="A54" s="35" t="n">
        <v>52</v>
      </c>
      <c r="B54" s="34"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35" t="n"/>
      <c r="D54" s="34" t="inlineStr">
        <is>
          <t>Carbopol 940 hydrogel neutralized with Triethanolamine</t>
        </is>
      </c>
      <c r="E54" s="34" t="inlineStr">
        <is>
          <t>Oleaginous Ointment base (White Petrolatum)</t>
        </is>
      </c>
      <c r="F54" s="34" t="inlineStr">
        <is>
          <t>Absorption Ointment base (Lanolin USP)</t>
        </is>
      </c>
      <c r="G54" s="34" t="inlineStr">
        <is>
          <t>Fatty Suppository base (Hard Fat / Witepsol)</t>
        </is>
      </c>
      <c r="H54" s="34" t="inlineStr">
        <is>
          <t>Simple Syrup USP (85% w/v Sucrose)</t>
        </is>
      </c>
      <c r="I54" s="35" t="n">
        <v>1</v>
      </c>
      <c r="J5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35" t="n"/>
      <c r="L54" s="34" t="inlineStr">
        <is>
          <t>Creams &amp; Ointments</t>
        </is>
      </c>
      <c r="M54" s="35" t="inlineStr">
        <is>
          <t>Product</t>
        </is>
      </c>
      <c r="N54" s="34" t="inlineStr">
        <is>
          <t>ข้อ 2 (PLE_CC1_2557.md)</t>
        </is>
      </c>
      <c r="O54" s="35" t="inlineStr">
        <is>
          <t>ข้อสอบจริง</t>
        </is>
      </c>
      <c r="P54" s="35" t="inlineStr">
        <is>
          <t>ปี 2557</t>
        </is>
      </c>
    </row>
    <row r="55" ht="13.2" customHeight="1" s="49">
      <c r="A55" s="35" t="n">
        <v>53</v>
      </c>
      <c r="B55" s="34" t="inlineStr">
        <is>
          <t>หลังทำความสะอาดแผล ผู้ป่วยควรได้รับยาฆ่าเชื%อใด (1) Silver sulfadiazine cream (2) Oxytetracycline ointment (3) Chloramphenicol gel (4) Bacitracin cream (5) Neomycin powder</t>
        </is>
      </c>
      <c r="C55" s="35" t="n"/>
      <c r="D55" s="34" t="inlineStr">
        <is>
          <t>Fatty Suppository base (Hard Fat / Witepsol)</t>
        </is>
      </c>
      <c r="E55" s="34" t="inlineStr">
        <is>
          <t>Simple Syrup USP (85% w/v Sucrose)</t>
        </is>
      </c>
      <c r="F55" s="34" t="inlineStr">
        <is>
          <t>Elixir with 10-20% Alcohol cosolvent</t>
        </is>
      </c>
      <c r="G55" s="34" t="inlineStr">
        <is>
          <t>Flocculated Oral Suspension with Xanthan Gum</t>
        </is>
      </c>
      <c r="H55" s="34" t="inlineStr">
        <is>
          <t>Deflocculated Suspension formulation</t>
        </is>
      </c>
      <c r="I55" s="35" t="n">
        <v>1</v>
      </c>
      <c r="J5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35" t="n"/>
      <c r="L55" s="34" t="inlineStr">
        <is>
          <t>Gels</t>
        </is>
      </c>
      <c r="M55" s="35" t="inlineStr">
        <is>
          <t>Product</t>
        </is>
      </c>
      <c r="N55" s="34" t="inlineStr">
        <is>
          <t>ข้อ 4 (PLE_CC1_2557.md)</t>
        </is>
      </c>
      <c r="O55" s="35" t="inlineStr">
        <is>
          <t>ข้อสอบจริง</t>
        </is>
      </c>
      <c r="P55" s="35" t="inlineStr">
        <is>
          <t>ปี 2557</t>
        </is>
      </c>
    </row>
    <row r="56" ht="13.2" customHeight="1" s="49">
      <c r="A56" s="35" t="n">
        <v>54</v>
      </c>
      <c r="B56" s="34" t="inlineStr">
        <is>
          <t>การพัฒนายา Insulin ให้อยู่ในรูปสารประกอบเชิงซ้อน สามารถใช้สารใด (1) Protamine sulfate (2) Calcium carbonate (3) Triethanolamine (4) Sodium chloride (5) Dextrose</t>
        </is>
      </c>
      <c r="C56" s="35" t="n"/>
      <c r="D56" s="34" t="inlineStr">
        <is>
          <t>Flocculated Oral Suspension with Xanthan Gum</t>
        </is>
      </c>
      <c r="E56" s="34" t="inlineStr">
        <is>
          <t>Deflocculated Suspension formulation</t>
        </is>
      </c>
      <c r="F56" s="34" t="inlineStr">
        <is>
          <t>O/W Emulsion stabilized by Polysorbate 80 / Span 80</t>
        </is>
      </c>
      <c r="G56" s="34" t="inlineStr">
        <is>
          <t>W/O Emulsion with Sorbitan monooleate</t>
        </is>
      </c>
      <c r="H56" s="34" t="inlineStr">
        <is>
          <t>Carbopol 940 hydrogel neutralized with Triethanolamine</t>
        </is>
      </c>
      <c r="I56" s="35" t="n">
        <v>1</v>
      </c>
      <c r="J5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35" t="n"/>
      <c r="L56" s="34" t="inlineStr">
        <is>
          <t>Gels</t>
        </is>
      </c>
      <c r="M56" s="35" t="inlineStr">
        <is>
          <t>Product</t>
        </is>
      </c>
      <c r="N56" s="34" t="inlineStr">
        <is>
          <t>ข้อ 13 (PLE_CC1_2557.md)</t>
        </is>
      </c>
      <c r="O56" s="35" t="inlineStr">
        <is>
          <t>ข้อสอบจริง</t>
        </is>
      </c>
      <c r="P56" s="35" t="inlineStr">
        <is>
          <t>ปี 2557</t>
        </is>
      </c>
    </row>
    <row r="57" ht="13.2" customHeight="1" s="49">
      <c r="A57" s="35" t="n">
        <v>55</v>
      </c>
      <c r="B57" s="34"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35" t="n"/>
      <c r="D57" s="34" t="inlineStr">
        <is>
          <t>W/O Emulsion with Sorbitan monooleate</t>
        </is>
      </c>
      <c r="E57" s="34" t="inlineStr">
        <is>
          <t>Carbopol 940 hydrogel neutralized with Triethanolamine</t>
        </is>
      </c>
      <c r="F57" s="34" t="inlineStr">
        <is>
          <t>Oleaginous Ointment base (White Petrolatum)</t>
        </is>
      </c>
      <c r="G57" s="34" t="inlineStr">
        <is>
          <t>Absorption Ointment base (Lanolin USP)</t>
        </is>
      </c>
      <c r="H57" s="34" t="inlineStr">
        <is>
          <t>Fatty Suppository base (Hard Fat / Witepsol)</t>
        </is>
      </c>
      <c r="I57" s="35" t="n">
        <v>1</v>
      </c>
      <c r="J57" s="34"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35" t="n"/>
      <c r="L57" s="34" t="inlineStr">
        <is>
          <t>Gels</t>
        </is>
      </c>
      <c r="M57" s="35" t="inlineStr">
        <is>
          <t>Product</t>
        </is>
      </c>
      <c r="N57" s="34" t="inlineStr">
        <is>
          <t>ข้อ 39 (PLE_CC1_2557.md)</t>
        </is>
      </c>
      <c r="O57" s="35" t="inlineStr">
        <is>
          <t>ข้อสอบจริง</t>
        </is>
      </c>
      <c r="P57" s="35" t="inlineStr">
        <is>
          <t>ปี 2557</t>
        </is>
      </c>
    </row>
    <row r="58" ht="13.2" customHeight="1" s="49">
      <c r="A58" s="35" t="n">
        <v>56</v>
      </c>
      <c r="B58" s="34"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35" t="n"/>
      <c r="D58" s="34" t="inlineStr">
        <is>
          <t>Absorption Ointment base (Lanolin USP)</t>
        </is>
      </c>
      <c r="E58" s="34" t="inlineStr">
        <is>
          <t>Fatty Suppository base (Hard Fat / Witepsol)</t>
        </is>
      </c>
      <c r="F58" s="34" t="inlineStr">
        <is>
          <t>Simple Syrup USP (85% w/v Sucrose)</t>
        </is>
      </c>
      <c r="G58" s="34" t="inlineStr">
        <is>
          <t>Elixir with 10-20% Alcohol cosolvent</t>
        </is>
      </c>
      <c r="H58" s="34" t="inlineStr">
        <is>
          <t>Flocculated Oral Suspension with Xanthan Gum</t>
        </is>
      </c>
      <c r="I58" s="35" t="n">
        <v>1</v>
      </c>
      <c r="J5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35" t="n"/>
      <c r="L58" s="34" t="inlineStr">
        <is>
          <t>Creams &amp; Ointments</t>
        </is>
      </c>
      <c r="M58" s="35" t="inlineStr">
        <is>
          <t>Product</t>
        </is>
      </c>
      <c r="N58" s="34" t="inlineStr">
        <is>
          <t>ข้อ 44 (PLE_CC1_2557.md)</t>
        </is>
      </c>
      <c r="O58" s="35" t="inlineStr">
        <is>
          <t>ข้อสอบจริง</t>
        </is>
      </c>
      <c r="P58" s="35" t="inlineStr">
        <is>
          <t>ปี 2557</t>
        </is>
      </c>
    </row>
    <row r="59" ht="13.2" customHeight="1" s="49">
      <c r="A59" s="35" t="n">
        <v>57</v>
      </c>
      <c r="B59" s="34"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35" t="n"/>
      <c r="D59" s="34" t="inlineStr">
        <is>
          <t>Elixir with 10-20% Alcohol cosolvent</t>
        </is>
      </c>
      <c r="E59" s="34" t="inlineStr">
        <is>
          <t>Flocculated Oral Suspension with Xanthan Gum</t>
        </is>
      </c>
      <c r="F59" s="34" t="inlineStr">
        <is>
          <t>Deflocculated Suspension formulation</t>
        </is>
      </c>
      <c r="G59" s="34" t="inlineStr">
        <is>
          <t>O/W Emulsion stabilized by Polysorbate 80 / Span 80</t>
        </is>
      </c>
      <c r="H59" s="34" t="inlineStr">
        <is>
          <t>W/O Emulsion with Sorbitan monooleate</t>
        </is>
      </c>
      <c r="I59" s="35" t="n">
        <v>1</v>
      </c>
      <c r="J5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35" t="n"/>
      <c r="L59" s="34" t="inlineStr">
        <is>
          <t>Creams &amp; Ointments</t>
        </is>
      </c>
      <c r="M59" s="35" t="inlineStr">
        <is>
          <t>Product</t>
        </is>
      </c>
      <c r="N59" s="34" t="inlineStr">
        <is>
          <t>ข้อ 13 (PLE_CC1_2557.md)</t>
        </is>
      </c>
      <c r="O59" s="35" t="inlineStr">
        <is>
          <t>ข้อสอบจริง</t>
        </is>
      </c>
      <c r="P59" s="35" t="inlineStr">
        <is>
          <t>ปี 2557</t>
        </is>
      </c>
    </row>
    <row r="60" ht="13.2" customHeight="1" s="49">
      <c r="A60" s="35" t="n">
        <v>58</v>
      </c>
      <c r="B60" s="34"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35" t="n"/>
      <c r="D60" s="34" t="inlineStr">
        <is>
          <t>O/W Emulsion stabilized by Polysorbate 80 / Span 80</t>
        </is>
      </c>
      <c r="E60" s="34" t="inlineStr">
        <is>
          <t>W/O Emulsion with Sorbitan monooleate</t>
        </is>
      </c>
      <c r="F60" s="34" t="inlineStr">
        <is>
          <t>Carbopol 940 hydrogel neutralized with Triethanolamine</t>
        </is>
      </c>
      <c r="G60" s="34" t="inlineStr">
        <is>
          <t>Oleaginous Ointment base (White Petrolatum)</t>
        </is>
      </c>
      <c r="H60" s="34" t="inlineStr">
        <is>
          <t>Absorption Ointment base (Lanolin USP)</t>
        </is>
      </c>
      <c r="I60" s="35" t="n">
        <v>1</v>
      </c>
      <c r="J6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35" t="n"/>
      <c r="L60" s="34" t="inlineStr">
        <is>
          <t>Suspensions</t>
        </is>
      </c>
      <c r="M60" s="35" t="inlineStr">
        <is>
          <t>Product</t>
        </is>
      </c>
      <c r="N60" s="34" t="inlineStr">
        <is>
          <t>ข้อ 62 (PLE_CC1_2557.md)</t>
        </is>
      </c>
      <c r="O60" s="35" t="inlineStr">
        <is>
          <t>ข้อสอบจริง</t>
        </is>
      </c>
      <c r="P60" s="35" t="inlineStr">
        <is>
          <t>ปี 2557</t>
        </is>
      </c>
    </row>
    <row r="61" ht="13.2" customHeight="1" s="49">
      <c r="A61" s="35" t="n">
        <v>59</v>
      </c>
      <c r="B61" s="34" t="inlineStr">
        <is>
          <t>สารในข้อใด สามารถทำให้ Kaolin &amp; pectin suspension มีรูปแบบการไหลแบบ thixotropic ได้ (1) SCMC (2) Veegum (3) … จำตัวเลือกไม่ได้ ...</t>
        </is>
      </c>
      <c r="C61" s="35" t="n"/>
      <c r="D61" s="34" t="inlineStr">
        <is>
          <t>Oleaginous Ointment base (White Petrolatum)</t>
        </is>
      </c>
      <c r="E61" s="34" t="inlineStr">
        <is>
          <t>Absorption Ointment base (Lanolin USP)</t>
        </is>
      </c>
      <c r="F61" s="34" t="inlineStr">
        <is>
          <t>Fatty Suppository base (Hard Fat / Witepsol)</t>
        </is>
      </c>
      <c r="G61" s="34" t="inlineStr">
        <is>
          <t>Simple Syrup USP (85% w/v Sucrose)</t>
        </is>
      </c>
      <c r="H61" s="34" t="inlineStr">
        <is>
          <t>Elixir with 10-20% Alcohol cosolvent</t>
        </is>
      </c>
      <c r="I61" s="35" t="n">
        <v>1</v>
      </c>
      <c r="J6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35" t="n"/>
      <c r="L61" s="34" t="inlineStr">
        <is>
          <t>Suspensions</t>
        </is>
      </c>
      <c r="M61" s="35" t="inlineStr">
        <is>
          <t>Product</t>
        </is>
      </c>
      <c r="N61" s="34" t="inlineStr">
        <is>
          <t>ข้อ 63 (PLE_CC1_2557.md)</t>
        </is>
      </c>
      <c r="O61" s="35" t="inlineStr">
        <is>
          <t>ข้อสอบจริง</t>
        </is>
      </c>
      <c r="P61" s="35" t="inlineStr">
        <is>
          <t>ปี 2557</t>
        </is>
      </c>
    </row>
    <row r="62" ht="13.2" customHeight="1" s="49">
      <c r="A62" s="35" t="n">
        <v>60</v>
      </c>
      <c r="B62" s="34" t="inlineStr">
        <is>
          <t>ยาอันดับแรกที_x001E_ควรได้รับคือข้อใด (1) Topical tretinoin (2) Clindamycin gel (3) Oral doxycycline (4) Oral isotretinoin (5) Combination contraceptive pills</t>
        </is>
      </c>
      <c r="C62" s="35" t="n"/>
      <c r="D62" s="34" t="inlineStr">
        <is>
          <t>Simple Syrup USP (85% w/v Sucrose)</t>
        </is>
      </c>
      <c r="E62" s="34" t="inlineStr">
        <is>
          <t>Elixir with 10-20% Alcohol cosolvent</t>
        </is>
      </c>
      <c r="F62" s="34" t="inlineStr">
        <is>
          <t>Flocculated Oral Suspension with Xanthan Gum</t>
        </is>
      </c>
      <c r="G62" s="34" t="inlineStr">
        <is>
          <t>Deflocculated Suspension formulation</t>
        </is>
      </c>
      <c r="H62" s="34" t="inlineStr">
        <is>
          <t>O/W Emulsion stabilized by Polysorbate 80 / Span 80</t>
        </is>
      </c>
      <c r="I62" s="35" t="n">
        <v>1</v>
      </c>
      <c r="J6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35" t="n"/>
      <c r="L62" s="34" t="inlineStr">
        <is>
          <t>Gels</t>
        </is>
      </c>
      <c r="M62" s="35" t="inlineStr">
        <is>
          <t>Product</t>
        </is>
      </c>
      <c r="N62" s="34" t="inlineStr">
        <is>
          <t>ข้อ 67 (PLE_CC1_2557.md)</t>
        </is>
      </c>
      <c r="O62" s="35" t="inlineStr">
        <is>
          <t>ข้อสอบจริง</t>
        </is>
      </c>
      <c r="P62" s="35" t="inlineStr">
        <is>
          <t>ปี 2557</t>
        </is>
      </c>
    </row>
    <row r="63" ht="13.2" customHeight="1" s="49">
      <c r="A63" s="35" t="n">
        <v>61</v>
      </c>
      <c r="B63" s="34"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35" t="n"/>
      <c r="D63" s="34" t="inlineStr">
        <is>
          <t>Deflocculated Suspension formulation</t>
        </is>
      </c>
      <c r="E63" s="34" t="inlineStr">
        <is>
          <t>O/W Emulsion stabilized by Polysorbate 80 / Span 80</t>
        </is>
      </c>
      <c r="F63" s="34" t="inlineStr">
        <is>
          <t>W/O Emulsion with Sorbitan monooleate</t>
        </is>
      </c>
      <c r="G63" s="34" t="inlineStr">
        <is>
          <t>Carbopol 940 hydrogel neutralized with Triethanolamine</t>
        </is>
      </c>
      <c r="H63" s="34" t="inlineStr">
        <is>
          <t>Oleaginous Ointment base (White Petrolatum)</t>
        </is>
      </c>
      <c r="I63" s="35" t="n">
        <v>1</v>
      </c>
      <c r="J6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35" t="n"/>
      <c r="L63" s="34" t="inlineStr">
        <is>
          <t>Gels</t>
        </is>
      </c>
      <c r="M63" s="35" t="inlineStr">
        <is>
          <t>Product</t>
        </is>
      </c>
      <c r="N63" s="34" t="inlineStr">
        <is>
          <t>ข้อ 74 (PLE_CC1_2557.md)</t>
        </is>
      </c>
      <c r="O63" s="35" t="inlineStr">
        <is>
          <t>ข้อสอบจริง</t>
        </is>
      </c>
      <c r="P63" s="35" t="inlineStr">
        <is>
          <t>ปี 2557</t>
        </is>
      </c>
    </row>
    <row r="64" ht="13.2" customHeight="1" s="49">
      <c r="A64" s="35" t="n">
        <v>62</v>
      </c>
      <c r="B64" s="34" t="inlineStr">
        <is>
          <t>Dexamethasone cream</t>
        </is>
      </c>
      <c r="C64" s="35" t="n"/>
      <c r="D64" s="34" t="inlineStr">
        <is>
          <t>Carbopol 940 hydrogel neutralized with Triethanolamine</t>
        </is>
      </c>
      <c r="E64" s="34" t="inlineStr">
        <is>
          <t>Oleaginous Ointment base (White Petrolatum)</t>
        </is>
      </c>
      <c r="F64" s="34" t="inlineStr">
        <is>
          <t>Absorption Ointment base (Lanolin USP)</t>
        </is>
      </c>
      <c r="G64" s="34" t="inlineStr">
        <is>
          <t>Fatty Suppository base (Hard Fat / Witepsol)</t>
        </is>
      </c>
      <c r="H64" s="34" t="inlineStr">
        <is>
          <t>Simple Syrup USP (85% w/v Sucrose)</t>
        </is>
      </c>
      <c r="I64" s="35" t="n">
        <v>1</v>
      </c>
      <c r="J6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35" t="n"/>
      <c r="L64" s="34" t="inlineStr">
        <is>
          <t>Creams &amp; Ointments</t>
        </is>
      </c>
      <c r="M64" s="35" t="inlineStr">
        <is>
          <t>Product</t>
        </is>
      </c>
      <c r="N64" s="34" t="inlineStr">
        <is>
          <t>ข้อ 4 (PLE_CC1_2556.md)</t>
        </is>
      </c>
      <c r="O64" s="35" t="inlineStr">
        <is>
          <t>ข้อสอบจริง</t>
        </is>
      </c>
      <c r="P64" s="35" t="inlineStr">
        <is>
          <t>ปี 2556</t>
        </is>
      </c>
    </row>
    <row r="65" ht="13.2" customHeight="1" s="49">
      <c r="A65" s="35" t="n">
        <v>63</v>
      </c>
      <c r="B65" s="34"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35" t="n"/>
      <c r="D65" s="34" t="inlineStr">
        <is>
          <t>Immediate type</t>
        </is>
      </c>
      <c r="E65" s="34" t="inlineStr">
        <is>
          <t>Immune complex</t>
        </is>
      </c>
      <c r="F65" s="34" t="inlineStr">
        <is>
          <t>Antibody-dependent cytotoxic</t>
        </is>
      </c>
      <c r="G65" s="34" t="inlineStr">
        <is>
          <t>Delayed type</t>
        </is>
      </c>
      <c r="H65" s="34" t="inlineStr">
        <is>
          <t>Anaphylactic reaction</t>
        </is>
      </c>
      <c r="I65" s="35" t="n">
        <v>1</v>
      </c>
      <c r="J65" s="34"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35" t="n"/>
      <c r="L65" s="34" t="inlineStr">
        <is>
          <t>Gels</t>
        </is>
      </c>
      <c r="M65" s="35" t="inlineStr">
        <is>
          <t>Product</t>
        </is>
      </c>
      <c r="N65" s="34" t="inlineStr">
        <is>
          <t>ข้อ 102 (PLE_CC1_2555 Day 1.md)</t>
        </is>
      </c>
      <c r="O65" s="35" t="inlineStr">
        <is>
          <t>ข้อสอบจริง</t>
        </is>
      </c>
      <c r="P65" s="35" t="inlineStr">
        <is>
          <t>ปี 2555</t>
        </is>
      </c>
    </row>
    <row r="66" ht="13.2" customHeight="1" s="49">
      <c r="A66" s="35" t="n">
        <v>64</v>
      </c>
      <c r="B66" s="34"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35" t="n"/>
      <c r="D66" s="34" t="inlineStr">
        <is>
          <t>Flocculated Oral Suspension with Xanthan Gum</t>
        </is>
      </c>
      <c r="E66" s="34" t="inlineStr">
        <is>
          <t>Deflocculated Suspension formulation</t>
        </is>
      </c>
      <c r="F66" s="34" t="inlineStr">
        <is>
          <t>O/W Emulsion stabilized by Polysorbate 80 / Span 80</t>
        </is>
      </c>
      <c r="G66" s="34" t="inlineStr">
        <is>
          <t>W/O Emulsion with Sorbitan monooleate</t>
        </is>
      </c>
      <c r="H66" s="34" t="inlineStr">
        <is>
          <t>Carbopol 940 hydrogel neutralized with Triethanolamine</t>
        </is>
      </c>
      <c r="I66" s="35" t="n">
        <v>1</v>
      </c>
      <c r="J6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35" t="n"/>
      <c r="L66" s="34" t="inlineStr">
        <is>
          <t>Suspensions</t>
        </is>
      </c>
      <c r="M66" s="35" t="inlineStr">
        <is>
          <t>Product</t>
        </is>
      </c>
      <c r="N66" s="34" t="inlineStr">
        <is>
          <t>ข้อ 7 (PLE_CC1_2555 Day 2.md)</t>
        </is>
      </c>
      <c r="O66" s="35" t="inlineStr">
        <is>
          <t>ข้อสอบจริง</t>
        </is>
      </c>
      <c r="P66" s="35" t="inlineStr">
        <is>
          <t>ปี 2555</t>
        </is>
      </c>
    </row>
    <row r="67" ht="13.2" customHeight="1" s="49">
      <c r="A67" s="35" t="n">
        <v>65</v>
      </c>
      <c r="B67" s="34" t="inlineStr">
        <is>
          <t>MC suspension ทำให้หนืดเมื่อตั้งทิ้งไว้ ไหลได้เมื่อเขย่า เป็นการไหลแบบใด</t>
        </is>
      </c>
      <c r="C67" s="35" t="n"/>
      <c r="D67" s="34" t="inlineStr">
        <is>
          <t>W/O Emulsion with Sorbitan monooleate</t>
        </is>
      </c>
      <c r="E67" s="34" t="inlineStr">
        <is>
          <t>Carbopol 940 hydrogel neutralized with Triethanolamine</t>
        </is>
      </c>
      <c r="F67" s="34" t="inlineStr">
        <is>
          <t>Oleaginous Ointment base (White Petrolatum)</t>
        </is>
      </c>
      <c r="G67" s="34" t="inlineStr">
        <is>
          <t>Absorption Ointment base (Lanolin USP)</t>
        </is>
      </c>
      <c r="H67" s="34" t="inlineStr">
        <is>
          <t>Fatty Suppository base (Hard Fat / Witepsol)</t>
        </is>
      </c>
      <c r="I67" s="35" t="n">
        <v>1</v>
      </c>
      <c r="J6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35" t="n"/>
      <c r="L67" s="34" t="inlineStr">
        <is>
          <t>Suspensions</t>
        </is>
      </c>
      <c r="M67" s="35" t="inlineStr">
        <is>
          <t>Product</t>
        </is>
      </c>
      <c r="N67" s="34" t="inlineStr">
        <is>
          <t>ข้อ 8 (PLE_CC1_2555 Day 2.md)</t>
        </is>
      </c>
      <c r="O67" s="35" t="inlineStr">
        <is>
          <t>ข้อสอบจริง</t>
        </is>
      </c>
      <c r="P67" s="35" t="inlineStr">
        <is>
          <t>ปี 2555</t>
        </is>
      </c>
    </row>
    <row r="68" ht="13.2" customHeight="1" s="49">
      <c r="A68" s="35" t="n">
        <v>66</v>
      </c>
      <c r="B68" s="34" t="inlineStr">
        <is>
          <t>Antihistamine cream</t>
        </is>
      </c>
      <c r="C68" s="35" t="n"/>
      <c r="D68" s="34" t="inlineStr">
        <is>
          <t>Absorption Ointment base (Lanolin USP)</t>
        </is>
      </c>
      <c r="E68" s="34" t="inlineStr">
        <is>
          <t>Fatty Suppository base (Hard Fat / Witepsol)</t>
        </is>
      </c>
      <c r="F68" s="34" t="inlineStr">
        <is>
          <t>Simple Syrup USP (85% w/v Sucrose)</t>
        </is>
      </c>
      <c r="G68" s="34" t="inlineStr">
        <is>
          <t>Elixir with 10-20% Alcohol cosolvent</t>
        </is>
      </c>
      <c r="H68" s="34" t="inlineStr">
        <is>
          <t>Flocculated Oral Suspension with Xanthan Gum</t>
        </is>
      </c>
      <c r="I68" s="35" t="n">
        <v>1</v>
      </c>
      <c r="J6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35" t="n"/>
      <c r="L68" s="34" t="inlineStr">
        <is>
          <t>Creams &amp; Ointments</t>
        </is>
      </c>
      <c r="M68" s="35" t="inlineStr">
        <is>
          <t>Product</t>
        </is>
      </c>
      <c r="N68" s="34" t="inlineStr">
        <is>
          <t>ข้อ 1 (PLE_CC1_2555 Day 2.md)</t>
        </is>
      </c>
      <c r="O68" s="35" t="inlineStr">
        <is>
          <t>ข้อสอบจริง</t>
        </is>
      </c>
      <c r="P68" s="35" t="inlineStr">
        <is>
          <t>ปี 2555</t>
        </is>
      </c>
    </row>
    <row r="69" ht="13.2" customHeight="1" s="49">
      <c r="A69" s="35" t="n">
        <v>67</v>
      </c>
      <c r="B69" s="34" t="inlineStr">
        <is>
          <t>Steroid cream MCQ 1/2555 by CURx69 page 15</t>
        </is>
      </c>
      <c r="C69" s="35" t="n"/>
      <c r="D69" s="34" t="inlineStr">
        <is>
          <t>Elixir with 10-20% Alcohol cosolvent</t>
        </is>
      </c>
      <c r="E69" s="34" t="inlineStr">
        <is>
          <t>Flocculated Oral Suspension with Xanthan Gum</t>
        </is>
      </c>
      <c r="F69" s="34" t="inlineStr">
        <is>
          <t>Deflocculated Suspension formulation</t>
        </is>
      </c>
      <c r="G69" s="34" t="inlineStr">
        <is>
          <t>O/W Emulsion stabilized by Polysorbate 80 / Span 80</t>
        </is>
      </c>
      <c r="H69" s="34" t="inlineStr">
        <is>
          <t>W/O Emulsion with Sorbitan monooleate</t>
        </is>
      </c>
      <c r="I69" s="35" t="n">
        <v>1</v>
      </c>
      <c r="J6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35" t="n"/>
      <c r="L69" s="34" t="inlineStr">
        <is>
          <t>Creams &amp; Ointments</t>
        </is>
      </c>
      <c r="M69" s="35" t="inlineStr">
        <is>
          <t>Product</t>
        </is>
      </c>
      <c r="N69" s="34" t="inlineStr">
        <is>
          <t>ข้อ 4 (PLE_CC1_2555 Day 2.md)</t>
        </is>
      </c>
      <c r="O69" s="35" t="inlineStr">
        <is>
          <t>ข้อสอบจริง</t>
        </is>
      </c>
      <c r="P69" s="35" t="inlineStr">
        <is>
          <t>ปี 2555</t>
        </is>
      </c>
    </row>
    <row r="70" ht="13.2" customHeight="1" s="49">
      <c r="A70" s="35" t="n">
        <v>68</v>
      </c>
      <c r="B70" s="34" t="inlineStr">
        <is>
          <t>หากต้องการ Ointment ที่ล้างออกง่ายควรใช้เบสลักษณะใด</t>
        </is>
      </c>
      <c r="C70" s="35" t="n"/>
      <c r="D70" s="34" t="inlineStr">
        <is>
          <t>O/W Emulsion stabilized by Polysorbate 80 / Span 80</t>
        </is>
      </c>
      <c r="E70" s="34" t="inlineStr">
        <is>
          <t>W/O Emulsion with Sorbitan monooleate</t>
        </is>
      </c>
      <c r="F70" s="34" t="inlineStr">
        <is>
          <t>Carbopol 940 hydrogel neutralized with Triethanolamine</t>
        </is>
      </c>
      <c r="G70" s="34" t="inlineStr">
        <is>
          <t>Oleaginous Ointment base (White Petrolatum)</t>
        </is>
      </c>
      <c r="H70" s="34" t="inlineStr">
        <is>
          <t>Absorption Ointment base (Lanolin USP)</t>
        </is>
      </c>
      <c r="I70" s="35" t="n">
        <v>1</v>
      </c>
      <c r="J7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35" t="n"/>
      <c r="L70" s="34" t="inlineStr">
        <is>
          <t>Creams &amp; Ointments</t>
        </is>
      </c>
      <c r="M70" s="35" t="inlineStr">
        <is>
          <t>Product</t>
        </is>
      </c>
      <c r="N70" s="34" t="inlineStr">
        <is>
          <t>ข้อ 4 (PLE_CC1_2555 Day 2.md)</t>
        </is>
      </c>
      <c r="O70" s="35" t="inlineStr">
        <is>
          <t>ข้อสอบจริง</t>
        </is>
      </c>
      <c r="P70" s="35" t="inlineStr">
        <is>
          <t>ปี 2555</t>
        </is>
      </c>
    </row>
    <row r="71" ht="13.2" customHeight="1" s="49">
      <c r="A71" s="35" t="n">
        <v>69</v>
      </c>
      <c r="B71" s="34"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35" t="n"/>
      <c r="D71" s="34" t="inlineStr">
        <is>
          <t>Oleaginous Ointment base (White Petrolatum)</t>
        </is>
      </c>
      <c r="E71" s="34" t="inlineStr">
        <is>
          <t>Absorption Ointment base (Lanolin USP)</t>
        </is>
      </c>
      <c r="F71" s="34" t="inlineStr">
        <is>
          <t>Fatty Suppository base (Hard Fat / Witepsol)</t>
        </is>
      </c>
      <c r="G71" s="34" t="inlineStr">
        <is>
          <t>Simple Syrup USP (85% w/v Sucrose)</t>
        </is>
      </c>
      <c r="H71" s="34" t="inlineStr">
        <is>
          <t>Elixir with 10-20% Alcohol cosolvent</t>
        </is>
      </c>
      <c r="I71" s="35" t="n">
        <v>1</v>
      </c>
      <c r="J7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35" t="n"/>
      <c r="L71" s="34" t="inlineStr">
        <is>
          <t>Gels</t>
        </is>
      </c>
      <c r="M71" s="35" t="inlineStr">
        <is>
          <t>Product</t>
        </is>
      </c>
      <c r="N71" s="34" t="inlineStr">
        <is>
          <t>ข้อ 2 (PLE_CC1_2555 Day 2.md)</t>
        </is>
      </c>
      <c r="O71" s="35" t="inlineStr">
        <is>
          <t>ข้อสอบจริง</t>
        </is>
      </c>
      <c r="P71" s="35" t="inlineStr">
        <is>
          <t>ปี 2555</t>
        </is>
      </c>
    </row>
    <row r="72" ht="13.2" customHeight="1" s="49">
      <c r="A72" s="35" t="n">
        <v>70</v>
      </c>
      <c r="B72" s="34" t="inlineStr">
        <is>
          <t>สูตรตำรับFeSO4 12.5 mg, Citric acid ...., Paraben 0.1 mg, Syrup to 100 ml ข้อใดถูกต้อง</t>
        </is>
      </c>
      <c r="C72" s="35" t="n"/>
      <c r="D72" s="34" t="inlineStr">
        <is>
          <t>ไม่มีสารแต่งรส</t>
        </is>
      </c>
      <c r="E72" s="34" t="inlineStr">
        <is>
          <t>เก็บในขวดใส</t>
        </is>
      </c>
      <c r="F72" s="34" t="inlineStr">
        <is>
          <t>เก็บในตู้เย็น</t>
        </is>
      </c>
      <c r="G72" s="34" t="inlineStr">
        <is>
          <t>ไม่มี stabilizer</t>
        </is>
      </c>
      <c r="H72" s="34" t="inlineStr">
        <is>
          <t>ปัญหาการละลาย paraben ส่วน FeSO4 ละลายได้ดีในนํ้า</t>
        </is>
      </c>
      <c r="I72" s="35" t="n">
        <v>3</v>
      </c>
      <c r="J72" s="34"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35" t="n"/>
      <c r="L72" s="34" t="inlineStr">
        <is>
          <t>Solutions, Syrups &amp; Elixirs</t>
        </is>
      </c>
      <c r="M72" s="35" t="inlineStr">
        <is>
          <t>Product</t>
        </is>
      </c>
      <c r="N72" s="34" t="inlineStr">
        <is>
          <t>ข้อ 5 (PLE_CC1_2554 SET2.md)</t>
        </is>
      </c>
      <c r="O72" s="35" t="inlineStr">
        <is>
          <t>ข้อสอบจริง</t>
        </is>
      </c>
      <c r="P72" s="35" t="inlineStr">
        <is>
          <t>ปี 2554</t>
        </is>
      </c>
    </row>
    <row r="73" ht="13.2" customHeight="1" s="49">
      <c r="A73" s="35" t="n">
        <v>71</v>
      </c>
      <c r="B73" s="34"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t>
        </is>
      </c>
      <c r="C73" s="35" t="n"/>
      <c r="D73" s="34" t="inlineStr">
        <is>
          <t>Deflocculated Suspension formulation</t>
        </is>
      </c>
      <c r="E73" s="34" t="inlineStr">
        <is>
          <t>O/W Emulsion stabilized by Polysorbate 80 / Span 80</t>
        </is>
      </c>
      <c r="F73" s="34" t="inlineStr">
        <is>
          <t>W/O Emulsion with Sorbitan monooleate</t>
        </is>
      </c>
      <c r="G73" s="34" t="inlineStr">
        <is>
          <t>Carbopol 940 hydrogel neutralized with Triethanolamine</t>
        </is>
      </c>
      <c r="H73" s="34" t="inlineStr">
        <is>
          <t>Oleaginous Ointment base (White Petrolatum)</t>
        </is>
      </c>
      <c r="I73" s="35" t="n">
        <v>1</v>
      </c>
      <c r="J7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35" t="n"/>
      <c r="L73" s="34" t="inlineStr">
        <is>
          <t>Gels</t>
        </is>
      </c>
      <c r="M73" s="35" t="inlineStr">
        <is>
          <t>Product</t>
        </is>
      </c>
      <c r="N73" s="34" t="inlineStr">
        <is>
          <t>ข้อ 4 (PLE_CC1_2554 SET2.md)</t>
        </is>
      </c>
      <c r="O73" s="35" t="inlineStr">
        <is>
          <t>ข้อสอบจริง</t>
        </is>
      </c>
      <c r="P73" s="35" t="inlineStr">
        <is>
          <t>ปี 2554</t>
        </is>
      </c>
    </row>
    <row r="74" ht="13.2" customHeight="1" s="49">
      <c r="A74" s="35" t="n">
        <v>72</v>
      </c>
      <c r="B74" s="34"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35" t="n"/>
      <c r="D74" s="34" t="inlineStr">
        <is>
          <t>Carbopol 940 hydrogel neutralized with Triethanolamine</t>
        </is>
      </c>
      <c r="E74" s="34" t="inlineStr">
        <is>
          <t>Oleaginous Ointment base (White Petrolatum)</t>
        </is>
      </c>
      <c r="F74" s="34" t="inlineStr">
        <is>
          <t>Absorption Ointment base (Lanolin USP)</t>
        </is>
      </c>
      <c r="G74" s="34" t="inlineStr">
        <is>
          <t>Fatty Suppository base (Hard Fat / Witepsol)</t>
        </is>
      </c>
      <c r="H74" s="34" t="inlineStr">
        <is>
          <t>Simple Syrup USP (85% w/v Sucrose)</t>
        </is>
      </c>
      <c r="I74" s="35" t="n">
        <v>3</v>
      </c>
      <c r="J74" s="34"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35" t="n"/>
      <c r="L74" s="34" t="inlineStr">
        <is>
          <t>Suspensions</t>
        </is>
      </c>
      <c r="M74" s="35" t="inlineStr">
        <is>
          <t>Product</t>
        </is>
      </c>
      <c r="N74" s="34" t="inlineStr">
        <is>
          <t>ข้อ 6 (PLE_CC1_2554 SET2.md)</t>
        </is>
      </c>
      <c r="O74" s="35" t="inlineStr">
        <is>
          <t>ข้อสอบจริง</t>
        </is>
      </c>
      <c r="P74" s="35" t="inlineStr">
        <is>
          <t>ปี 2554</t>
        </is>
      </c>
    </row>
    <row r="75" ht="13.2" customHeight="1" s="49">
      <c r="A75" s="35" t="n">
        <v>73</v>
      </c>
      <c r="B75" s="34"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35" t="n"/>
      <c r="D75" s="34" t="inlineStr">
        <is>
          <t>Fatty Suppository base (Hard Fat / Witepsol)</t>
        </is>
      </c>
      <c r="E75" s="34" t="inlineStr">
        <is>
          <t>Simple Syrup USP (85% w/v Sucrose)</t>
        </is>
      </c>
      <c r="F75" s="34" t="inlineStr">
        <is>
          <t>Elixir with 10-20% Alcohol cosolvent</t>
        </is>
      </c>
      <c r="G75" s="34" t="inlineStr">
        <is>
          <t>Flocculated Oral Suspension with Xanthan Gum</t>
        </is>
      </c>
      <c r="H75" s="34" t="inlineStr">
        <is>
          <t>Deflocculated Suspension formulation</t>
        </is>
      </c>
      <c r="I75" s="35" t="n">
        <v>1</v>
      </c>
      <c r="J7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35" t="n"/>
      <c r="L75" s="34" t="inlineStr">
        <is>
          <t>Gels</t>
        </is>
      </c>
      <c r="M75" s="35" t="inlineStr">
        <is>
          <t>Product</t>
        </is>
      </c>
      <c r="N75" s="34" t="inlineStr">
        <is>
          <t>ข้อ 2 (PLE_CC1_2533.md)</t>
        </is>
      </c>
      <c r="O75" s="35" t="inlineStr">
        <is>
          <t>ข้อสอบจริง</t>
        </is>
      </c>
      <c r="P75" s="35" t="inlineStr">
        <is>
          <t>ปี 2533</t>
        </is>
      </c>
    </row>
    <row r="76" ht="13.2" customHeight="1" s="49">
      <c r="A76" s="35" t="n">
        <v>74</v>
      </c>
      <c r="B76" s="34" t="inlineStr">
        <is>
          <t>vitamin E , D , K ในตำรับ emulsion</t>
        </is>
      </c>
      <c r="C76" s="35" t="n"/>
      <c r="D76" s="34" t="inlineStr">
        <is>
          <t>Flocculated Oral Suspension with Xanthan Gum</t>
        </is>
      </c>
      <c r="E76" s="34" t="inlineStr">
        <is>
          <t>Deflocculated Suspension formulation</t>
        </is>
      </c>
      <c r="F76" s="34" t="inlineStr">
        <is>
          <t>O/W Emulsion stabilized by Polysorbate 80 / Span 80</t>
        </is>
      </c>
      <c r="G76" s="34" t="inlineStr">
        <is>
          <t>W/O Emulsion with Sorbitan monooleate</t>
        </is>
      </c>
      <c r="H76" s="34" t="inlineStr">
        <is>
          <t>Carbopol 940 hydrogel neutralized with Triethanolamine</t>
        </is>
      </c>
      <c r="I76" s="35" t="n">
        <v>1</v>
      </c>
      <c r="J7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35" t="n"/>
      <c r="L76" s="34" t="inlineStr">
        <is>
          <t>Emulsions</t>
        </is>
      </c>
      <c r="M76" s="35" t="inlineStr">
        <is>
          <t>Product</t>
        </is>
      </c>
      <c r="N76" s="34" t="inlineStr">
        <is>
          <t>ข้อ 1 (PLE_CC1_2533.md)</t>
        </is>
      </c>
      <c r="O76" s="35" t="inlineStr">
        <is>
          <t>ข้อสอบจริง</t>
        </is>
      </c>
      <c r="P76" s="35" t="inlineStr">
        <is>
          <t>ปี 2533</t>
        </is>
      </c>
    </row>
    <row r="77" ht="13.2" customHeight="1" s="49">
      <c r="A77" s="35" t="n">
        <v>75</v>
      </c>
      <c r="B77" s="34"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35" t="n"/>
      <c r="D77" s="34" t="inlineStr">
        <is>
          <t>W/O Emulsion with Sorbitan monooleate</t>
        </is>
      </c>
      <c r="E77" s="34" t="inlineStr">
        <is>
          <t>Carbopol 940 hydrogel neutralized with Triethanolamine</t>
        </is>
      </c>
      <c r="F77" s="34" t="inlineStr">
        <is>
          <t>Oleaginous Ointment base (White Petrolatum)</t>
        </is>
      </c>
      <c r="G77" s="34" t="inlineStr">
        <is>
          <t>Absorption Ointment base (Lanolin USP)</t>
        </is>
      </c>
      <c r="H77" s="34" t="inlineStr">
        <is>
          <t>Fatty Suppository base (Hard Fat / Witepsol)</t>
        </is>
      </c>
      <c r="I77" s="35" t="n">
        <v>1</v>
      </c>
      <c r="J7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35" t="n"/>
      <c r="L77" s="34" t="inlineStr">
        <is>
          <t>Suspensions</t>
        </is>
      </c>
      <c r="M77" s="35" t="inlineStr">
        <is>
          <t>Product</t>
        </is>
      </c>
      <c r="N77" s="34" t="inlineStr">
        <is>
          <t>ข้อ 5 (PLE_CC1_2533.md)</t>
        </is>
      </c>
      <c r="O77" s="35" t="inlineStr">
        <is>
          <t>ข้อสอบจริง</t>
        </is>
      </c>
      <c r="P77" s="35" t="inlineStr">
        <is>
          <t>ปี 2533</t>
        </is>
      </c>
    </row>
    <row r="78" ht="13.2" customHeight="1" s="49">
      <c r="A78" s="35" t="n">
        <v>76</v>
      </c>
      <c r="B78" s="34"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35" t="n"/>
      <c r="D78" s="34" t="inlineStr">
        <is>
          <t>ไม่เหมาะสม เนื่องจากยา clindamycin ต้องใช้รักษาสิววันละครั้ง ก่อนนอนเท่านั้น</t>
        </is>
      </c>
      <c r="E78" s="34" t="inlineStr">
        <is>
          <t>ไม่เหมาะสม เนื่องจากการใช้ยา clindamycin เป็นยาเดี่ยวจะทำให้ดื้อยาได้ ต้องใช้คู่กับ antibiotic แบบรับประทานด้วย</t>
        </is>
      </c>
      <c r="F78" s="34" t="inlineStr">
        <is>
          <t>ไม่เหมาะสม เนื่องจากการใช้ยา clindamycin เป็นยาเดี่ยวจะทำให้ดื้อยาได้ ต้องใช้คู่กับ benzoyl peroxide</t>
        </is>
      </c>
      <c r="G78" s="34"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34" t="inlineStr">
        <is>
          <t>เหมาะสม เนื่องจากการใช้ clindamycin gel จะทำป้องกันการกลับมาเป็นสิวซ้ำได้ ถ้าใช้เป็นระยะ เวลานาน</t>
        </is>
      </c>
      <c r="I78" s="35" t="n">
        <v>1</v>
      </c>
      <c r="J78" s="34"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35" t="n"/>
      <c r="L78" s="34" t="inlineStr">
        <is>
          <t>Gels</t>
        </is>
      </c>
      <c r="M78" s="35" t="inlineStr">
        <is>
          <t>Product</t>
        </is>
      </c>
      <c r="N78" s="34" t="inlineStr">
        <is>
          <t>ข้อ 5 (PLE_CC1_Practice_Exam.md)</t>
        </is>
      </c>
      <c r="O78" s="35" t="inlineStr">
        <is>
          <t>Mock</t>
        </is>
      </c>
      <c r="P78" s="35" t="inlineStr">
        <is>
          <t>Mock สภาเภสัชฯ Practice</t>
        </is>
      </c>
    </row>
    <row r="79" ht="13.2" customHeight="1" s="49">
      <c r="A79" s="35" t="n">
        <v>77</v>
      </c>
      <c r="B79" s="34"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35" t="n"/>
      <c r="D79" s="34" t="inlineStr">
        <is>
          <t>B&gt;C&gt;D&gt;A</t>
        </is>
      </c>
      <c r="E79" s="34" t="inlineStr">
        <is>
          <t>D&gt;B&gt;C&gt;A</t>
        </is>
      </c>
      <c r="F79" s="34" t="inlineStr">
        <is>
          <t>C&gt;D&gt;B&gt;A</t>
        </is>
      </c>
      <c r="G79" s="34" t="inlineStr">
        <is>
          <t>C&gt;B&gt;D&gt;A</t>
        </is>
      </c>
      <c r="H79" s="34" t="inlineStr">
        <is>
          <t>D&gt;C&gt;B&gt;A</t>
        </is>
      </c>
      <c r="I79" s="35" t="n">
        <v>1</v>
      </c>
      <c r="J79" s="34"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35" t="n"/>
      <c r="L79" s="34" t="inlineStr">
        <is>
          <t>Creams &amp; Ointments</t>
        </is>
      </c>
      <c r="M79" s="35" t="inlineStr">
        <is>
          <t>Product</t>
        </is>
      </c>
      <c r="N79" s="34" t="inlineStr">
        <is>
          <t>ข้อ 31 (PLE_CC1_Practice_Exam.md)</t>
        </is>
      </c>
      <c r="O79" s="35" t="inlineStr">
        <is>
          <t>Mock</t>
        </is>
      </c>
      <c r="P79" s="35" t="inlineStr">
        <is>
          <t>Mock สภาเภสัชฯ Practice</t>
        </is>
      </c>
    </row>
    <row r="80" ht="13.2" customHeight="1" s="49">
      <c r="A80" s="35" t="n">
        <v>78</v>
      </c>
      <c r="B80" s="34"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35" t="n"/>
      <c r="D80" s="34" t="inlineStr">
        <is>
          <t>Glycerin</t>
        </is>
      </c>
      <c r="E80" s="34" t="inlineStr">
        <is>
          <t>Silicones</t>
        </is>
      </c>
      <c r="F80" s="34" t="inlineStr">
        <is>
          <t>Propylene glycol</t>
        </is>
      </c>
      <c r="G80" s="34" t="inlineStr">
        <is>
          <t>Mineral oil</t>
        </is>
      </c>
      <c r="H80" s="34" t="inlineStr">
        <is>
          <t>Soft soap containing alcohol</t>
        </is>
      </c>
      <c r="I80" s="35" t="n">
        <v>1</v>
      </c>
      <c r="J80" s="34"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35" t="n"/>
      <c r="L80" s="34" t="inlineStr">
        <is>
          <t>Gels</t>
        </is>
      </c>
      <c r="M80" s="35" t="inlineStr">
        <is>
          <t>Product</t>
        </is>
      </c>
      <c r="N80" s="34" t="inlineStr">
        <is>
          <t>ข้อ 24 (PLE_CC1_Practice_Exam.md)</t>
        </is>
      </c>
      <c r="O80" s="35" t="inlineStr">
        <is>
          <t>Mock</t>
        </is>
      </c>
      <c r="P80" s="35" t="inlineStr">
        <is>
          <t>Mock สภาเภสัชฯ Practice</t>
        </is>
      </c>
    </row>
    <row r="81" ht="13.2" customHeight="1" s="49">
      <c r="A81" s="35" t="n">
        <v>79</v>
      </c>
      <c r="B81" s="34" t="inlineStr">
        <is>
          <t>เภสัชภัณฑ์รูปแบบของเหลว (Liquid dosage form) โดย</t>
        </is>
      </c>
      <c r="C81" s="35" t="n"/>
      <c r="D81" s="34" t="inlineStr">
        <is>
          <t>Oleaginous Ointment base (White Petrolatum)</t>
        </is>
      </c>
      <c r="E81" s="34" t="inlineStr">
        <is>
          <t>Absorption Ointment base (Lanolin USP)</t>
        </is>
      </c>
      <c r="F81" s="34" t="inlineStr">
        <is>
          <t>Fatty Suppository base (Hard Fat / Witepsol)</t>
        </is>
      </c>
      <c r="G81" s="34" t="inlineStr">
        <is>
          <t>Simple Syrup USP (85% w/v Sucrose)</t>
        </is>
      </c>
      <c r="H81" s="34" t="inlineStr">
        <is>
          <t>Elixir with 10-20% Alcohol cosolvent</t>
        </is>
      </c>
      <c r="I81" s="35" t="n">
        <v>1</v>
      </c>
      <c r="J8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35" t="n"/>
      <c r="L81" s="34" t="inlineStr">
        <is>
          <t>Solutions, Syrups &amp; Elixirs</t>
        </is>
      </c>
      <c r="M81" s="35" t="inlineStr">
        <is>
          <t>Product</t>
        </is>
      </c>
      <c r="N81" s="34" t="inlineStr">
        <is>
          <t>ข้อ 14 (PLE_CC1_Practice_Exam.md)</t>
        </is>
      </c>
      <c r="O81" s="35" t="inlineStr">
        <is>
          <t>Mock</t>
        </is>
      </c>
      <c r="P81" s="35" t="inlineStr">
        <is>
          <t>Mock สภาเภสัชฯ Practice</t>
        </is>
      </c>
    </row>
    <row r="82" ht="13.2" customHeight="1" s="49">
      <c r="A82" s="35" t="n">
        <v>80</v>
      </c>
      <c r="B82" s="34"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t>
        </is>
      </c>
      <c r="C82" s="35" t="n"/>
      <c r="D82" s="34" t="inlineStr">
        <is>
          <t>Simple Syrup USP (85% w/v Sucrose)</t>
        </is>
      </c>
      <c r="E82" s="34" t="inlineStr">
        <is>
          <t>Elixir with 10-20% Alcohol cosolvent</t>
        </is>
      </c>
      <c r="F82" s="34" t="inlineStr">
        <is>
          <t>Flocculated Oral Suspension with Xanthan Gum</t>
        </is>
      </c>
      <c r="G82" s="34" t="inlineStr">
        <is>
          <t>Deflocculated Suspension formulation</t>
        </is>
      </c>
      <c r="H82" s="34" t="inlineStr">
        <is>
          <t>O/W Emulsion stabilized by Polysorbate 80 / Span 80</t>
        </is>
      </c>
      <c r="I82" s="35" t="n">
        <v>1</v>
      </c>
      <c r="J8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35" t="n"/>
      <c r="L82" s="34" t="inlineStr">
        <is>
          <t>Emulsions</t>
        </is>
      </c>
      <c r="M82" s="35" t="inlineStr">
        <is>
          <t>Product</t>
        </is>
      </c>
      <c r="N82" s="34" t="inlineStr">
        <is>
          <t>ข้อ 1 (PLE_CC1_Practice_Exam.md)</t>
        </is>
      </c>
      <c r="O82" s="35" t="inlineStr">
        <is>
          <t>Mock</t>
        </is>
      </c>
      <c r="P82" s="35" t="inlineStr">
        <is>
          <t>Mock สภาเภสัชฯ Practice</t>
        </is>
      </c>
    </row>
    <row r="83" ht="13.2" customHeight="1" s="49">
      <c r="A83" s="35" t="n">
        <v>81</v>
      </c>
      <c r="B83" s="34" t="inlineStr">
        <is>
          <t>Zinc Cream BP Rx Zinc Oxide, Finely sifted 320 g Calcium Hydroxide 0.45 g Oleic acid 5 ml Arachis oil 320 ml Wool Fat 80 g Purified water q.s. 100 ml จากสูตรตำรับข้างต้นข้อความใดต่อไปนี้ถูกต้อง</t>
        </is>
      </c>
      <c r="C83" s="35" t="n"/>
      <c r="D83" s="34" t="inlineStr">
        <is>
          <t>Deflocculated Suspension formulation</t>
        </is>
      </c>
      <c r="E83" s="34" t="inlineStr">
        <is>
          <t>O/W Emulsion stabilized by Polysorbate 80 / Span 80</t>
        </is>
      </c>
      <c r="F83" s="34" t="inlineStr">
        <is>
          <t>W/O Emulsion with Sorbitan monooleate</t>
        </is>
      </c>
      <c r="G83" s="34" t="inlineStr">
        <is>
          <t>Carbopol 940 hydrogel neutralized with Triethanolamine</t>
        </is>
      </c>
      <c r="H83" s="34" t="inlineStr">
        <is>
          <t>Oleaginous Ointment base (White Petrolatum)</t>
        </is>
      </c>
      <c r="I83" s="35" t="n">
        <v>1</v>
      </c>
      <c r="J8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35" t="n"/>
      <c r="L83" s="34" t="inlineStr">
        <is>
          <t>Creams &amp; Ointments</t>
        </is>
      </c>
      <c r="M83" s="35" t="inlineStr">
        <is>
          <t>Product</t>
        </is>
      </c>
      <c r="N83" s="34" t="inlineStr">
        <is>
          <t>ข้อ 4 (PLE_CC1_Practice_Exam.md)</t>
        </is>
      </c>
      <c r="O83" s="35" t="inlineStr">
        <is>
          <t>Mock</t>
        </is>
      </c>
      <c r="P83" s="35" t="inlineStr">
        <is>
          <t>Mock สภาเภสัชฯ Practice</t>
        </is>
      </c>
    </row>
    <row r="84" ht="13.2" customHeight="1" s="49">
      <c r="A84" s="35" t="n">
        <v>82</v>
      </c>
      <c r="B84" s="34" t="inlineStr">
        <is>
          <t>สูตรตำรับข้างต้นเป็นครีมชนิดน้ำในน้ำมัน</t>
        </is>
      </c>
      <c r="C84" s="35" t="n"/>
      <c r="D84" s="34" t="inlineStr">
        <is>
          <t>Carbopol 940 hydrogel neutralized with Triethanolamine</t>
        </is>
      </c>
      <c r="E84" s="34" t="inlineStr">
        <is>
          <t>Oleaginous Ointment base (White Petrolatum)</t>
        </is>
      </c>
      <c r="F84" s="34" t="inlineStr">
        <is>
          <t>Absorption Ointment base (Lanolin USP)</t>
        </is>
      </c>
      <c r="G84" s="34" t="inlineStr">
        <is>
          <t>Fatty Suppository base (Hard Fat / Witepsol)</t>
        </is>
      </c>
      <c r="H84" s="34" t="inlineStr">
        <is>
          <t>Simple Syrup USP (85% w/v Sucrose)</t>
        </is>
      </c>
      <c r="I84" s="35" t="n">
        <v>1</v>
      </c>
      <c r="J8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35" t="n"/>
      <c r="L84" s="34" t="inlineStr">
        <is>
          <t>Creams &amp; Ointments</t>
        </is>
      </c>
      <c r="M84" s="35" t="inlineStr">
        <is>
          <t>Product</t>
        </is>
      </c>
      <c r="N84" s="34" t="inlineStr">
        <is>
          <t>ข้อ 2 (PLE_CC1_Practice_Exam.md)</t>
        </is>
      </c>
      <c r="O84" s="35" t="inlineStr">
        <is>
          <t>Mock</t>
        </is>
      </c>
      <c r="P84" s="35" t="inlineStr">
        <is>
          <t>Mock สภาเภสัชฯ Practice</t>
        </is>
      </c>
    </row>
    <row r="85" ht="13.2" customHeight="1" s="49">
      <c r="A85" s="35" t="n">
        <v>83</v>
      </c>
      <c r="B85" s="34" t="inlineStr">
        <is>
          <t>จากสูตรตำรับข้างต้นเป็นการใช้ยาพื้นขี้ผึ้ง (Ointment base) แบบใด</t>
        </is>
      </c>
      <c r="C85" s="35" t="n"/>
      <c r="D85" s="34" t="inlineStr">
        <is>
          <t>ยาพื้นชนิดเป็นมัน</t>
        </is>
      </c>
      <c r="E85" s="34" t="inlineStr">
        <is>
          <t>ยาพื้นชนิดดูดน้ำได้</t>
        </is>
      </c>
      <c r="F85" s="34" t="inlineStr">
        <is>
          <t>ยาพื้นอิมัลชันชนิด w/o</t>
        </is>
      </c>
      <c r="G85" s="34" t="inlineStr">
        <is>
          <t>ยาพื้นอิมัลชันชนิด o/w</t>
        </is>
      </c>
      <c r="H85" s="34" t="inlineStr">
        <is>
          <t>ยาพื้นชนิดละลายน้ำได้ 27.ข้อใดเป็นยาพื้นขี้ผึ้งชนิด Absorption base</t>
        </is>
      </c>
      <c r="I85" s="35" t="n">
        <v>1</v>
      </c>
      <c r="J85" s="34"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35" t="n"/>
      <c r="L85" s="34" t="inlineStr">
        <is>
          <t>Creams &amp; Ointments</t>
        </is>
      </c>
      <c r="M85" s="35" t="inlineStr">
        <is>
          <t>Product</t>
        </is>
      </c>
      <c r="N85" s="34" t="inlineStr">
        <is>
          <t>ข้อ 26 (PLE_CC1_Practice_Exam.md)</t>
        </is>
      </c>
      <c r="O85" s="35" t="inlineStr">
        <is>
          <t>Mock</t>
        </is>
      </c>
      <c r="P85" s="35" t="inlineStr">
        <is>
          <t>Mock สภาเภสัชฯ Practice</t>
        </is>
      </c>
    </row>
    <row r="86" ht="13.2" customHeight="1" s="49">
      <c r="A86" s="35" t="n">
        <v>84</v>
      </c>
      <c r="B86" s="34" t="inlineStr">
        <is>
          <t>ยาเพสต์มีตัวยาที่เป็นของแข็งมากกว่า และมีเนื้อหยาบกว่ายาขี้ผึ้ง</t>
        </is>
      </c>
      <c r="C86" s="35" t="n"/>
      <c r="D86" s="34" t="inlineStr">
        <is>
          <t>Flocculated Oral Suspension with Xanthan Gum</t>
        </is>
      </c>
      <c r="E86" s="34" t="inlineStr">
        <is>
          <t>Deflocculated Suspension formulation</t>
        </is>
      </c>
      <c r="F86" s="34" t="inlineStr">
        <is>
          <t>O/W Emulsion stabilized by Polysorbate 80 / Span 80</t>
        </is>
      </c>
      <c r="G86" s="34" t="inlineStr">
        <is>
          <t>W/O Emulsion with Sorbitan monooleate</t>
        </is>
      </c>
      <c r="H86" s="34" t="inlineStr">
        <is>
          <t>Carbopol 940 hydrogel neutralized with Triethanolamine</t>
        </is>
      </c>
      <c r="I86" s="35" t="n">
        <v>1</v>
      </c>
      <c r="J8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35" t="n"/>
      <c r="L86" s="34" t="inlineStr">
        <is>
          <t>Creams &amp; Ointments</t>
        </is>
      </c>
      <c r="M86" s="35" t="inlineStr">
        <is>
          <t>Product</t>
        </is>
      </c>
      <c r="N86" s="34" t="inlineStr">
        <is>
          <t>ข้อ 1 (PLE_CC1_Practice_Exam.md)</t>
        </is>
      </c>
      <c r="O86" s="35" t="inlineStr">
        <is>
          <t>Mock</t>
        </is>
      </c>
      <c r="P86" s="35" t="inlineStr">
        <is>
          <t>Mock สภาเภสัชฯ Practice</t>
        </is>
      </c>
    </row>
    <row r="87" ht="13.2" customHeight="1" s="49">
      <c r="A87" s="35" t="n">
        <v>85</v>
      </c>
      <c r="B87" s="34" t="inlineStr">
        <is>
          <t>ยาเพสต์มีความมันมากกว่ายาขี้ผึ้ง เพราะมีปริมาณ base มากกว่า</t>
        </is>
      </c>
      <c r="C87" s="35" t="n"/>
      <c r="D87" s="34" t="inlineStr">
        <is>
          <t>ข้อ 1, 2 ถูก</t>
        </is>
      </c>
      <c r="E87" s="34" t="inlineStr">
        <is>
          <t>ข้อ 1, 3 ถูก</t>
        </is>
      </c>
      <c r="F87" s="34" t="inlineStr">
        <is>
          <t>ข้อ 1, 3, 4 ถูก</t>
        </is>
      </c>
      <c r="G87" s="34" t="inlineStr">
        <is>
          <t>ข้อ 2, 3, 5 ถูก</t>
        </is>
      </c>
      <c r="H87" s="34" t="inlineStr">
        <is>
          <t>ไม่มีข้อใดผิด ยาขี้ผึ้งโดยยานั้นเป็นขี้ผึ้งชนิดใด</t>
        </is>
      </c>
      <c r="I87" s="35" t="n">
        <v>1</v>
      </c>
      <c r="J87" s="34"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35" t="n"/>
      <c r="L87" s="34" t="inlineStr">
        <is>
          <t>Creams &amp; Ointments</t>
        </is>
      </c>
      <c r="M87" s="35" t="inlineStr">
        <is>
          <t>Product</t>
        </is>
      </c>
      <c r="N87" s="34" t="inlineStr">
        <is>
          <t>ข้อ 5 (PLE_CC1_Practice_Exam.md)</t>
        </is>
      </c>
      <c r="O87" s="35" t="inlineStr">
        <is>
          <t>Mock</t>
        </is>
      </c>
      <c r="P87" s="35" t="inlineStr">
        <is>
          <t>Mock สภาเภสัชฯ Practice</t>
        </is>
      </c>
    </row>
    <row r="88" ht="13.2" customHeight="1" s="49">
      <c r="A88" s="35" t="n">
        <v>86</v>
      </c>
      <c r="B88" s="34"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t>
        </is>
      </c>
      <c r="C88" s="35" t="n"/>
      <c r="D88" s="34" t="inlineStr">
        <is>
          <t>ผิดเนื่องจาก ยาเพสต์ไม่เหมาะกับผิวหนังที่มีผม หรือขนมากๆ เนื่องจากล้างออกยาก</t>
        </is>
      </c>
      <c r="E88" s="34"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34" t="inlineStr">
        <is>
          <t>ตำรับยาเพสต์ เหมาะกับแผลที่มีน้ำเหลือง เนื่องจากผงยาจำนวนมากสามารถดูดซับของเหลวออกจากแผล ได้ดี</t>
        </is>
      </c>
      <c r="G88" s="34" t="inlineStr">
        <is>
          <t>ยาขี้ผึ้งมีลักษณะไหลเยิ้มมากกว่ายาเพลสต์</t>
        </is>
      </c>
      <c r="H88" s="34" t="inlineStr">
        <is>
          <t>ครีมเป็นระบบอิมัลชันที่มีความคงตัวทางกายภาพสูง</t>
        </is>
      </c>
      <c r="I88" s="35" t="n">
        <v>1</v>
      </c>
      <c r="J88" s="34"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35" t="n"/>
      <c r="L88" s="34" t="inlineStr">
        <is>
          <t>Emulsions</t>
        </is>
      </c>
      <c r="M88" s="35" t="inlineStr">
        <is>
          <t>Product</t>
        </is>
      </c>
      <c r="N88" s="34" t="inlineStr">
        <is>
          <t>ข้อ 1 (PLE_CC1_Practice_Exam.md)</t>
        </is>
      </c>
      <c r="O88" s="35" t="inlineStr">
        <is>
          <t>Mock</t>
        </is>
      </c>
      <c r="P88" s="35" t="inlineStr">
        <is>
          <t>Mock สภาเภสัชฯ Practice</t>
        </is>
      </c>
    </row>
    <row r="89" ht="13.2" customHeight="1" s="49">
      <c r="A89" s="35" t="n">
        <v>87</v>
      </c>
      <c r="B89" s="34" t="inlineStr">
        <is>
          <t>Aristocortห (0.02% Triamcinolone acetonide cream) เภสัชกรร้านยาสามารถจ่ายโดยไม่มีใบสั่งยา ได้หรือไม่</t>
        </is>
      </c>
      <c r="C89" s="35" t="n"/>
      <c r="D89" s="34" t="inlineStr">
        <is>
          <t>ไม่ได้ เนื่องจากเป็นยาควบคุมพิเศษ</t>
        </is>
      </c>
      <c r="E89" s="34" t="inlineStr">
        <is>
          <t>ไม่ได้ เนื่องจากเป็นยาจำหน่ายเฉพาะในโรงพยาบาล</t>
        </is>
      </c>
      <c r="F89" s="34" t="inlineStr">
        <is>
          <t>ได้ เนื่องจากเป็นยาแผนปัจจุบันชนิดใช้เฉพาะที่</t>
        </is>
      </c>
      <c r="G89" s="34" t="inlineStr">
        <is>
          <t>ได้ เนื่องจากเป็นยาทาที่ไม่เป็นอันตราย</t>
        </is>
      </c>
      <c r="H89" s="34" t="inlineStr">
        <is>
          <t>ได้ เนื่องจากเป็นยาอันตราย 377 นิติเภสัชกรรม</t>
        </is>
      </c>
      <c r="I89" s="35" t="n">
        <v>1</v>
      </c>
      <c r="J89" s="34"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35" t="n"/>
      <c r="L89" s="34" t="inlineStr">
        <is>
          <t>Creams &amp; Ointments</t>
        </is>
      </c>
      <c r="M89" s="35" t="inlineStr">
        <is>
          <t>Product</t>
        </is>
      </c>
      <c r="N89" s="34" t="inlineStr">
        <is>
          <t>ข้อ 36 (PLE_CC1_Practice_Exam.md)</t>
        </is>
      </c>
      <c r="O89" s="35" t="inlineStr">
        <is>
          <t>Mock</t>
        </is>
      </c>
      <c r="P89" s="35" t="inlineStr">
        <is>
          <t>Mock สภาเภสัชฯ Practice</t>
        </is>
      </c>
    </row>
    <row r="90" ht="13.2" customHeight="1" s="49">
      <c r="A90" s="35" t="n">
        <v>88</v>
      </c>
      <c r="B90" s="34"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35" t="n"/>
      <c r="D90" s="34" t="inlineStr">
        <is>
          <t>O/W Emulsion stabilized by Polysorbate 80 / Span 80</t>
        </is>
      </c>
      <c r="E90" s="34" t="inlineStr">
        <is>
          <t>W/O Emulsion with Sorbitan monooleate</t>
        </is>
      </c>
      <c r="F90" s="34" t="inlineStr">
        <is>
          <t>Carbopol 940 hydrogel neutralized with Triethanolamine</t>
        </is>
      </c>
      <c r="G90" s="34" t="inlineStr">
        <is>
          <t>Oleaginous Ointment base (White Petrolatum)</t>
        </is>
      </c>
      <c r="H90" s="34" t="inlineStr">
        <is>
          <t>Absorption Ointment base (Lanolin USP)</t>
        </is>
      </c>
      <c r="I90" s="35" t="n">
        <v>1</v>
      </c>
      <c r="J9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35" t="n"/>
      <c r="L90" s="34" t="inlineStr">
        <is>
          <t>Emulsions</t>
        </is>
      </c>
      <c r="M90" s="35" t="inlineStr">
        <is>
          <t>Product</t>
        </is>
      </c>
      <c r="N90" s="34" t="inlineStr">
        <is>
          <t>ข้อ 60 (PLE_CC1_Key_Rx20_UBU.md)</t>
        </is>
      </c>
      <c r="O90" s="35" t="inlineStr">
        <is>
          <t>Mock</t>
        </is>
      </c>
      <c r="P90" s="35" t="inlineStr">
        <is>
          <t>Mock Rx20 UBU</t>
        </is>
      </c>
    </row>
    <row r="91" ht="13.2" customHeight="1" s="49">
      <c r="A91" s="35" t="n">
        <v>89</v>
      </c>
      <c r="B91" s="34"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35" t="n"/>
      <c r="D91" s="34" t="inlineStr">
        <is>
          <t>Oleaginous Ointment base (White Petrolatum)</t>
        </is>
      </c>
      <c r="E91" s="34" t="inlineStr">
        <is>
          <t>Absorption Ointment base (Lanolin USP)</t>
        </is>
      </c>
      <c r="F91" s="34" t="inlineStr">
        <is>
          <t>Fatty Suppository base (Hard Fat / Witepsol)</t>
        </is>
      </c>
      <c r="G91" s="34" t="inlineStr">
        <is>
          <t>Simple Syrup USP (85% w/v Sucrose)</t>
        </is>
      </c>
      <c r="H91" s="34" t="inlineStr">
        <is>
          <t>Elixir with 10-20% Alcohol cosolvent</t>
        </is>
      </c>
      <c r="I91" s="35" t="n">
        <v>5</v>
      </c>
      <c r="J91" s="34"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35" t="n"/>
      <c r="L91" s="34" t="inlineStr">
        <is>
          <t>Emulsions</t>
        </is>
      </c>
      <c r="M91" s="35" t="inlineStr">
        <is>
          <t>Product</t>
        </is>
      </c>
      <c r="N91" s="34" t="inlineStr">
        <is>
          <t>ข้อ 5 (PLE_CC1_Key_Rx20_UBU.md)</t>
        </is>
      </c>
      <c r="O91" s="35" t="inlineStr">
        <is>
          <t>Mock</t>
        </is>
      </c>
      <c r="P91" s="35" t="inlineStr">
        <is>
          <t>Mock Rx20 UBU</t>
        </is>
      </c>
    </row>
    <row r="92" ht="13.2" customHeight="1" s="49">
      <c r="A92" s="35" t="n">
        <v>90</v>
      </c>
      <c r="B92" s="34" t="inlineStr">
        <is>
          <t>Triethanolamine ทำหน้าที่เป็น Preservative</t>
        </is>
      </c>
      <c r="C92" s="35" t="n"/>
      <c r="D92" s="34" t="inlineStr">
        <is>
          <t>Simple Syrup USP (85% w/v Sucrose)</t>
        </is>
      </c>
      <c r="E92" s="34" t="inlineStr">
        <is>
          <t>Elixir with 10-20% Alcohol cosolvent</t>
        </is>
      </c>
      <c r="F92" s="34" t="inlineStr">
        <is>
          <t>Flocculated Oral Suspension with Xanthan Gum</t>
        </is>
      </c>
      <c r="G92" s="34" t="inlineStr">
        <is>
          <t>Deflocculated Suspension formulation</t>
        </is>
      </c>
      <c r="H92" s="34" t="inlineStr">
        <is>
          <t>O/W Emulsion stabilized by Polysorbate 80 / Span 80</t>
        </is>
      </c>
      <c r="I92" s="35" t="n">
        <v>1</v>
      </c>
      <c r="J9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35" t="n"/>
      <c r="L92" s="34" t="inlineStr">
        <is>
          <t>Gels</t>
        </is>
      </c>
      <c r="M92" s="35" t="inlineStr">
        <is>
          <t>Product</t>
        </is>
      </c>
      <c r="N92" s="34" t="inlineStr">
        <is>
          <t>ข้อ 4 (PLE_CC1_Key_Rx20_UBU.md)</t>
        </is>
      </c>
      <c r="O92" s="35" t="inlineStr">
        <is>
          <t>Mock</t>
        </is>
      </c>
      <c r="P92" s="35" t="inlineStr">
        <is>
          <t>Mock Rx20 UBU</t>
        </is>
      </c>
    </row>
    <row r="93" ht="13.2" customHeight="1" s="49">
      <c r="A93" s="35" t="n">
        <v>91</v>
      </c>
      <c r="B93" s="34" t="inlineStr">
        <is>
          <t>มี gelatin เป็นส่วนประกอบ</t>
        </is>
      </c>
      <c r="C93" s="35" t="n"/>
      <c r="D93" s="34" t="inlineStr">
        <is>
          <t>Deflocculated Suspension formulation</t>
        </is>
      </c>
      <c r="E93" s="34" t="inlineStr">
        <is>
          <t>O/W Emulsion stabilized by Polysorbate 80 / Span 80</t>
        </is>
      </c>
      <c r="F93" s="34" t="inlineStr">
        <is>
          <t>W/O Emulsion with Sorbitan monooleate</t>
        </is>
      </c>
      <c r="G93" s="34" t="inlineStr">
        <is>
          <t>Carbopol 940 hydrogel neutralized with Triethanolamine</t>
        </is>
      </c>
      <c r="H93" s="34" t="inlineStr">
        <is>
          <t>Oleaginous Ointment base (White Petrolatum)</t>
        </is>
      </c>
      <c r="I93" s="35" t="n">
        <v>1</v>
      </c>
      <c r="J9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35" t="n"/>
      <c r="L93" s="34" t="inlineStr">
        <is>
          <t>Gels</t>
        </is>
      </c>
      <c r="M93" s="35" t="inlineStr">
        <is>
          <t>Product</t>
        </is>
      </c>
      <c r="N93" s="34" t="inlineStr">
        <is>
          <t>ข้อ 1 (PLE_CC1_Key_Rx20_UBU.md)</t>
        </is>
      </c>
      <c r="O93" s="35" t="inlineStr">
        <is>
          <t>Mock</t>
        </is>
      </c>
      <c r="P93" s="35" t="inlineStr">
        <is>
          <t>Mock Rx20 UBU</t>
        </is>
      </c>
    </row>
    <row r="94" ht="13.2" customHeight="1" s="49">
      <c r="A94" s="35" t="n">
        <v>92</v>
      </c>
      <c r="B94" s="34" t="inlineStr">
        <is>
          <t>Whitfield’s Ointment</t>
        </is>
      </c>
      <c r="C94" s="35" t="n"/>
      <c r="D94" s="34" t="inlineStr">
        <is>
          <t>Carbopol 940 hydrogel neutralized with Triethanolamine</t>
        </is>
      </c>
      <c r="E94" s="34" t="inlineStr">
        <is>
          <t>Oleaginous Ointment base (White Petrolatum)</t>
        </is>
      </c>
      <c r="F94" s="34" t="inlineStr">
        <is>
          <t>Absorption Ointment base (Lanolin USP)</t>
        </is>
      </c>
      <c r="G94" s="34" t="inlineStr">
        <is>
          <t>Fatty Suppository base (Hard Fat / Witepsol)</t>
        </is>
      </c>
      <c r="H94" s="34" t="inlineStr">
        <is>
          <t>Simple Syrup USP (85% w/v Sucrose)</t>
        </is>
      </c>
      <c r="I94" s="35" t="n">
        <v>1</v>
      </c>
      <c r="J9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35" t="n"/>
      <c r="L94" s="34" t="inlineStr">
        <is>
          <t>Creams &amp; Ointments</t>
        </is>
      </c>
      <c r="M94" s="35" t="inlineStr">
        <is>
          <t>Product</t>
        </is>
      </c>
      <c r="N94" s="34" t="inlineStr">
        <is>
          <t>ข้อ 3 (PLE_CC1_Key_Rx20_UBU.md)</t>
        </is>
      </c>
      <c r="O94" s="35" t="inlineStr">
        <is>
          <t>Mock</t>
        </is>
      </c>
      <c r="P94" s="35" t="inlineStr">
        <is>
          <t>Mock Rx20 UBU</t>
        </is>
      </c>
    </row>
    <row r="95" ht="13.2" customHeight="1" s="49">
      <c r="A95" s="35" t="n">
        <v>93</v>
      </c>
      <c r="B95" s="34" t="inlineStr">
        <is>
          <t>หากต้องการ Ointment ที่ล้างออกง่ายควรใช้เบสลักษณะใด</t>
        </is>
      </c>
      <c r="C95" s="35" t="n"/>
      <c r="D95" s="34" t="inlineStr">
        <is>
          <t>Fatty Suppository base (Hard Fat / Witepsol)</t>
        </is>
      </c>
      <c r="E95" s="34" t="inlineStr">
        <is>
          <t>Simple Syrup USP (85% w/v Sucrose)</t>
        </is>
      </c>
      <c r="F95" s="34" t="inlineStr">
        <is>
          <t>Elixir with 10-20% Alcohol cosolvent</t>
        </is>
      </c>
      <c r="G95" s="34" t="inlineStr">
        <is>
          <t>Flocculated Oral Suspension with Xanthan Gum</t>
        </is>
      </c>
      <c r="H95" s="34" t="inlineStr">
        <is>
          <t>Deflocculated Suspension formulation</t>
        </is>
      </c>
      <c r="I95" s="35" t="n">
        <v>1</v>
      </c>
      <c r="J9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35" t="n"/>
      <c r="L95" s="34" t="inlineStr">
        <is>
          <t>Creams &amp; Ointments</t>
        </is>
      </c>
      <c r="M95" s="35" t="inlineStr">
        <is>
          <t>Product</t>
        </is>
      </c>
      <c r="N95" s="34" t="inlineStr">
        <is>
          <t>ข้อ 4 (PLE_CC1_Key_Rx20_UBU.md)</t>
        </is>
      </c>
      <c r="O95" s="35" t="inlineStr">
        <is>
          <t>Mock</t>
        </is>
      </c>
      <c r="P95" s="35" t="inlineStr">
        <is>
          <t>Mock Rx20 UBU</t>
        </is>
      </c>
    </row>
    <row r="96" ht="13.2" customHeight="1" s="49">
      <c r="A96" s="35" t="n">
        <v>94</v>
      </c>
      <c r="B96" s="34"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35" t="n"/>
      <c r="D96" s="34" t="inlineStr">
        <is>
          <t>Flocculated Oral Suspension with Xanthan Gum</t>
        </is>
      </c>
      <c r="E96" s="34" t="inlineStr">
        <is>
          <t>Deflocculated Suspension formulation</t>
        </is>
      </c>
      <c r="F96" s="34" t="inlineStr">
        <is>
          <t>O/W Emulsion stabilized by Polysorbate 80 / Span 80</t>
        </is>
      </c>
      <c r="G96" s="34" t="inlineStr">
        <is>
          <t>W/O Emulsion with Sorbitan monooleate</t>
        </is>
      </c>
      <c r="H96" s="34" t="inlineStr">
        <is>
          <t>Carbopol 940 hydrogel neutralized with Triethanolamine</t>
        </is>
      </c>
      <c r="I96" s="35" t="n">
        <v>1</v>
      </c>
      <c r="J9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35" t="n"/>
      <c r="L96" s="34" t="inlineStr">
        <is>
          <t>Gels</t>
        </is>
      </c>
      <c r="M96" s="35" t="inlineStr">
        <is>
          <t>Product</t>
        </is>
      </c>
      <c r="N96" s="34" t="inlineStr">
        <is>
          <t>ข้อ 2 (PLE_CC1_Key_Rx20_UBU.md)</t>
        </is>
      </c>
      <c r="O96" s="35" t="inlineStr">
        <is>
          <t>Mock</t>
        </is>
      </c>
      <c r="P96" s="35" t="inlineStr">
        <is>
          <t>Mock Rx20 UBU</t>
        </is>
      </c>
    </row>
    <row r="97" ht="13.2" customHeight="1" s="49">
      <c r="A97" s="35" t="n">
        <v>95</v>
      </c>
      <c r="B97" s="34" t="inlineStr">
        <is>
          <t>เปลี่ยนเป็นยาครีม</t>
        </is>
      </c>
      <c r="C97" s="35" t="n"/>
      <c r="D97" s="34" t="inlineStr">
        <is>
          <t>W/O Emulsion with Sorbitan monooleate</t>
        </is>
      </c>
      <c r="E97" s="34" t="inlineStr">
        <is>
          <t>Carbopol 940 hydrogel neutralized with Triethanolamine</t>
        </is>
      </c>
      <c r="F97" s="34" t="inlineStr">
        <is>
          <t>Oleaginous Ointment base (White Petrolatum)</t>
        </is>
      </c>
      <c r="G97" s="34" t="inlineStr">
        <is>
          <t>Absorption Ointment base (Lanolin USP)</t>
        </is>
      </c>
      <c r="H97" s="34" t="inlineStr">
        <is>
          <t>Fatty Suppository base (Hard Fat / Witepsol)</t>
        </is>
      </c>
      <c r="I97" s="35" t="n">
        <v>1</v>
      </c>
      <c r="J9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35" t="n"/>
      <c r="L97" s="34" t="inlineStr">
        <is>
          <t>Creams &amp; Ointments</t>
        </is>
      </c>
      <c r="M97" s="35" t="inlineStr">
        <is>
          <t>Product</t>
        </is>
      </c>
      <c r="N97" s="34" t="inlineStr">
        <is>
          <t>ข้อ 3 (PLE_CC1_Key_Rx20_UBU.md)</t>
        </is>
      </c>
      <c r="O97" s="35" t="inlineStr">
        <is>
          <t>Mock</t>
        </is>
      </c>
      <c r="P97" s="35" t="inlineStr">
        <is>
          <t>Mock Rx20 UBU</t>
        </is>
      </c>
    </row>
    <row r="98" ht="13.2" customHeight="1" s="49">
      <c r="A98" s="35" t="n">
        <v>96</v>
      </c>
      <c r="B98" s="34"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35" t="n"/>
      <c r="D98" s="34" t="inlineStr">
        <is>
          <t>Absorption Ointment base (Lanolin USP)</t>
        </is>
      </c>
      <c r="E98" s="34" t="inlineStr">
        <is>
          <t>Fatty Suppository base (Hard Fat / Witepsol)</t>
        </is>
      </c>
      <c r="F98" s="34" t="inlineStr">
        <is>
          <t>Simple Syrup USP (85% w/v Sucrose)</t>
        </is>
      </c>
      <c r="G98" s="34" t="inlineStr">
        <is>
          <t>Elixir with 10-20% Alcohol cosolvent</t>
        </is>
      </c>
      <c r="H98" s="34" t="inlineStr">
        <is>
          <t>Flocculated Oral Suspension with Xanthan Gum</t>
        </is>
      </c>
      <c r="I98" s="35" t="n">
        <v>1</v>
      </c>
      <c r="J9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35" t="n"/>
      <c r="L98" s="34" t="inlineStr">
        <is>
          <t>Gels</t>
        </is>
      </c>
      <c r="M98" s="35" t="inlineStr">
        <is>
          <t>Product</t>
        </is>
      </c>
      <c r="N98" s="34" t="inlineStr">
        <is>
          <t>ข้อ 89 (PLE_CC1_Key_Rx20_UBU.md)</t>
        </is>
      </c>
      <c r="O98" s="35" t="inlineStr">
        <is>
          <t>Mock</t>
        </is>
      </c>
      <c r="P98" s="35" t="inlineStr">
        <is>
          <t>Mock Rx20 UBU</t>
        </is>
      </c>
    </row>
    <row r="99" ht="13.2" customHeight="1" s="49">
      <c r="A99" s="35" t="n">
        <v>97</v>
      </c>
      <c r="B99" s="34" t="inlineStr">
        <is>
          <t>การเติมสาร antioxidant เพื่อเพิ่มความคงตัวของตัวยาของตำรับ gel vaginal ที่มี carbopol ในส่วนของ aqueous phase system ควรเลือกสารในข้อใด</t>
        </is>
      </c>
      <c r="C99" s="35" t="n"/>
      <c r="D99" s="34" t="inlineStr">
        <is>
          <t>BHP</t>
        </is>
      </c>
      <c r="E99" s="34" t="inlineStr">
        <is>
          <t>BHP + Citric acid</t>
        </is>
      </c>
      <c r="F99" s="34" t="inlineStr">
        <is>
          <t>BHP + Sodium metabisulfite</t>
        </is>
      </c>
      <c r="G99" s="34" t="inlineStr">
        <is>
          <t>O/W Emulsion stabilized by Polysorbate 80 / Span 80</t>
        </is>
      </c>
      <c r="H99" s="34" t="inlineStr">
        <is>
          <t>W/O Emulsion with Sorbitan monooleate</t>
        </is>
      </c>
      <c r="I99" s="35" t="n">
        <v>1</v>
      </c>
      <c r="J99" s="34"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35" t="n"/>
      <c r="L99" s="34" t="inlineStr">
        <is>
          <t>Gels</t>
        </is>
      </c>
      <c r="M99" s="35" t="inlineStr">
        <is>
          <t>Product</t>
        </is>
      </c>
      <c r="N99" s="34" t="inlineStr">
        <is>
          <t>ข้อ 90 (PLE_CC1_Key_Rx20_UBU.md)</t>
        </is>
      </c>
      <c r="O99" s="35" t="inlineStr">
        <is>
          <t>Mock</t>
        </is>
      </c>
      <c r="P99" s="35" t="inlineStr">
        <is>
          <t>Mock Rx20 UBU</t>
        </is>
      </c>
    </row>
    <row r="100" ht="13.2" customHeight="1" s="49">
      <c r="A100" s="35" t="n">
        <v>98</v>
      </c>
      <c r="B100" s="34" t="inlineStr">
        <is>
          <t>Ascorbic acid + Ascorbate palmitate ตัวนี้ไ่ม่เกิดการทำปฏิกิริยากับสารก่อ gel คือ Carbopol</t>
        </is>
      </c>
      <c r="C100" s="35" t="n"/>
      <c r="D100" s="34" t="inlineStr">
        <is>
          <t>O/W Emulsion stabilized by Polysorbate 80 / Span 80</t>
        </is>
      </c>
      <c r="E100" s="34" t="inlineStr">
        <is>
          <t>W/O Emulsion with Sorbitan monooleate</t>
        </is>
      </c>
      <c r="F100" s="34" t="inlineStr">
        <is>
          <t>Carbopol 940 hydrogel neutralized with Triethanolamine</t>
        </is>
      </c>
      <c r="G100" s="34" t="inlineStr">
        <is>
          <t>Oleaginous Ointment base (White Petrolatum)</t>
        </is>
      </c>
      <c r="H100" s="34" t="inlineStr">
        <is>
          <t>Absorption Ointment base (Lanolin USP)</t>
        </is>
      </c>
      <c r="I100" s="35" t="n">
        <v>4</v>
      </c>
      <c r="J100" s="34"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35" t="n"/>
      <c r="L100" s="34" t="inlineStr">
        <is>
          <t>Gels</t>
        </is>
      </c>
      <c r="M100" s="35" t="inlineStr">
        <is>
          <t>Product</t>
        </is>
      </c>
      <c r="N100" s="34" t="inlineStr">
        <is>
          <t>ข้อ 5 (PLE_CC1_Key_Rx20_UBU.md)</t>
        </is>
      </c>
      <c r="O100" s="35" t="inlineStr">
        <is>
          <t>Mock</t>
        </is>
      </c>
      <c r="P100" s="35" t="inlineStr">
        <is>
          <t>Mock Rx20 UBU</t>
        </is>
      </c>
    </row>
    <row r="101" ht="13.2" customHeight="1" s="49">
      <c r="A101" s="35" t="n">
        <v>99</v>
      </c>
      <c r="B101" s="34" t="inlineStr">
        <is>
          <t>Ketoconazole cream</t>
        </is>
      </c>
      <c r="C101" s="35" t="n"/>
      <c r="D101" s="34" t="inlineStr">
        <is>
          <t>Oleaginous Ointment base (White Petrolatum)</t>
        </is>
      </c>
      <c r="E101" s="34" t="inlineStr">
        <is>
          <t>Absorption Ointment base (Lanolin USP)</t>
        </is>
      </c>
      <c r="F101" s="34" t="inlineStr">
        <is>
          <t>Fatty Suppository base (Hard Fat / Witepsol)</t>
        </is>
      </c>
      <c r="G101" s="34" t="inlineStr">
        <is>
          <t>Simple Syrup USP (85% w/v Sucrose)</t>
        </is>
      </c>
      <c r="H101" s="34" t="inlineStr">
        <is>
          <t>Elixir with 10-20% Alcohol cosolvent</t>
        </is>
      </c>
      <c r="I101" s="35" t="n">
        <v>1</v>
      </c>
      <c r="J10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35" t="n"/>
      <c r="L101" s="34" t="inlineStr">
        <is>
          <t>Creams &amp; Ointments</t>
        </is>
      </c>
      <c r="M101" s="35" t="inlineStr">
        <is>
          <t>Product</t>
        </is>
      </c>
      <c r="N101" s="34" t="inlineStr">
        <is>
          <t>ข้อ 1 (PLE_CC1_Key_Rx20_UBU.md)</t>
        </is>
      </c>
      <c r="O101" s="35" t="inlineStr">
        <is>
          <t>Mock</t>
        </is>
      </c>
      <c r="P101" s="35" t="inlineStr">
        <is>
          <t>Mock Rx20 UBU</t>
        </is>
      </c>
    </row>
    <row r="102" ht="13.2" customHeight="1" s="49">
      <c r="A102" s="35" t="n">
        <v>100</v>
      </c>
      <c r="B102" s="34" t="inlineStr">
        <is>
          <t>tretinoic acid cream</t>
        </is>
      </c>
      <c r="C102" s="35" t="n"/>
      <c r="D102" s="34" t="inlineStr">
        <is>
          <t>Simple Syrup USP (85% w/v Sucrose)</t>
        </is>
      </c>
      <c r="E102" s="34" t="inlineStr">
        <is>
          <t>Elixir with 10-20% Alcohol cosolvent</t>
        </is>
      </c>
      <c r="F102" s="34" t="inlineStr">
        <is>
          <t>Flocculated Oral Suspension with Xanthan Gum</t>
        </is>
      </c>
      <c r="G102" s="34" t="inlineStr">
        <is>
          <t>Deflocculated Suspension formulation</t>
        </is>
      </c>
      <c r="H102" s="34" t="inlineStr">
        <is>
          <t>O/W Emulsion stabilized by Polysorbate 80 / Span 80</t>
        </is>
      </c>
      <c r="I102" s="35" t="n">
        <v>1</v>
      </c>
      <c r="J10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35" t="n"/>
      <c r="L102" s="34" t="inlineStr">
        <is>
          <t>Creams &amp; Ointments</t>
        </is>
      </c>
      <c r="M102" s="35" t="inlineStr">
        <is>
          <t>Product</t>
        </is>
      </c>
      <c r="N102" s="34" t="inlineStr">
        <is>
          <t>ข้อ 4 (PLE_CC1_Key_Rx20_UBU.md)</t>
        </is>
      </c>
      <c r="O102" s="35" t="inlineStr">
        <is>
          <t>Mock</t>
        </is>
      </c>
      <c r="P102" s="35" t="inlineStr">
        <is>
          <t>Mock Rx20 UBU</t>
        </is>
      </c>
    </row>
    <row r="103" ht="13.2" customHeight="1" s="49">
      <c r="A103" s="35" t="n">
        <v>101</v>
      </c>
      <c r="B103" s="34" t="inlineStr">
        <is>
          <t>Betamethasone dipropionate cream</t>
        </is>
      </c>
      <c r="C103" s="35" t="n"/>
      <c r="D103" s="34" t="inlineStr">
        <is>
          <t>Acetretin = x</t>
        </is>
      </c>
      <c r="E103" s="34" t="inlineStr">
        <is>
          <t>MTX = x</t>
        </is>
      </c>
      <c r="F103" s="34" t="inlineStr">
        <is>
          <t>W/O Emulsion with Sorbitan monooleate</t>
        </is>
      </c>
      <c r="G103" s="34" t="inlineStr">
        <is>
          <t>Carbopol 940 hydrogel neutralized with Triethanolamine</t>
        </is>
      </c>
      <c r="H103" s="34" t="inlineStr">
        <is>
          <t>Oleaginous Ointment base (White Petrolatum)</t>
        </is>
      </c>
      <c r="I103" s="35" t="n">
        <v>2</v>
      </c>
      <c r="J103" s="34"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35" t="n"/>
      <c r="L103" s="34" t="inlineStr">
        <is>
          <t>Creams &amp; Ointments</t>
        </is>
      </c>
      <c r="M103" s="35" t="inlineStr">
        <is>
          <t>Product</t>
        </is>
      </c>
      <c r="N103" s="34" t="inlineStr">
        <is>
          <t>ข้อ 5 (PLE_CC1_Key_Rx20_UBU.md)</t>
        </is>
      </c>
      <c r="O103" s="35" t="inlineStr">
        <is>
          <t>Mock</t>
        </is>
      </c>
      <c r="P103" s="35" t="inlineStr">
        <is>
          <t>Mock Rx20 UBU</t>
        </is>
      </c>
    </row>
    <row r="104" ht="13.2" customHeight="1" s="49">
      <c r="A104" s="35" t="n">
        <v>102</v>
      </c>
      <c r="B104" s="34" t="inlineStr">
        <is>
          <t>tretinoic acid cream = x</t>
        </is>
      </c>
      <c r="C104" s="35" t="n"/>
      <c r="D104" s="34" t="inlineStr">
        <is>
          <t>Carbopol 940 hydrogel neutralized with Triethanolamine</t>
        </is>
      </c>
      <c r="E104" s="34" t="inlineStr">
        <is>
          <t>Oleaginous Ointment base (White Petrolatum)</t>
        </is>
      </c>
      <c r="F104" s="34" t="inlineStr">
        <is>
          <t>Absorption Ointment base (Lanolin USP)</t>
        </is>
      </c>
      <c r="G104" s="34" t="inlineStr">
        <is>
          <t>Fatty Suppository base (Hard Fat / Witepsol)</t>
        </is>
      </c>
      <c r="H104" s="34" t="inlineStr">
        <is>
          <t>Simple Syrup USP (85% w/v Sucrose)</t>
        </is>
      </c>
      <c r="I104" s="35" t="n">
        <v>1</v>
      </c>
      <c r="J10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35" t="n"/>
      <c r="L104" s="34" t="inlineStr">
        <is>
          <t>Creams &amp; Ointments</t>
        </is>
      </c>
      <c r="M104" s="35" t="inlineStr">
        <is>
          <t>Product</t>
        </is>
      </c>
      <c r="N104" s="34" t="inlineStr">
        <is>
          <t>ข้อ 4 (PLE_CC1_Key_Rx20_UBU.md)</t>
        </is>
      </c>
      <c r="O104" s="35" t="inlineStr">
        <is>
          <t>Mock</t>
        </is>
      </c>
      <c r="P104" s="35" t="inlineStr">
        <is>
          <t>Mock Rx20 UBU</t>
        </is>
      </c>
    </row>
    <row r="105" ht="13.2" customHeight="1" s="49">
      <c r="A105" s="35" t="n">
        <v>103</v>
      </c>
      <c r="B105" s="34" t="inlineStr">
        <is>
          <t>Betamethasone dipropionate cream = C</t>
        </is>
      </c>
      <c r="C105" s="35" t="n"/>
      <c r="D105" s="34" t="inlineStr">
        <is>
          <t>Fatty Suppository base (Hard Fat / Witepsol)</t>
        </is>
      </c>
      <c r="E105" s="34" t="inlineStr">
        <is>
          <t>Simple Syrup USP (85% w/v Sucrose)</t>
        </is>
      </c>
      <c r="F105" s="34" t="inlineStr">
        <is>
          <t>Elixir with 10-20% Alcohol cosolvent</t>
        </is>
      </c>
      <c r="G105" s="34" t="inlineStr">
        <is>
          <t>Flocculated Oral Suspension with Xanthan Gum</t>
        </is>
      </c>
      <c r="H105" s="34" t="inlineStr">
        <is>
          <t>Deflocculated Suspension formulation</t>
        </is>
      </c>
      <c r="I105" s="35" t="n">
        <v>1</v>
      </c>
      <c r="J10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35" t="n"/>
      <c r="L105" s="34" t="inlineStr">
        <is>
          <t>Creams &amp; Ointments</t>
        </is>
      </c>
      <c r="M105" s="35" t="inlineStr">
        <is>
          <t>Product</t>
        </is>
      </c>
      <c r="N105" s="34" t="inlineStr">
        <is>
          <t>ข้อ 5 (PLE_CC1_Key_Rx20_UBU.md)</t>
        </is>
      </c>
      <c r="O105" s="35" t="inlineStr">
        <is>
          <t>Mock</t>
        </is>
      </c>
      <c r="P105" s="35" t="inlineStr">
        <is>
          <t>Mock Rx20 UBU</t>
        </is>
      </c>
    </row>
    <row r="106" ht="13.2" customHeight="1" s="49">
      <c r="A106" s="35" t="n">
        <v>104</v>
      </c>
      <c r="B106" s="34"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35" t="n"/>
      <c r="D106" s="34" t="inlineStr">
        <is>
          <t>Flocculated Oral Suspension with Xanthan Gum</t>
        </is>
      </c>
      <c r="E106" s="34" t="inlineStr">
        <is>
          <t>Deflocculated Suspension formulation</t>
        </is>
      </c>
      <c r="F106" s="34" t="inlineStr">
        <is>
          <t>O/W Emulsion stabilized by Polysorbate 80 / Span 80</t>
        </is>
      </c>
      <c r="G106" s="34" t="inlineStr">
        <is>
          <t>W/O Emulsion with Sorbitan monooleate</t>
        </is>
      </c>
      <c r="H106" s="34" t="inlineStr">
        <is>
          <t>Carbopol 940 hydrogel neutralized with Triethanolamine</t>
        </is>
      </c>
      <c r="I106" s="35" t="n">
        <v>2</v>
      </c>
      <c r="J106" s="34"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35" t="n"/>
      <c r="L106" s="34" t="inlineStr">
        <is>
          <t>Emulsions</t>
        </is>
      </c>
      <c r="M106" s="35" t="inlineStr">
        <is>
          <t>Product</t>
        </is>
      </c>
      <c r="N106" s="34" t="inlineStr">
        <is>
          <t>ข้อ 5 (PLE_CC1_Key_Rx20_UBU.md)</t>
        </is>
      </c>
      <c r="O106" s="35" t="inlineStr">
        <is>
          <t>Mock</t>
        </is>
      </c>
      <c r="P106" s="35" t="inlineStr">
        <is>
          <t>Mock Rx20 UBU</t>
        </is>
      </c>
    </row>
    <row r="107" ht="13.2" customHeight="1" s="49">
      <c r="A107" s="35" t="n">
        <v>105</v>
      </c>
      <c r="B107" s="34" t="inlineStr">
        <is>
          <t>Tween 80 เท่ากับ 56 % และ Span 80 เท่ากับ 44 %</t>
        </is>
      </c>
      <c r="C107" s="35" t="n"/>
      <c r="D107" s="34" t="inlineStr">
        <is>
          <t>W/O Emulsion with Sorbitan monooleate</t>
        </is>
      </c>
      <c r="E107" s="34" t="inlineStr">
        <is>
          <t>Carbopol 940 hydrogel neutralized with Triethanolamine</t>
        </is>
      </c>
      <c r="F107" s="34" t="inlineStr">
        <is>
          <t>Oleaginous Ointment base (White Petrolatum)</t>
        </is>
      </c>
      <c r="G107" s="34" t="inlineStr">
        <is>
          <t>Absorption Ointment base (Lanolin USP)</t>
        </is>
      </c>
      <c r="H107" s="34" t="inlineStr">
        <is>
          <t>Fatty Suppository base (Hard Fat / Witepsol)</t>
        </is>
      </c>
      <c r="I107" s="35" t="n">
        <v>1</v>
      </c>
      <c r="J10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35" t="n"/>
      <c r="L107" s="34" t="inlineStr">
        <is>
          <t>Emulsions</t>
        </is>
      </c>
      <c r="M107" s="35" t="inlineStr">
        <is>
          <t>Product</t>
        </is>
      </c>
      <c r="N107" s="34" t="inlineStr">
        <is>
          <t>ข้อ 1 (PLE_CC1_Key_Rx20_UBU.md)</t>
        </is>
      </c>
      <c r="O107" s="35" t="inlineStr">
        <is>
          <t>Mock</t>
        </is>
      </c>
      <c r="P107" s="35" t="inlineStr">
        <is>
          <t>Mock Rx20 UBU</t>
        </is>
      </c>
    </row>
    <row r="108" ht="13.2" customHeight="1" s="49">
      <c r="A108" s="35" t="n">
        <v>106</v>
      </c>
      <c r="B108" s="34" t="inlineStr">
        <is>
          <t>Tween 80 เท่ากับ 7 % และ Span 80 เท่ากับ 5 %</t>
        </is>
      </c>
      <c r="C108" s="35" t="n"/>
      <c r="D108" s="34" t="inlineStr">
        <is>
          <t>Absorption Ointment base (Lanolin USP)</t>
        </is>
      </c>
      <c r="E108" s="34" t="inlineStr">
        <is>
          <t>Fatty Suppository base (Hard Fat / Witepsol)</t>
        </is>
      </c>
      <c r="F108" s="34" t="inlineStr">
        <is>
          <t>Simple Syrup USP (85% w/v Sucrose)</t>
        </is>
      </c>
      <c r="G108" s="34" t="inlineStr">
        <is>
          <t>Elixir with 10-20% Alcohol cosolvent</t>
        </is>
      </c>
      <c r="H108" s="34" t="inlineStr">
        <is>
          <t>Flocculated Oral Suspension with Xanthan Gum</t>
        </is>
      </c>
      <c r="I108" s="35" t="n">
        <v>1</v>
      </c>
      <c r="J10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35" t="n"/>
      <c r="L108" s="34" t="inlineStr">
        <is>
          <t>Emulsions</t>
        </is>
      </c>
      <c r="M108" s="35" t="inlineStr">
        <is>
          <t>Product</t>
        </is>
      </c>
      <c r="N108" s="34" t="inlineStr">
        <is>
          <t>ข้อ 2 (PLE_CC1_Key_Rx20_UBU.md)</t>
        </is>
      </c>
      <c r="O108" s="35" t="inlineStr">
        <is>
          <t>Mock</t>
        </is>
      </c>
      <c r="P108" s="35" t="inlineStr">
        <is>
          <t>Mock Rx20 UBU</t>
        </is>
      </c>
    </row>
    <row r="109" ht="13.2" customHeight="1" s="49">
      <c r="A109" s="35" t="n">
        <v>107</v>
      </c>
      <c r="B109" s="34" t="inlineStr">
        <is>
          <t>Tween 80 เท่ากับ 5.6 % และ Span 80 เท่ากับ 4.4 %</t>
        </is>
      </c>
      <c r="C109" s="35" t="n"/>
      <c r="D109" s="34" t="inlineStr">
        <is>
          <t>Elixir with 10-20% Alcohol cosolvent</t>
        </is>
      </c>
      <c r="E109" s="34" t="inlineStr">
        <is>
          <t>Flocculated Oral Suspension with Xanthan Gum</t>
        </is>
      </c>
      <c r="F109" s="34" t="inlineStr">
        <is>
          <t>Deflocculated Suspension formulation</t>
        </is>
      </c>
      <c r="G109" s="34" t="inlineStr">
        <is>
          <t>O/W Emulsion stabilized by Polysorbate 80 / Span 80</t>
        </is>
      </c>
      <c r="H109" s="34" t="inlineStr">
        <is>
          <t>W/O Emulsion with Sorbitan monooleate</t>
        </is>
      </c>
      <c r="I109" s="35" t="n">
        <v>1</v>
      </c>
      <c r="J10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35" t="n"/>
      <c r="L109" s="34" t="inlineStr">
        <is>
          <t>Emulsions</t>
        </is>
      </c>
      <c r="M109" s="35" t="inlineStr">
        <is>
          <t>Product</t>
        </is>
      </c>
      <c r="N109" s="34" t="inlineStr">
        <is>
          <t>ข้อ 3 (PLE_CC1_Key_Rx20_UBU.md)</t>
        </is>
      </c>
      <c r="O109" s="35" t="inlineStr">
        <is>
          <t>Mock</t>
        </is>
      </c>
      <c r="P109" s="35" t="inlineStr">
        <is>
          <t>Mock Rx20 UBU</t>
        </is>
      </c>
    </row>
    <row r="110" ht="13.2" customHeight="1" s="49">
      <c r="A110" s="35" t="n">
        <v>108</v>
      </c>
      <c r="B110" s="34" t="inlineStr">
        <is>
          <t>Tween 80 เท่ากับ 5.8 % และ Span 80 เท่ากับ 4.2 %</t>
        </is>
      </c>
      <c r="C110" s="35" t="n"/>
      <c r="D110" s="34" t="inlineStr">
        <is>
          <t>O/W Emulsion stabilized by Polysorbate 80 / Span 80</t>
        </is>
      </c>
      <c r="E110" s="34" t="inlineStr">
        <is>
          <t>W/O Emulsion with Sorbitan monooleate</t>
        </is>
      </c>
      <c r="F110" s="34" t="inlineStr">
        <is>
          <t>Carbopol 940 hydrogel neutralized with Triethanolamine</t>
        </is>
      </c>
      <c r="G110" s="34" t="inlineStr">
        <is>
          <t>Oleaginous Ointment base (White Petrolatum)</t>
        </is>
      </c>
      <c r="H110" s="34" t="inlineStr">
        <is>
          <t>Absorption Ointment base (Lanolin USP)</t>
        </is>
      </c>
      <c r="I110" s="35" t="n">
        <v>1</v>
      </c>
      <c r="J11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35" t="n"/>
      <c r="L110" s="34" t="inlineStr">
        <is>
          <t>Emulsions</t>
        </is>
      </c>
      <c r="M110" s="35" t="inlineStr">
        <is>
          <t>Product</t>
        </is>
      </c>
      <c r="N110" s="34" t="inlineStr">
        <is>
          <t>ข้อ 4 (PLE_CC1_Key_Rx20_UBU.md)</t>
        </is>
      </c>
      <c r="O110" s="35" t="inlineStr">
        <is>
          <t>Mock</t>
        </is>
      </c>
      <c r="P110" s="35" t="inlineStr">
        <is>
          <t>Mock Rx20 UBU</t>
        </is>
      </c>
    </row>
    <row r="111" ht="13.2" customHeight="1" s="49">
      <c r="A111" s="35" t="n">
        <v>109</v>
      </c>
      <c r="B111" s="34" t="inlineStr">
        <is>
          <t>Tween 80 เท่ากับ 4.2 % และ Span 80 เท่ากับ 5.8 % &amp; Tweer 1 / -1 / Span 3 - - ิ → เหง้าSpr alliqout technique Tween80 = 7/12 x 10 = 5.83 % Span = 5/12 x 10 = 4.17 %</t>
        </is>
      </c>
      <c r="C111" s="35" t="n"/>
      <c r="D111" s="34" t="inlineStr">
        <is>
          <t>Oleaginous Ointment base (White Petrolatum)</t>
        </is>
      </c>
      <c r="E111" s="34" t="inlineStr">
        <is>
          <t>Absorption Ointment base (Lanolin USP)</t>
        </is>
      </c>
      <c r="F111" s="34" t="inlineStr">
        <is>
          <t>Fatty Suppository base (Hard Fat / Witepsol)</t>
        </is>
      </c>
      <c r="G111" s="34" t="inlineStr">
        <is>
          <t>Simple Syrup USP (85% w/v Sucrose)</t>
        </is>
      </c>
      <c r="H111" s="34" t="inlineStr">
        <is>
          <t>Elixir with 10-20% Alcohol cosolvent</t>
        </is>
      </c>
      <c r="I111" s="35" t="n">
        <v>5</v>
      </c>
      <c r="J111" s="34"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35" t="n"/>
      <c r="L111" s="34" t="inlineStr">
        <is>
          <t>Emulsions</t>
        </is>
      </c>
      <c r="M111" s="35" t="inlineStr">
        <is>
          <t>Product</t>
        </is>
      </c>
      <c r="N111" s="34" t="inlineStr">
        <is>
          <t>ข้อ 5 (PLE_CC1_Key_Rx20_UBU.md)</t>
        </is>
      </c>
      <c r="O111" s="35" t="inlineStr">
        <is>
          <t>Mock</t>
        </is>
      </c>
      <c r="P111" s="35" t="inlineStr">
        <is>
          <t>Mock Rx20 UBU</t>
        </is>
      </c>
    </row>
    <row r="112" ht="13.2" customHeight="1" s="49">
      <c r="A112" s="35" t="n">
        <v>110</v>
      </c>
      <c r="B112" s="34" t="inlineStr">
        <is>
          <t>O/W เนื่องจากตำรับดังกล่าวมีส่วนของวัฏภาคน้ำสูงกว่าวัฏภาคน้ำมัน และมีค่า HLB ของ Emulsifier ที่สูง</t>
        </is>
      </c>
      <c r="C112" s="35" t="n"/>
      <c r="D112" s="34" t="inlineStr">
        <is>
          <t>Simple Syrup USP (85% w/v Sucrose)</t>
        </is>
      </c>
      <c r="E112" s="34" t="inlineStr">
        <is>
          <t>Elixir with 10-20% Alcohol cosolvent</t>
        </is>
      </c>
      <c r="F112" s="34" t="inlineStr">
        <is>
          <t>Flocculated Oral Suspension with Xanthan Gum</t>
        </is>
      </c>
      <c r="G112" s="34" t="inlineStr">
        <is>
          <t>Deflocculated Suspension formulation</t>
        </is>
      </c>
      <c r="H112" s="34" t="inlineStr">
        <is>
          <t>O/W Emulsion stabilized by Polysorbate 80 / Span 80</t>
        </is>
      </c>
      <c r="I112" s="35" t="n">
        <v>1</v>
      </c>
      <c r="J11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35" t="n"/>
      <c r="L112" s="34" t="inlineStr">
        <is>
          <t>Emulsions</t>
        </is>
      </c>
      <c r="M112" s="35" t="inlineStr">
        <is>
          <t>Product</t>
        </is>
      </c>
      <c r="N112" s="34" t="inlineStr">
        <is>
          <t>ข้อ 1 (PLE_CC1_Key_Rx20_UBU.md)</t>
        </is>
      </c>
      <c r="O112" s="35" t="inlineStr">
        <is>
          <t>Mock</t>
        </is>
      </c>
      <c r="P112" s="35" t="inlineStr">
        <is>
          <t>Mock Rx20 UBU</t>
        </is>
      </c>
    </row>
    <row r="113" ht="13.2" customHeight="1" s="49">
      <c r="A113" s="35" t="n">
        <v>111</v>
      </c>
      <c r="B113" s="34" t="inlineStr">
        <is>
          <t>W/O เนื่องจากตำรับดังกล่าวมีส่วนของวัฏภาคน้ำมันสูงกว่าวัฏภาคน้ำ และมีค่า HLB ของ Emulsifier ที่สูง</t>
        </is>
      </c>
      <c r="C113" s="35" t="n"/>
      <c r="D113" s="34" t="inlineStr">
        <is>
          <t>Deflocculated Suspension formulation</t>
        </is>
      </c>
      <c r="E113" s="34" t="inlineStr">
        <is>
          <t>O/W Emulsion stabilized by Polysorbate 80 / Span 80</t>
        </is>
      </c>
      <c r="F113" s="34" t="inlineStr">
        <is>
          <t>W/O Emulsion with Sorbitan monooleate</t>
        </is>
      </c>
      <c r="G113" s="34" t="inlineStr">
        <is>
          <t>Carbopol 940 hydrogel neutralized with Triethanolamine</t>
        </is>
      </c>
      <c r="H113" s="34" t="inlineStr">
        <is>
          <t>Oleaginous Ointment base (White Petrolatum)</t>
        </is>
      </c>
      <c r="I113" s="35" t="n">
        <v>1</v>
      </c>
      <c r="J11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35" t="n"/>
      <c r="L113" s="34" t="inlineStr">
        <is>
          <t>Emulsions</t>
        </is>
      </c>
      <c r="M113" s="35" t="inlineStr">
        <is>
          <t>Product</t>
        </is>
      </c>
      <c r="N113" s="34" t="inlineStr">
        <is>
          <t>ข้อ 3 (PLE_CC1_Key_Rx20_UBU.md)</t>
        </is>
      </c>
      <c r="O113" s="35" t="inlineStr">
        <is>
          <t>Mock</t>
        </is>
      </c>
      <c r="P113" s="35" t="inlineStr">
        <is>
          <t>Mock Rx20 UBU</t>
        </is>
      </c>
    </row>
    <row r="114" ht="13.2" customHeight="1" s="49">
      <c r="A114" s="35" t="n">
        <v>112</v>
      </c>
      <c r="B114" s="34" t="inlineStr">
        <is>
          <t>เนื่องจากตำรับดังกล่าวมีการใช้ Tween และ Span ซึ่งเป็น Emulsifier ชนิด Non-ionic surfactant Emulsifier ที่สูง</t>
        </is>
      </c>
      <c r="C114" s="35" t="n"/>
      <c r="D114" s="34" t="inlineStr">
        <is>
          <t>Carbopol 940 hydrogel neutralized with Triethanolamine</t>
        </is>
      </c>
      <c r="E114" s="34" t="inlineStr">
        <is>
          <t>Oleaginous Ointment base (White Petrolatum)</t>
        </is>
      </c>
      <c r="F114" s="34" t="inlineStr">
        <is>
          <t>Absorption Ointment base (Lanolin USP)</t>
        </is>
      </c>
      <c r="G114" s="34" t="inlineStr">
        <is>
          <t>Fatty Suppository base (Hard Fat / Witepsol)</t>
        </is>
      </c>
      <c r="H114" s="34" t="inlineStr">
        <is>
          <t>Simple Syrup USP (85% w/v Sucrose)</t>
        </is>
      </c>
      <c r="I114" s="35" t="n">
        <v>4</v>
      </c>
      <c r="J114" s="34"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35" t="n"/>
      <c r="L114" s="34" t="inlineStr">
        <is>
          <t>Emulsions</t>
        </is>
      </c>
      <c r="M114" s="35" t="inlineStr">
        <is>
          <t>Product</t>
        </is>
      </c>
      <c r="N114" s="34" t="inlineStr">
        <is>
          <t>ข้อ 5 (PLE_CC1_Key_Rx20_UBU.md)</t>
        </is>
      </c>
      <c r="O114" s="35" t="inlineStr">
        <is>
          <t>Mock</t>
        </is>
      </c>
      <c r="P114" s="35" t="inlineStr">
        <is>
          <t>Mock Rx20 UBU</t>
        </is>
      </c>
    </row>
    <row r="115" ht="13.2" customHeight="1" s="49">
      <c r="A115" s="35" t="n">
        <v>113</v>
      </c>
      <c r="B115" s="34" t="inlineStr">
        <is>
          <t>ยาครีมอิมัลชันที่แยกชั้นออกจากกัน</t>
        </is>
      </c>
      <c r="C115" s="35" t="n"/>
      <c r="D115" s="34" t="inlineStr">
        <is>
          <t>Fatty Suppository base (Hard Fat / Witepsol)</t>
        </is>
      </c>
      <c r="E115" s="34" t="inlineStr">
        <is>
          <t>Simple Syrup USP (85% w/v Sucrose)</t>
        </is>
      </c>
      <c r="F115" s="34" t="inlineStr">
        <is>
          <t>Elixir with 10-20% Alcohol cosolvent</t>
        </is>
      </c>
      <c r="G115" s="34" t="inlineStr">
        <is>
          <t>Flocculated Oral Suspension with Xanthan Gum</t>
        </is>
      </c>
      <c r="H115" s="34" t="inlineStr">
        <is>
          <t>Deflocculated Suspension formulation</t>
        </is>
      </c>
      <c r="I115" s="35" t="n">
        <v>1</v>
      </c>
      <c r="J11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35" t="n"/>
      <c r="L115" s="34" t="inlineStr">
        <is>
          <t>Creams &amp; Ointments</t>
        </is>
      </c>
      <c r="M115" s="35" t="inlineStr">
        <is>
          <t>Product</t>
        </is>
      </c>
      <c r="N115" s="34" t="inlineStr">
        <is>
          <t>ข้อ 1 (PLE_CC1_Key_Rx20_UBU.md)</t>
        </is>
      </c>
      <c r="O115" s="35" t="inlineStr">
        <is>
          <t>Mock</t>
        </is>
      </c>
      <c r="P115" s="35" t="inlineStr">
        <is>
          <t>Mock Rx20 UBU</t>
        </is>
      </c>
    </row>
    <row r="116" ht="13.2" customHeight="1" s="49">
      <c r="A116" s="35" t="n">
        <v>114</v>
      </c>
      <c r="B116" s="34"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35" t="n"/>
      <c r="D116" s="34" t="inlineStr">
        <is>
          <t>Flocculated Oral Suspension with Xanthan Gum</t>
        </is>
      </c>
      <c r="E116" s="34" t="inlineStr">
        <is>
          <t>Deflocculated Suspension formulation</t>
        </is>
      </c>
      <c r="F116" s="34" t="inlineStr">
        <is>
          <t>O/W Emulsion stabilized by Polysorbate 80 / Span 80</t>
        </is>
      </c>
      <c r="G116" s="34" t="inlineStr">
        <is>
          <t>W/O Emulsion with Sorbitan monooleate</t>
        </is>
      </c>
      <c r="H116" s="34" t="inlineStr">
        <is>
          <t>Carbopol 940 hydrogel neutralized with Triethanolamine</t>
        </is>
      </c>
      <c r="I116" s="35" t="n">
        <v>1</v>
      </c>
      <c r="J11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35" t="n"/>
      <c r="L116" s="34" t="inlineStr">
        <is>
          <t>Creams &amp; Ointments</t>
        </is>
      </c>
      <c r="M116" s="35" t="inlineStr">
        <is>
          <t>Product</t>
        </is>
      </c>
      <c r="N116" s="34" t="inlineStr">
        <is>
          <t>ข้อ 4 (PLE_CC1_Key_Rx20_UBU.md)</t>
        </is>
      </c>
      <c r="O116" s="35" t="inlineStr">
        <is>
          <t>Mock</t>
        </is>
      </c>
      <c r="P116" s="35" t="inlineStr">
        <is>
          <t>Mock Rx20 UBU</t>
        </is>
      </c>
    </row>
    <row r="117" ht="13.2" customHeight="1" s="49">
      <c r="A117" s="35" t="n">
        <v>115</v>
      </c>
      <c r="B117" s="34" t="inlineStr">
        <is>
          <t>Reducing sugar Mayer’s test ให้ผลเป็นสีครีม และ Dragendorff’s test ได้เป็นตะกอนสีส้ม คือผลการทดสอบสารกลุ่ม Alkaloids</t>
        </is>
      </c>
      <c r="C117" s="35" t="n"/>
      <c r="D117" s="34" t="inlineStr">
        <is>
          <t>W/O Emulsion with Sorbitan monooleate</t>
        </is>
      </c>
      <c r="E117" s="34" t="inlineStr">
        <is>
          <t>Carbopol 940 hydrogel neutralized with Triethanolamine</t>
        </is>
      </c>
      <c r="F117" s="34" t="inlineStr">
        <is>
          <t>Oleaginous Ointment base (White Petrolatum)</t>
        </is>
      </c>
      <c r="G117" s="34" t="inlineStr">
        <is>
          <t>Absorption Ointment base (Lanolin USP)</t>
        </is>
      </c>
      <c r="H117" s="34" t="inlineStr">
        <is>
          <t>Fatty Suppository base (Hard Fat / Witepsol)</t>
        </is>
      </c>
      <c r="I117" s="35" t="n">
        <v>1</v>
      </c>
      <c r="J11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35" t="n"/>
      <c r="L117" s="34" t="inlineStr">
        <is>
          <t>Creams &amp; Ointments</t>
        </is>
      </c>
      <c r="M117" s="35" t="inlineStr">
        <is>
          <t>Product</t>
        </is>
      </c>
      <c r="N117" s="34" t="inlineStr">
        <is>
          <t>ข้อ 5 (PLE_CC1_Key_Rx20_UBU.md)</t>
        </is>
      </c>
      <c r="O117" s="35" t="inlineStr">
        <is>
          <t>Mock</t>
        </is>
      </c>
      <c r="P117" s="35" t="inlineStr">
        <is>
          <t>Mock Rx20 UBU</t>
        </is>
      </c>
    </row>
    <row r="118" ht="13.2" customHeight="1" s="49">
      <c r="A118" s="35" t="n">
        <v>116</v>
      </c>
      <c r="B118" s="34" t="inlineStr">
        <is>
          <t>เป็น noninonic surfactant เพื่อเลียนแบบสภาวะในกระเพาะอาหาร</t>
        </is>
      </c>
      <c r="C118" s="35" t="n"/>
      <c r="D118" s="34" t="inlineStr">
        <is>
          <t>Absorption Ointment base (Lanolin USP)</t>
        </is>
      </c>
      <c r="E118" s="34" t="inlineStr">
        <is>
          <t>Fatty Suppository base (Hard Fat / Witepsol)</t>
        </is>
      </c>
      <c r="F118" s="34" t="inlineStr">
        <is>
          <t>Simple Syrup USP (85% w/v Sucrose)</t>
        </is>
      </c>
      <c r="G118" s="34" t="inlineStr">
        <is>
          <t>Elixir with 10-20% Alcohol cosolvent</t>
        </is>
      </c>
      <c r="H118" s="34" t="inlineStr">
        <is>
          <t>Flocculated Oral Suspension with Xanthan Gum</t>
        </is>
      </c>
      <c r="I118" s="35" t="n">
        <v>1</v>
      </c>
      <c r="J11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35" t="n"/>
      <c r="L118" s="34" t="inlineStr">
        <is>
          <t>Emulsions</t>
        </is>
      </c>
      <c r="M118" s="35" t="inlineStr">
        <is>
          <t>Product</t>
        </is>
      </c>
      <c r="N118" s="34" t="inlineStr">
        <is>
          <t>ข้อ 1 (PLE_CC1_Key_Rx20_UBU.md)</t>
        </is>
      </c>
      <c r="O118" s="35" t="inlineStr">
        <is>
          <t>Mock</t>
        </is>
      </c>
      <c r="P118" s="35" t="inlineStr">
        <is>
          <t>Mock Rx20 UBU</t>
        </is>
      </c>
    </row>
    <row r="119" ht="13.2" customHeight="1" s="49">
      <c r="A119" s="35" t="n">
        <v>117</v>
      </c>
      <c r="B119" s="34"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35" t="n"/>
      <c r="D119" s="34" t="inlineStr">
        <is>
          <t>Elixir with 10-20% Alcohol cosolvent</t>
        </is>
      </c>
      <c r="E119" s="34" t="inlineStr">
        <is>
          <t>Flocculated Oral Suspension with Xanthan Gum</t>
        </is>
      </c>
      <c r="F119" s="34" t="inlineStr">
        <is>
          <t>Deflocculated Suspension formulation</t>
        </is>
      </c>
      <c r="G119" s="34" t="inlineStr">
        <is>
          <t>O/W Emulsion stabilized by Polysorbate 80 / Span 80</t>
        </is>
      </c>
      <c r="H119" s="34" t="inlineStr">
        <is>
          <t>W/O Emulsion with Sorbitan monooleate</t>
        </is>
      </c>
      <c r="I119" s="35" t="n">
        <v>1</v>
      </c>
      <c r="J119" s="34"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35" t="n"/>
      <c r="L119" s="34" t="inlineStr">
        <is>
          <t>Solutions, Syrups &amp; Elixirs</t>
        </is>
      </c>
      <c r="M119" s="35" t="inlineStr">
        <is>
          <t>Product</t>
        </is>
      </c>
      <c r="N119" s="34" t="inlineStr">
        <is>
          <t>ข้อ 73 (PLE_CC1_Key_Rx20_UBU.md)</t>
        </is>
      </c>
      <c r="O119" s="35" t="inlineStr">
        <is>
          <t>Mock</t>
        </is>
      </c>
      <c r="P119" s="35" t="inlineStr">
        <is>
          <t>Mock Rx20 UBU</t>
        </is>
      </c>
    </row>
    <row r="120" ht="13.2" customHeight="1" s="49">
      <c r="A120" s="35" t="n">
        <v>118</v>
      </c>
      <c r="B120" s="34"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35" t="n"/>
      <c r="D120" s="34" t="inlineStr">
        <is>
          <t>O/W Emulsion stabilized by Polysorbate 80 / Span 80</t>
        </is>
      </c>
      <c r="E120" s="34" t="inlineStr">
        <is>
          <t>W/O Emulsion with Sorbitan monooleate</t>
        </is>
      </c>
      <c r="F120" s="34" t="inlineStr">
        <is>
          <t>Carbopol 940 hydrogel neutralized with Triethanolamine</t>
        </is>
      </c>
      <c r="G120" s="34" t="inlineStr">
        <is>
          <t>Oleaginous Ointment base (White Petrolatum)</t>
        </is>
      </c>
      <c r="H120" s="34" t="inlineStr">
        <is>
          <t>Absorption Ointment base (Lanolin USP)</t>
        </is>
      </c>
      <c r="I120" s="35" t="n">
        <v>1</v>
      </c>
      <c r="J12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35" t="n"/>
      <c r="L120" s="34" t="inlineStr">
        <is>
          <t>Emulsions</t>
        </is>
      </c>
      <c r="M120" s="35" t="inlineStr">
        <is>
          <t>Product</t>
        </is>
      </c>
      <c r="N120" s="34" t="inlineStr">
        <is>
          <t>ข้อ 1 (PLE_CC1_Key_Rx20_UBU.md)</t>
        </is>
      </c>
      <c r="O120" s="35" t="inlineStr">
        <is>
          <t>Mock</t>
        </is>
      </c>
      <c r="P120" s="35" t="inlineStr">
        <is>
          <t>Mock Rx20 UBU</t>
        </is>
      </c>
    </row>
    <row r="121" ht="13.2" customHeight="1" s="49">
      <c r="A121" s="35" t="n">
        <v>119</v>
      </c>
      <c r="B121" s="34" t="inlineStr">
        <is>
          <t>Hydrophilic colloids: acacia, tragacanth, pectic, sodium alginate, gelatin, Cellulose derivative( Methylcellulose, sodium carboxy methylcellulose, ethylcellulose</t>
        </is>
      </c>
      <c r="C121" s="35" t="n"/>
      <c r="D121" s="34" t="inlineStr">
        <is>
          <t>Oleaginous Ointment base (White Petrolatum)</t>
        </is>
      </c>
      <c r="E121" s="34" t="inlineStr">
        <is>
          <t>Absorption Ointment base (Lanolin USP)</t>
        </is>
      </c>
      <c r="F121" s="34" t="inlineStr">
        <is>
          <t>Fatty Suppository base (Hard Fat / Witepsol)</t>
        </is>
      </c>
      <c r="G121" s="34" t="inlineStr">
        <is>
          <t>Simple Syrup USP (85% w/v Sucrose)</t>
        </is>
      </c>
      <c r="H121" s="34" t="inlineStr">
        <is>
          <t>Elixir with 10-20% Alcohol cosolvent</t>
        </is>
      </c>
      <c r="I121" s="35" t="n">
        <v>1</v>
      </c>
      <c r="J12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35" t="n"/>
      <c r="L121" s="34" t="inlineStr">
        <is>
          <t>Gels</t>
        </is>
      </c>
      <c r="M121" s="35" t="inlineStr">
        <is>
          <t>Product</t>
        </is>
      </c>
      <c r="N121" s="34" t="inlineStr">
        <is>
          <t>ข้อ 2 (PLE_CC1_Key_Rx20_UBU.md)</t>
        </is>
      </c>
      <c r="O121" s="35" t="inlineStr">
        <is>
          <t>Mock</t>
        </is>
      </c>
      <c r="P121" s="35" t="inlineStr">
        <is>
          <t>Mock Rx20 UBU</t>
        </is>
      </c>
    </row>
    <row r="122" ht="13.2" customHeight="1" s="49">
      <c r="A122" s="35" t="n">
        <v>120</v>
      </c>
      <c r="B122" s="34"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35" t="n"/>
      <c r="D122" s="34" t="inlineStr">
        <is>
          <t>Simple Syrup USP (85% w/v Sucrose)</t>
        </is>
      </c>
      <c r="E122" s="34" t="inlineStr">
        <is>
          <t>Elixir with 10-20% Alcohol cosolvent</t>
        </is>
      </c>
      <c r="F122" s="34" t="inlineStr">
        <is>
          <t>Flocculated Oral Suspension with Xanthan Gum</t>
        </is>
      </c>
      <c r="G122" s="34" t="inlineStr">
        <is>
          <t>Deflocculated Suspension formulation</t>
        </is>
      </c>
      <c r="H122" s="34" t="inlineStr">
        <is>
          <t>O/W Emulsion stabilized by Polysorbate 80 / Span 80</t>
        </is>
      </c>
      <c r="I122" s="35" t="n">
        <v>3</v>
      </c>
      <c r="J122" s="34"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35" t="n"/>
      <c r="L122" s="34" t="inlineStr">
        <is>
          <t>Creams &amp; Ointments</t>
        </is>
      </c>
      <c r="M122" s="35" t="inlineStr">
        <is>
          <t>Product</t>
        </is>
      </c>
      <c r="N122" s="34" t="inlineStr">
        <is>
          <t>ข้อ 44 (PLE_CC1_Key_Rx20_UBU.md)</t>
        </is>
      </c>
      <c r="O122" s="35" t="inlineStr">
        <is>
          <t>Mock</t>
        </is>
      </c>
      <c r="P122" s="35" t="inlineStr">
        <is>
          <t>Mock Rx20 UBU</t>
        </is>
      </c>
    </row>
    <row r="123" ht="13.2" customHeight="1" s="49">
      <c r="A123" s="35" t="n">
        <v>121</v>
      </c>
      <c r="B123" s="34" t="inlineStr">
        <is>
          <t>วิทยุโฆษณาชุมชน โฆษณาวGา .” รักษาสิว นึกถึง clindamycin gel” ทำได$หรือไมG</t>
        </is>
      </c>
      <c r="C123" s="35" t="n"/>
      <c r="D123" s="34" t="inlineStr">
        <is>
          <t>Deflocculated Suspension formulation</t>
        </is>
      </c>
      <c r="E123" s="34" t="inlineStr">
        <is>
          <t>O/W Emulsion stabilized by Polysorbate 80 / Span 80</t>
        </is>
      </c>
      <c r="F123" s="34" t="inlineStr">
        <is>
          <t>W/O Emulsion with Sorbitan monooleate</t>
        </is>
      </c>
      <c r="G123" s="34" t="inlineStr">
        <is>
          <t>Carbopol 940 hydrogel neutralized with Triethanolamine</t>
        </is>
      </c>
      <c r="H123" s="34" t="inlineStr">
        <is>
          <t>Oleaginous Ointment base (White Petrolatum)</t>
        </is>
      </c>
      <c r="I123" s="35" t="n">
        <v>1</v>
      </c>
      <c r="J12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35" t="n"/>
      <c r="L123" s="34" t="inlineStr">
        <is>
          <t>Gels</t>
        </is>
      </c>
      <c r="M123" s="35" t="inlineStr">
        <is>
          <t>Product</t>
        </is>
      </c>
      <c r="N123" s="34" t="inlineStr">
        <is>
          <t>ข้อ 9 (PLE_CC1_Key_Rx20_UBU.md)</t>
        </is>
      </c>
      <c r="O123" s="35" t="inlineStr">
        <is>
          <t>Mock</t>
        </is>
      </c>
      <c r="P123" s="35" t="inlineStr">
        <is>
          <t>Mock Rx20 UBU</t>
        </is>
      </c>
    </row>
    <row r="124" ht="13.2" customHeight="1" s="49">
      <c r="A124" s="35" t="n">
        <v>122</v>
      </c>
      <c r="B124" s="34"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35" t="n"/>
      <c r="D124" s="34" t="inlineStr">
        <is>
          <t>Carbopol 940 hydrogel neutralized with Triethanolamine</t>
        </is>
      </c>
      <c r="E124" s="34" t="inlineStr">
        <is>
          <t>Oleaginous Ointment base (White Petrolatum)</t>
        </is>
      </c>
      <c r="F124" s="34" t="inlineStr">
        <is>
          <t>Absorption Ointment base (Lanolin USP)</t>
        </is>
      </c>
      <c r="G124" s="34" t="inlineStr">
        <is>
          <t>Fatty Suppository base (Hard Fat / Witepsol)</t>
        </is>
      </c>
      <c r="H124" s="34" t="inlineStr">
        <is>
          <t>Simple Syrup USP (85% w/v Sucrose)</t>
        </is>
      </c>
      <c r="I124" s="35" t="n">
        <v>2</v>
      </c>
      <c r="J124" s="34"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35" t="n"/>
      <c r="L124" s="34" t="inlineStr">
        <is>
          <t>Creams &amp; Ointments</t>
        </is>
      </c>
      <c r="M124" s="35" t="inlineStr">
        <is>
          <t>Product</t>
        </is>
      </c>
      <c r="N124" s="34" t="inlineStr">
        <is>
          <t>ข้อ 5 (PLE_CC1_Key_Rx20_UBU.md)</t>
        </is>
      </c>
      <c r="O124" s="35" t="inlineStr">
        <is>
          <t>Mock</t>
        </is>
      </c>
      <c r="P124" s="35" t="inlineStr">
        <is>
          <t>Mock Rx20 UBU</t>
        </is>
      </c>
    </row>
    <row r="125" ht="13.2" customHeight="1" s="49">
      <c r="A125" s="35" t="n">
        <v>123</v>
      </c>
      <c r="B125" s="34" t="inlineStr">
        <is>
          <t>Chloramphenicol eye drop + Oxytetracycline ophthalmic ointment</t>
        </is>
      </c>
      <c r="C125" s="35" t="n"/>
      <c r="D125" s="34" t="inlineStr">
        <is>
          <t>Fatty Suppository base (Hard Fat / Witepsol)</t>
        </is>
      </c>
      <c r="E125" s="34" t="inlineStr">
        <is>
          <t>Simple Syrup USP (85% w/v Sucrose)</t>
        </is>
      </c>
      <c r="F125" s="34" t="inlineStr">
        <is>
          <t>Elixir with 10-20% Alcohol cosolvent</t>
        </is>
      </c>
      <c r="G125" s="34" t="inlineStr">
        <is>
          <t>Flocculated Oral Suspension with Xanthan Gum</t>
        </is>
      </c>
      <c r="H125" s="34" t="inlineStr">
        <is>
          <t>Deflocculated Suspension formulation</t>
        </is>
      </c>
      <c r="I125" s="35" t="n">
        <v>1</v>
      </c>
      <c r="J12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35" t="n"/>
      <c r="L125" s="34" t="inlineStr">
        <is>
          <t>Creams &amp; Ointments</t>
        </is>
      </c>
      <c r="M125" s="35" t="inlineStr">
        <is>
          <t>Product</t>
        </is>
      </c>
      <c r="N125" s="34" t="inlineStr">
        <is>
          <t>ข้อ 3 (PLE_CC1_Key_Rx20_UBU.md)</t>
        </is>
      </c>
      <c r="O125" s="35" t="inlineStr">
        <is>
          <t>Mock</t>
        </is>
      </c>
      <c r="P125" s="35" t="inlineStr">
        <is>
          <t>Mock Rx20 UBU</t>
        </is>
      </c>
    </row>
    <row r="126" ht="13.2" customHeight="1" s="49">
      <c r="A126" s="35" t="n">
        <v>124</v>
      </c>
      <c r="B126" s="34" t="inlineStr">
        <is>
          <t>Oxytetracycline ophthalmic ointment + Gentamicin eye drop</t>
        </is>
      </c>
      <c r="C126" s="35" t="n"/>
      <c r="D126" s="34" t="inlineStr">
        <is>
          <t>Flocculated Oral Suspension with Xanthan Gum</t>
        </is>
      </c>
      <c r="E126" s="34" t="inlineStr">
        <is>
          <t>Deflocculated Suspension formulation</t>
        </is>
      </c>
      <c r="F126" s="34" t="inlineStr">
        <is>
          <t>O/W Emulsion stabilized by Polysorbate 80 / Span 80</t>
        </is>
      </c>
      <c r="G126" s="34" t="inlineStr">
        <is>
          <t>W/O Emulsion with Sorbitan monooleate</t>
        </is>
      </c>
      <c r="H126" s="34" t="inlineStr">
        <is>
          <t>Carbopol 940 hydrogel neutralized with Triethanolamine</t>
        </is>
      </c>
      <c r="I126" s="35" t="n">
        <v>1</v>
      </c>
      <c r="J12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35" t="n"/>
      <c r="L126" s="34" t="inlineStr">
        <is>
          <t>Creams &amp; Ointments</t>
        </is>
      </c>
      <c r="M126" s="35" t="inlineStr">
        <is>
          <t>Product</t>
        </is>
      </c>
      <c r="N126" s="34" t="inlineStr">
        <is>
          <t>ข้อ 4 (PLE_CC1_Key_Rx20_UBU.md)</t>
        </is>
      </c>
      <c r="O126" s="35" t="inlineStr">
        <is>
          <t>Mock</t>
        </is>
      </c>
      <c r="P126" s="35" t="inlineStr">
        <is>
          <t>Mock Rx20 UBU</t>
        </is>
      </c>
    </row>
    <row r="127" ht="13.2" customHeight="1" s="49">
      <c r="A127" s="35" t="n">
        <v>125</v>
      </c>
      <c r="B127" s="34" t="inlineStr">
        <is>
          <t>Polymixin B + Neomycin ointment</t>
        </is>
      </c>
      <c r="C127" s="35" t="n"/>
      <c r="D127" s="34" t="inlineStr">
        <is>
          <t>W/O Emulsion with Sorbitan monooleate</t>
        </is>
      </c>
      <c r="E127" s="34" t="inlineStr">
        <is>
          <t>Carbopol 940 hydrogel neutralized with Triethanolamine</t>
        </is>
      </c>
      <c r="F127" s="34" t="inlineStr">
        <is>
          <t>Oleaginous Ointment base (White Petrolatum)</t>
        </is>
      </c>
      <c r="G127" s="34" t="inlineStr">
        <is>
          <t>Absorption Ointment base (Lanolin USP)</t>
        </is>
      </c>
      <c r="H127" s="34" t="inlineStr">
        <is>
          <t>Fatty Suppository base (Hard Fat / Witepsol)</t>
        </is>
      </c>
      <c r="I127" s="35" t="n">
        <v>1</v>
      </c>
      <c r="J12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35" t="n"/>
      <c r="L127" s="34" t="inlineStr">
        <is>
          <t>Creams &amp; Ointments</t>
        </is>
      </c>
      <c r="M127" s="35" t="inlineStr">
        <is>
          <t>Product</t>
        </is>
      </c>
      <c r="N127" s="34" t="inlineStr">
        <is>
          <t>ข้อ 2 (PLE_CC1_Key_Rx20_UBU.md)</t>
        </is>
      </c>
      <c r="O127" s="35" t="inlineStr">
        <is>
          <t>Mock</t>
        </is>
      </c>
      <c r="P127" s="35" t="inlineStr">
        <is>
          <t>Mock Rx20 UBU</t>
        </is>
      </c>
    </row>
    <row r="128" ht="13.2" customHeight="1" s="49">
      <c r="A128" s="35" t="n">
        <v>126</v>
      </c>
      <c r="B128" s="34" t="inlineStr">
        <is>
          <t>16 ไม่มีคำตอบ คิดได้ 11.97 Liquid parafin 30% 33.5% 30/33.5 x 12 = 10.75 HLB 11.97 Wool fat 2% 2/33.5 x 10 = 0.597 Stearyl alcohol 1.5%</t>
        </is>
      </c>
      <c r="C128" s="35" t="n"/>
      <c r="D128" s="34" t="inlineStr">
        <is>
          <t>5/33.5 x 14 = 0.627</t>
        </is>
      </c>
      <c r="E128" s="34" t="inlineStr">
        <is>
          <t>Fatty Suppository base (Hard Fat / Witepsol)</t>
        </is>
      </c>
      <c r="F128" s="34" t="inlineStr">
        <is>
          <t>Simple Syrup USP (85% w/v Sucrose)</t>
        </is>
      </c>
      <c r="G128" s="34" t="inlineStr">
        <is>
          <t>Elixir with 10-20% Alcohol cosolvent</t>
        </is>
      </c>
      <c r="H128" s="34" t="inlineStr">
        <is>
          <t>Flocculated Oral Suspension with Xanthan Gum</t>
        </is>
      </c>
      <c r="I128" s="35" t="n">
        <v>1</v>
      </c>
      <c r="J128" s="34"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35" t="n"/>
      <c r="L128" s="34" t="inlineStr">
        <is>
          <t>Emulsions</t>
        </is>
      </c>
      <c r="M128" s="35" t="inlineStr">
        <is>
          <t>Product</t>
        </is>
      </c>
      <c r="N128" s="34" t="inlineStr">
        <is>
          <t>ข้อ 4 (PLE_CC1_Key_Rx20_UBU.md)</t>
        </is>
      </c>
      <c r="O128" s="35" t="inlineStr">
        <is>
          <t>Mock</t>
        </is>
      </c>
      <c r="P128" s="35" t="inlineStr">
        <is>
          <t>Mock Rx20 UBU</t>
        </is>
      </c>
    </row>
    <row r="129" ht="13.2" customHeight="1" s="49">
      <c r="A129" s="35" t="n">
        <v>127</v>
      </c>
      <c r="B129" s="34" t="inlineStr">
        <is>
          <t>หากจะเปลี่ยนจากยา Clotrimazole cream เป็นยารูปแบบรับประทาน ควรใช้ยาใด</t>
        </is>
      </c>
      <c r="C129" s="35" t="n"/>
      <c r="D129" s="34" t="inlineStr">
        <is>
          <t>Ketoconazole</t>
        </is>
      </c>
      <c r="E129" s="34" t="inlineStr">
        <is>
          <t>Posaconazole</t>
        </is>
      </c>
      <c r="F129" s="34" t="inlineStr">
        <is>
          <t>Miconazole</t>
        </is>
      </c>
      <c r="G129" s="34" t="inlineStr">
        <is>
          <t>Fluconazole</t>
        </is>
      </c>
      <c r="H129" s="34" t="inlineStr">
        <is>
          <t>Griseofulvin หลังจากนั้นสักพักผู้ป่วยอาการไม่ดีขึ้น เมื่อไปพบแพทย์ แพทย์จ่ายยา Itraconazole มาให้รับประทาน</t>
        </is>
      </c>
      <c r="I129" s="35" t="n">
        <v>4</v>
      </c>
      <c r="J129" s="34"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35" t="n"/>
      <c r="L129" s="34" t="inlineStr">
        <is>
          <t>Creams &amp; Ointments</t>
        </is>
      </c>
      <c r="M129" s="35" t="inlineStr">
        <is>
          <t>Product</t>
        </is>
      </c>
      <c r="N129" s="34" t="inlineStr">
        <is>
          <t>ข้อ 13 (PLE_CC1_Key_Rx20_UBU.md)</t>
        </is>
      </c>
      <c r="O129" s="35" t="inlineStr">
        <is>
          <t>Mock</t>
        </is>
      </c>
      <c r="P129" s="35" t="inlineStr">
        <is>
          <t>Mock Rx20 UBU</t>
        </is>
      </c>
    </row>
    <row r="130" ht="13.2" customHeight="1" s="49">
      <c r="A130" s="35" t="n">
        <v>128</v>
      </c>
      <c r="B130" s="34" t="inlineStr">
        <is>
          <t>ยาทา Piroxicam cream จะต้องทำ Specific test ในหัวข้อใด</t>
        </is>
      </c>
      <c r="C130" s="35" t="n"/>
      <c r="D130" s="34" t="inlineStr">
        <is>
          <t>Microbial limit test</t>
        </is>
      </c>
      <c r="E130" s="34" t="inlineStr">
        <is>
          <t>Impurity</t>
        </is>
      </c>
      <c r="F130" s="34" t="inlineStr">
        <is>
          <t>Identification</t>
        </is>
      </c>
      <c r="G130" s="34" t="inlineStr">
        <is>
          <t>Assay</t>
        </is>
      </c>
      <c r="H130" s="34" t="inlineStr">
        <is>
          <t>Description</t>
        </is>
      </c>
      <c r="I130" s="35" t="n">
        <v>2</v>
      </c>
      <c r="J130" s="34"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35" t="n"/>
      <c r="L130" s="34" t="inlineStr">
        <is>
          <t>Creams &amp; Ointments</t>
        </is>
      </c>
      <c r="M130" s="35" t="inlineStr">
        <is>
          <t>Product</t>
        </is>
      </c>
      <c r="N130" s="34" t="inlineStr">
        <is>
          <t>ข้อ 107 (PLE_CC1_Key_Rx20_UBU.md)</t>
        </is>
      </c>
      <c r="O130" s="35" t="inlineStr">
        <is>
          <t>Mock</t>
        </is>
      </c>
      <c r="P130" s="35" t="inlineStr">
        <is>
          <t>Mock Rx20 UBU</t>
        </is>
      </c>
    </row>
    <row r="131" ht="13.2" customHeight="1" s="49">
      <c r="A131" s="35" t="n">
        <v>129</v>
      </c>
      <c r="B131" s="34"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35" t="n"/>
      <c r="D131" s="34" t="inlineStr">
        <is>
          <t>Oleaginous Ointment base (White Petrolatum)</t>
        </is>
      </c>
      <c r="E131" s="34" t="inlineStr">
        <is>
          <t>Absorption Ointment base (Lanolin USP)</t>
        </is>
      </c>
      <c r="F131" s="34" t="inlineStr">
        <is>
          <t>Fatty Suppository base (Hard Fat / Witepsol)</t>
        </is>
      </c>
      <c r="G131" s="34" t="inlineStr">
        <is>
          <t>Simple Syrup USP (85% w/v Sucrose)</t>
        </is>
      </c>
      <c r="H131" s="34" t="inlineStr">
        <is>
          <t>Elixir with 10-20% Alcohol cosolvent</t>
        </is>
      </c>
      <c r="I131" s="35" t="n">
        <v>1</v>
      </c>
      <c r="J13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35" t="n"/>
      <c r="L131" s="34" t="inlineStr">
        <is>
          <t>Solutions, Syrups &amp; Elixirs</t>
        </is>
      </c>
      <c r="M131" s="35" t="inlineStr">
        <is>
          <t>Product</t>
        </is>
      </c>
      <c r="N131" s="34" t="inlineStr">
        <is>
          <t>ข้อ ๑ (PLE_CC1_Key_Rx20_UBU.md)</t>
        </is>
      </c>
      <c r="O131" s="35" t="inlineStr">
        <is>
          <t>Mock</t>
        </is>
      </c>
      <c r="P131" s="35" t="inlineStr">
        <is>
          <t>Mock Rx20 UBU</t>
        </is>
      </c>
    </row>
    <row r="132" ht="13.2" customHeight="1" s="49">
      <c r="A132" s="35" t="n">
        <v>130</v>
      </c>
      <c r="B132" s="34" t="inlineStr">
        <is>
          <t>ผลิตภัณฑ์ยาน้ำข้างต้นไม่สามารถขายได้ในสถานที่ใด</t>
        </is>
      </c>
      <c r="C132" s="35" t="n"/>
      <c r="D132" s="34" t="inlineStr">
        <is>
          <t>ร้านขายสมุนไพร</t>
        </is>
      </c>
      <c r="E132" s="34" t="inlineStr">
        <is>
          <t>ร้านขายยาแผนปัจจุบัน</t>
        </is>
      </c>
      <c r="F132" s="34" t="inlineStr">
        <is>
          <t>ร้านขายยาส่งแผนปัจจุบัน</t>
        </is>
      </c>
      <c r="G132" s="34" t="inlineStr">
        <is>
          <t>ร้าน ขย.2</t>
        </is>
      </c>
      <c r="H132" s="34" t="inlineStr">
        <is>
          <t>ร้านขายยาแผนโบราณ</t>
        </is>
      </c>
      <c r="I132" s="35" t="n">
        <v>1</v>
      </c>
      <c r="J132" s="34"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35" t="n"/>
      <c r="L132" s="34" t="inlineStr">
        <is>
          <t>Solutions, Syrups &amp; Elixirs</t>
        </is>
      </c>
      <c r="M132" s="35" t="inlineStr">
        <is>
          <t>Product</t>
        </is>
      </c>
      <c r="N132" s="34" t="inlineStr">
        <is>
          <t>ข้อ 115 (PLE_CC1_Key_Rx20_UBU.md)</t>
        </is>
      </c>
      <c r="O132" s="35" t="inlineStr">
        <is>
          <t>Mock</t>
        </is>
      </c>
      <c r="P132" s="35" t="inlineStr">
        <is>
          <t>Mock Rx20 UBU</t>
        </is>
      </c>
    </row>
    <row r="133" ht="13.2" customHeight="1" s="49">
      <c r="A133" s="35" t="n">
        <v>131</v>
      </c>
      <c r="B133" s="34" t="inlineStr">
        <is>
          <t>ปัจจัยใดไม่ส่งผลต่อชนิดของครีม</t>
        </is>
      </c>
      <c r="C133" s="35" t="n"/>
      <c r="D133" s="34" t="inlineStr">
        <is>
          <t>ลำดับการผสม</t>
        </is>
      </c>
      <c r="E133" s="34" t="inlineStr">
        <is>
          <t>ชนิดของสารก่ออิมัลชั่น</t>
        </is>
      </c>
      <c r="F133" s="34" t="inlineStr">
        <is>
          <t>ปริมาณรวมของสารก่ออิมัลชั่น</t>
        </is>
      </c>
      <c r="G133" s="34" t="inlineStr">
        <is>
          <t>สัดส่วนของสารก่ออิมัลชั่น</t>
        </is>
      </c>
      <c r="H133" s="34" t="inlineStr">
        <is>
          <t>สัดส่วนของน้ำมันต่อน้ำ</t>
        </is>
      </c>
      <c r="I133" s="35" t="n">
        <v>1</v>
      </c>
      <c r="J133" s="34"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35" t="n"/>
      <c r="L133" s="34" t="inlineStr">
        <is>
          <t>Creams &amp; Ointments</t>
        </is>
      </c>
      <c r="M133" s="35" t="inlineStr">
        <is>
          <t>Product</t>
        </is>
      </c>
      <c r="N133" s="34" t="inlineStr">
        <is>
          <t>ข้อ 8 (PLE_CC1_Key_Rx20_UBU.md)</t>
        </is>
      </c>
      <c r="O133" s="35" t="inlineStr">
        <is>
          <t>Mock</t>
        </is>
      </c>
      <c r="P133" s="35" t="inlineStr">
        <is>
          <t>Mock Rx20 UBU</t>
        </is>
      </c>
    </row>
    <row r="134" ht="13.2" customHeight="1" s="49">
      <c r="A134" s="35" t="n">
        <v>132</v>
      </c>
      <c r="B134" s="34"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35" t="n"/>
      <c r="D134" s="34" t="inlineStr">
        <is>
          <t>10:1</t>
        </is>
      </c>
      <c r="E134" s="34" t="inlineStr">
        <is>
          <t>1:1</t>
        </is>
      </c>
      <c r="F134" s="36" t="n">
        <v>0.04861111111111111</v>
      </c>
      <c r="G134" s="36" t="n">
        <v>0.0625</v>
      </c>
      <c r="H134" s="36" t="n">
        <v>0.1111111111111111</v>
      </c>
      <c r="I134" s="35" t="n">
        <v>1</v>
      </c>
      <c r="J134" s="34"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35" t="n"/>
      <c r="L134" s="34" t="inlineStr">
        <is>
          <t>Solutions, Syrups &amp; Elixirs</t>
        </is>
      </c>
      <c r="M134" s="35" t="inlineStr">
        <is>
          <t>Product</t>
        </is>
      </c>
      <c r="N134" s="34" t="inlineStr">
        <is>
          <t>ข้อ 107 (PLE_CC1_Key_Rx20_UBU.md)</t>
        </is>
      </c>
      <c r="O134" s="35" t="inlineStr">
        <is>
          <t>Mock</t>
        </is>
      </c>
      <c r="P134" s="35" t="inlineStr">
        <is>
          <t>Mock Rx20 UBU</t>
        </is>
      </c>
    </row>
    <row r="135" ht="409.6" customHeight="1" s="49">
      <c r="A135" s="35" t="n">
        <v>133</v>
      </c>
      <c r="B135" s="34" t="inlineStr">
        <is>
          <t>ในการเตรียม Aspirin Suspension หากต้องการเติมสารบัฟเฟอร์ ปรับ pH ให้มี pH เท่ากับ 6.8 ภก.ควรจะใช้บัฟเฟอร์ใด</t>
        </is>
      </c>
      <c r="C135" s="35" t="n"/>
      <c r="D135" s="34" t="inlineStr">
        <is>
          <t>NaH2PO4 (pKa 7.21)/ Na2HPO4</t>
        </is>
      </c>
      <c r="E135" s="34" t="inlineStr">
        <is>
          <t>Na2HPO4 / Na3PO4</t>
        </is>
      </c>
      <c r="F135" s="34" t="inlineStr">
        <is>
          <t>Acetic acid (pKa 4.76)/ Sodium acetate</t>
        </is>
      </c>
      <c r="G135" s="34" t="inlineStr">
        <is>
          <t>Boric acid (pKa 8.24)/Sodium borate</t>
        </is>
      </c>
      <c r="H135" s="34" t="inlineStr">
        <is>
          <t>HCl/NaOH</t>
        </is>
      </c>
      <c r="I135" s="35" t="n">
        <v>1</v>
      </c>
      <c r="J135" s="34"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35" t="n"/>
      <c r="L135" s="34" t="inlineStr">
        <is>
          <t>Tablet Manufacturing</t>
        </is>
      </c>
      <c r="M135" s="35" t="inlineStr">
        <is>
          <t>Product</t>
        </is>
      </c>
      <c r="N135" s="34" t="inlineStr">
        <is>
          <t>ข้อ 7 Pharma Plus เล่มม่วง (เฉลยข้อ ก)</t>
        </is>
      </c>
      <c r="O135" s="35" t="inlineStr">
        <is>
          <t>Mock</t>
        </is>
      </c>
      <c r="P135" s="35" t="inlineStr">
        <is>
          <t>Pharma Plus เล่มม่วง</t>
        </is>
      </c>
    </row>
    <row r="136" ht="409.6" customHeight="1" s="49">
      <c r="A136" s="35" t="n">
        <v>134</v>
      </c>
      <c r="B136" s="34" t="inlineStr">
        <is>
          <t>ในการเตรียม aspirin suspension หากต้องการให้ยาตกตะกอนไม่เร็วเกินไป สารปรุงแต่งที่ต้องเติมคือ</t>
        </is>
      </c>
      <c r="C136" s="35" t="n"/>
      <c r="D136" s="34" t="inlineStr">
        <is>
          <t>Glycerin</t>
        </is>
      </c>
      <c r="E136" s="34" t="inlineStr">
        <is>
          <t>Tween 80</t>
        </is>
      </c>
      <c r="F136" s="34" t="inlineStr">
        <is>
          <t>Methylcellulose</t>
        </is>
      </c>
      <c r="G136" s="34" t="inlineStr">
        <is>
          <t>Aluminium chloride</t>
        </is>
      </c>
      <c r="H136" s="34" t="inlineStr">
        <is>
          <t>Sodium citrate</t>
        </is>
      </c>
      <c r="I136" s="35" t="n">
        <v>3</v>
      </c>
      <c r="J136" s="34"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35" t="n"/>
      <c r="L136" s="34" t="inlineStr">
        <is>
          <t>Tablet Manufacturing</t>
        </is>
      </c>
      <c r="M136" s="35" t="inlineStr">
        <is>
          <t>Product</t>
        </is>
      </c>
      <c r="N136" s="34" t="inlineStr">
        <is>
          <t>ข้อ 8 Pharma Plus เล่มม่วง (เฉลยข้อ ค)</t>
        </is>
      </c>
      <c r="O136" s="35" t="inlineStr">
        <is>
          <t>Mock</t>
        </is>
      </c>
      <c r="P136" s="35" t="inlineStr">
        <is>
          <t>Pharma Plus เล่มม่วง</t>
        </is>
      </c>
    </row>
    <row r="137" ht="409.6" customHeight="1" s="49">
      <c r="A137" s="35" t="n">
        <v>135</v>
      </c>
      <c r="B137" s="34"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35" t="n"/>
      <c r="D137" s="34" t="inlineStr">
        <is>
          <t>Flocculation</t>
        </is>
      </c>
      <c r="E137" s="34" t="inlineStr">
        <is>
          <t>Lamination</t>
        </is>
      </c>
      <c r="F137" s="34" t="inlineStr">
        <is>
          <t>Creaming</t>
        </is>
      </c>
      <c r="G137" s="34" t="inlineStr">
        <is>
          <t>Coalescence</t>
        </is>
      </c>
      <c r="H137" s="34" t="inlineStr">
        <is>
          <t>Caking</t>
        </is>
      </c>
      <c r="I137" s="35" t="n">
        <v>5</v>
      </c>
      <c r="J137" s="34"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35" t="n"/>
      <c r="L137" s="34" t="inlineStr">
        <is>
          <t>Tablet Manufacturing</t>
        </is>
      </c>
      <c r="M137" s="35" t="inlineStr">
        <is>
          <t>Product</t>
        </is>
      </c>
      <c r="N137" s="34" t="inlineStr">
        <is>
          <t>ข้อ 9 Pharma Plus เล่มม่วง (เฉลยข้อ จ)</t>
        </is>
      </c>
      <c r="O137" s="35" t="inlineStr">
        <is>
          <t>Mock</t>
        </is>
      </c>
      <c r="P137" s="35" t="inlineStr">
        <is>
          <t>Pharma Plus เล่มม่วง</t>
        </is>
      </c>
    </row>
    <row r="138" ht="409.6" customHeight="1" s="49">
      <c r="A138" s="35" t="n">
        <v>136</v>
      </c>
      <c r="B138" s="34" t="inlineStr">
        <is>
          <t>สูตรตำรับย้ำน้ำ Ferrous sulfate
- Ferrous sulfate 12.5 g
- Citric acid 0.2 g
- Paraben conc. 1 ml
- Syrup add qs 100 ml
ข้อใดถูก</t>
        </is>
      </c>
      <c r="C138" s="35" t="n"/>
      <c r="D138" s="34" t="inlineStr">
        <is>
          <t>มีปัญหาการละลาย</t>
        </is>
      </c>
      <c r="E138" s="34" t="inlineStr">
        <is>
          <t>ต้องเก็บในตู้เย็น</t>
        </is>
      </c>
      <c r="F138" s="34" t="inlineStr">
        <is>
          <t>เก็บในขวดใส ปิดสนิท</t>
        </is>
      </c>
      <c r="G138" s="34" t="inlineStr">
        <is>
          <t>ไม่มีสารแต่งรส</t>
        </is>
      </c>
      <c r="H138" s="34" t="inlineStr">
        <is>
          <t>ไม่มีสารเพิ่มความคงตัว</t>
        </is>
      </c>
      <c r="I138" s="35" t="n">
        <v>1</v>
      </c>
      <c r="J138" s="34"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35" t="n"/>
      <c r="L138" s="34" t="inlineStr">
        <is>
          <t>Tablet Manufacturing</t>
        </is>
      </c>
      <c r="M138" s="35" t="inlineStr">
        <is>
          <t>Product</t>
        </is>
      </c>
      <c r="N138" s="34" t="inlineStr">
        <is>
          <t>ข้อ 10 Pharma Plus เล่มม่วง (เฉลยข้อ ก)</t>
        </is>
      </c>
      <c r="O138" s="35" t="inlineStr">
        <is>
          <t>Mock</t>
        </is>
      </c>
      <c r="P138" s="35" t="inlineStr">
        <is>
          <t>Pharma Plus เล่มม่วง</t>
        </is>
      </c>
    </row>
    <row r="139" ht="409.6" customHeight="1" s="49">
      <c r="A139" s="35" t="n">
        <v>137</v>
      </c>
      <c r="B139" s="34"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35" t="n"/>
      <c r="D139" s="34" t="inlineStr">
        <is>
          <t>0.625 mg</t>
        </is>
      </c>
      <c r="E139" s="34" t="inlineStr">
        <is>
          <t>2.625 mg</t>
        </is>
      </c>
      <c r="F139" s="34" t="inlineStr">
        <is>
          <t>62.5 mg</t>
        </is>
      </c>
      <c r="G139" s="34" t="inlineStr">
        <is>
          <t>375 mg</t>
        </is>
      </c>
      <c r="H139" s="34" t="inlineStr">
        <is>
          <t>125 mg</t>
        </is>
      </c>
      <c r="I139" s="35" t="n">
        <v>5</v>
      </c>
      <c r="J139" s="34"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35" t="n"/>
      <c r="L139" s="34" t="inlineStr">
        <is>
          <t>Tablet Manufacturing</t>
        </is>
      </c>
      <c r="M139" s="35" t="inlineStr">
        <is>
          <t>Product</t>
        </is>
      </c>
      <c r="N139" s="34" t="inlineStr">
        <is>
          <t>ข้อ 11 Pharma Plus เล่มม่วง (เฉลยข้อ จ)</t>
        </is>
      </c>
      <c r="O139" s="35" t="inlineStr">
        <is>
          <t>Mock</t>
        </is>
      </c>
      <c r="P139" s="35" t="inlineStr">
        <is>
          <t>Pharma Plus เล่มม่วง</t>
        </is>
      </c>
    </row>
    <row r="140" ht="409.6" customHeight="1" s="49">
      <c r="A140" s="35" t="n">
        <v>138</v>
      </c>
      <c r="B140" s="34"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35" t="n"/>
      <c r="D140" s="34" t="inlineStr">
        <is>
          <t>Stearic acid</t>
        </is>
      </c>
      <c r="E140" s="34" t="inlineStr">
        <is>
          <t>Lanolin</t>
        </is>
      </c>
      <c r="F140" s="34" t="inlineStr">
        <is>
          <t>Cetyl alcohol</t>
        </is>
      </c>
      <c r="G140" s="34" t="inlineStr">
        <is>
          <t>Potassium hydroxide</t>
        </is>
      </c>
      <c r="H140" s="34" t="inlineStr">
        <is>
          <t>Potassium stearate</t>
        </is>
      </c>
      <c r="I140" s="35" t="n">
        <v>5</v>
      </c>
      <c r="J140" s="34"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35" t="n"/>
      <c r="L140" s="34" t="inlineStr">
        <is>
          <t>Tablet Manufacturing</t>
        </is>
      </c>
      <c r="M140" s="35" t="inlineStr">
        <is>
          <t>Product</t>
        </is>
      </c>
      <c r="N140" s="34" t="inlineStr">
        <is>
          <t>ข้อ 22 Pharma Plus เล่มม่วง (เฉลยข้อ จ)</t>
        </is>
      </c>
      <c r="O140" s="35" t="inlineStr">
        <is>
          <t>Mock</t>
        </is>
      </c>
      <c r="P140" s="35" t="inlineStr">
        <is>
          <t>Pharma Plus เล่มม่วง</t>
        </is>
      </c>
    </row>
    <row r="141" ht="409.6" customHeight="1" s="49">
      <c r="A141" s="35" t="n">
        <v>139</v>
      </c>
      <c r="B141" s="34" t="inlineStr">
        <is>
          <t>ค่า required HLB ในการเกิดเป็น o/w emulsion ของวัตภาคน้ำมัน stearic acid และ liquid paraffin ในตำรับข้อ 71 มีค่าเท่ากับ</t>
        </is>
      </c>
      <c r="C141" s="35" t="n"/>
      <c r="D141" s="34" t="n">
        <v>9.5</v>
      </c>
      <c r="E141" s="34" t="n">
        <v>10.75</v>
      </c>
      <c r="F141" s="34" t="n">
        <v>11.04</v>
      </c>
      <c r="G141" s="34" t="n">
        <v>12.13</v>
      </c>
      <c r="H141" s="34" t="n">
        <v>14</v>
      </c>
      <c r="I141" s="35" t="n">
        <v>1</v>
      </c>
      <c r="J141" s="34"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35" t="n"/>
      <c r="L141" s="34" t="inlineStr">
        <is>
          <t>Tablet Manufacturing</t>
        </is>
      </c>
      <c r="M141" s="35" t="inlineStr">
        <is>
          <t>Product</t>
        </is>
      </c>
      <c r="N141" s="34" t="inlineStr">
        <is>
          <t>ข้อ 73 Pharma Plus เล่มม่วง (เฉลยข้อ )</t>
        </is>
      </c>
      <c r="O141" s="35" t="inlineStr">
        <is>
          <t>Mock</t>
        </is>
      </c>
      <c r="P141" s="35" t="inlineStr">
        <is>
          <t>Pharma Plus เล่มม่วง</t>
        </is>
      </c>
    </row>
    <row r="142" ht="409.6" customHeight="1" s="49">
      <c r="A142" s="35" t="n">
        <v>140</v>
      </c>
      <c r="B142" s="34"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35" t="n"/>
      <c r="D142" s="34" t="inlineStr">
        <is>
          <t>Very soluble</t>
        </is>
      </c>
      <c r="E142" s="34" t="inlineStr">
        <is>
          <t>Sparingly soluble</t>
        </is>
      </c>
      <c r="F142" s="34" t="inlineStr">
        <is>
          <t>Soluble</t>
        </is>
      </c>
      <c r="G142" s="34" t="inlineStr">
        <is>
          <t>Freely soluble</t>
        </is>
      </c>
      <c r="H142" s="34" t="inlineStr">
        <is>
          <t>Insoluble</t>
        </is>
      </c>
      <c r="I142" s="35" t="n">
        <v>3</v>
      </c>
      <c r="J142" s="34"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35" t="n"/>
      <c r="L142" s="34" t="inlineStr">
        <is>
          <t>Tablet Manufacturing</t>
        </is>
      </c>
      <c r="M142" s="35" t="inlineStr">
        <is>
          <t>Product</t>
        </is>
      </c>
      <c r="N142" s="34" t="inlineStr">
        <is>
          <t>ข้อ 98 Pharma Plus เล่มม่วง (เฉลยข้อ ค)</t>
        </is>
      </c>
      <c r="O142" s="35" t="inlineStr">
        <is>
          <t>Mock</t>
        </is>
      </c>
      <c r="P142" s="35" t="inlineStr">
        <is>
          <t>Pharma Plus เล่มม่วง</t>
        </is>
      </c>
    </row>
    <row r="143" ht="409.6" customHeight="1" s="49">
      <c r="A143" s="35" t="n">
        <v>141</v>
      </c>
      <c r="B143" s="34"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35" t="n"/>
      <c r="D143" s="34" t="inlineStr">
        <is>
          <t>Preservatives</t>
        </is>
      </c>
      <c r="E143" s="34" t="inlineStr">
        <is>
          <t>Suspending agent</t>
        </is>
      </c>
      <c r="F143" s="34" t="inlineStr">
        <is>
          <t>Sweetening agent</t>
        </is>
      </c>
      <c r="G143" s="34" t="inlineStr">
        <is>
          <t>Coloring agent</t>
        </is>
      </c>
      <c r="H143" s="34" t="inlineStr">
        <is>
          <t>Active ingredient</t>
        </is>
      </c>
      <c r="I143" s="35" t="n">
        <v>2</v>
      </c>
      <c r="J143" s="34"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35" t="n"/>
      <c r="L143" s="34" t="inlineStr">
        <is>
          <t>Tablet Manufacturing</t>
        </is>
      </c>
      <c r="M143" s="35" t="inlineStr">
        <is>
          <t>Product</t>
        </is>
      </c>
      <c r="N143" s="34" t="inlineStr">
        <is>
          <t>ข้อ 106 Pharma Plus เล่มม่วง (เฉลยข้อ ข)</t>
        </is>
      </c>
      <c r="O143" s="35" t="inlineStr">
        <is>
          <t>Mock</t>
        </is>
      </c>
      <c r="P143" s="35" t="inlineStr">
        <is>
          <t>Pharma Plus เล่มม่วง</t>
        </is>
      </c>
    </row>
    <row r="144" ht="409.6" customHeight="1" s="49">
      <c r="A144" s="35" t="n">
        <v>142</v>
      </c>
      <c r="B144" s="34" t="inlineStr">
        <is>
          <t>เมื่อนำครีมมาเตรียมในรูปแบบครีมทาผิวลดไขมันและประเมินความคงตัว ข้อใดเป็นวิธีที่ไม่เหมาะสมมากที่สุด</t>
        </is>
      </c>
      <c r="C144" s="35" t="n"/>
      <c r="D144" s="34" t="inlineStr">
        <is>
          <t>นำไปปั่นเหวี่ยงที่ความเร็วรอบ 3,750 รอบ/นาที เป็นเวลา 5 ชั่วโมง</t>
        </is>
      </c>
      <c r="E144" s="34" t="inlineStr">
        <is>
          <t>นำไปเก็บไว้ที่อุณหภูมิ 180 C เป็นเวลา 12 ชั่วโมง</t>
        </is>
      </c>
      <c r="F144" s="34" t="inlineStr">
        <is>
          <t>นำไปเก็บไว้ที่อุณหภูมิ -5 C สลับกับ 40 C ทุก ๆ 24 ชั่วโมง เป็นจำนวน 24 รอบ</t>
        </is>
      </c>
      <c r="G144" s="34" t="inlineStr">
        <is>
          <t>นำไปเก็บไว้ที่อุณหภูมิ 4 C, 25 C และ 45 Cเป็นเวลา 6 เดือน</t>
        </is>
      </c>
      <c r="H144" s="34" t="inlineStr">
        <is>
          <t>นำไปเก็บไว้ที่อุณหภูมิ 25 C เป็นเวลา 2 ปี</t>
        </is>
      </c>
      <c r="I144" s="35" t="n">
        <v>2</v>
      </c>
      <c r="J144" s="34"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35" t="n"/>
      <c r="L144" s="34" t="inlineStr">
        <is>
          <t>Tablet Manufacturing</t>
        </is>
      </c>
      <c r="M144" s="35" t="inlineStr">
        <is>
          <t>Product</t>
        </is>
      </c>
      <c r="N144" s="34" t="inlineStr">
        <is>
          <t>ข้อ 124 Pharma Plus เล่มม่วง (เฉลยข้อ ข)</t>
        </is>
      </c>
      <c r="O144" s="35" t="inlineStr">
        <is>
          <t>Mock</t>
        </is>
      </c>
      <c r="P144" s="35" t="inlineStr">
        <is>
          <t>Pharma Plus เล่มม่วง</t>
        </is>
      </c>
    </row>
    <row r="145" ht="409.6" customHeight="1" s="49">
      <c r="A145" s="35" t="n">
        <v>143</v>
      </c>
      <c r="B145" s="34" t="inlineStr">
        <is>
          <t>สารทำ emulsion ที่ดีของยาครีม isotretinoin ควรมีคุณสมบัติ</t>
        </is>
      </c>
      <c r="C145" s="35" t="n"/>
      <c r="D145" s="34" t="inlineStr">
        <is>
          <t>ลดแรงตึงผิว</t>
        </is>
      </c>
      <c r="E145" s="34" t="inlineStr">
        <is>
          <t>เพิ่มความหนืดให้กับครีม</t>
        </is>
      </c>
      <c r="F145" s="34" t="inlineStr">
        <is>
          <t>ให้ศักย์ไฟฟ้าที่เหมาะสมเพื่อให้เกิดแรงผลักของหยด</t>
        </is>
      </c>
      <c r="G145" s="34" t="inlineStr">
        <is>
          <t>มีประสิทธิภาพความเข้มข้นต่ำ</t>
        </is>
      </c>
      <c r="H145" s="34" t="inlineStr">
        <is>
          <t>ถูกทุกข้อ</t>
        </is>
      </c>
      <c r="I145" s="35" t="n">
        <v>5</v>
      </c>
      <c r="J145" s="34"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35" t="n"/>
      <c r="L145" s="34" t="inlineStr">
        <is>
          <t>Tablet Manufacturing</t>
        </is>
      </c>
      <c r="M145" s="35" t="inlineStr">
        <is>
          <t>Product</t>
        </is>
      </c>
      <c r="N145" s="34" t="inlineStr">
        <is>
          <t>ข้อ 154 Pharma Plus เล่มม่วง (เฉลยข้อ จ)</t>
        </is>
      </c>
      <c r="O145" s="35" t="inlineStr">
        <is>
          <t>Mock</t>
        </is>
      </c>
      <c r="P145" s="35" t="inlineStr">
        <is>
          <t>Pharma Plus เล่มม่วง</t>
        </is>
      </c>
    </row>
    <row r="146" ht="409.6" customHeight="1" s="49">
      <c r="A146" s="35" t="n">
        <v>144</v>
      </c>
      <c r="B146" s="34"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35" t="n"/>
      <c r="D146" s="34" t="inlineStr">
        <is>
          <t>Mineral oil</t>
        </is>
      </c>
      <c r="E146" s="34" t="inlineStr">
        <is>
          <t>Carbopol</t>
        </is>
      </c>
      <c r="F146" s="34" t="inlineStr">
        <is>
          <t>White beeswax</t>
        </is>
      </c>
      <c r="G146" s="34" t="inlineStr">
        <is>
          <t>PEG 4000</t>
        </is>
      </c>
      <c r="H146" s="34" t="inlineStr">
        <is>
          <t>Glycerin</t>
        </is>
      </c>
      <c r="I146" s="35" t="n">
        <v>3</v>
      </c>
      <c r="J146" s="34"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35" t="n"/>
      <c r="L146" s="34" t="inlineStr">
        <is>
          <t>Tablet Manufacturing</t>
        </is>
      </c>
      <c r="M146" s="35" t="inlineStr">
        <is>
          <t>Product</t>
        </is>
      </c>
      <c r="N146" s="34" t="inlineStr">
        <is>
          <t>ข้อ 156 Pharma Plus เล่มม่วง (เฉลยข้อ ค)</t>
        </is>
      </c>
      <c r="O146" s="35" t="inlineStr">
        <is>
          <t>Mock</t>
        </is>
      </c>
      <c r="P146" s="35" t="inlineStr">
        <is>
          <t>Pharma Plus เล่มม่วง</t>
        </is>
      </c>
    </row>
    <row r="147" ht="409.6" customHeight="1" s="49">
      <c r="A147" s="35" t="n">
        <v>145</v>
      </c>
      <c r="B147" s="34" t="inlineStr">
        <is>
          <t>ตำรับ aspirin suspension ที่เตรียมแล้วพบว่า เมื่อตั้งทิ้งไว้เป็นก้อนแข็ง เรียกปรากฏการณ์นี้ว่า</t>
        </is>
      </c>
      <c r="C147" s="35" t="n"/>
      <c r="D147" s="34" t="inlineStr">
        <is>
          <t>Flocculation</t>
        </is>
      </c>
      <c r="E147" s="34" t="inlineStr">
        <is>
          <t>Lamination</t>
        </is>
      </c>
      <c r="F147" s="34" t="inlineStr">
        <is>
          <t>Creaming</t>
        </is>
      </c>
      <c r="G147" s="34" t="inlineStr">
        <is>
          <t>Coalescence</t>
        </is>
      </c>
      <c r="H147" s="34" t="inlineStr">
        <is>
          <t>Caking</t>
        </is>
      </c>
      <c r="I147" s="35" t="n">
        <v>5</v>
      </c>
      <c r="J147" s="34"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35" t="n"/>
      <c r="L147" s="34" t="inlineStr">
        <is>
          <t>Tablet Manufacturing</t>
        </is>
      </c>
      <c r="M147" s="35" t="inlineStr">
        <is>
          <t>Product</t>
        </is>
      </c>
      <c r="N147" s="34" t="inlineStr">
        <is>
          <t>ข้อ 168 Pharma Plus เล่มม่วง (เฉลยข้อ จ)</t>
        </is>
      </c>
      <c r="O147" s="35" t="inlineStr">
        <is>
          <t>Mock</t>
        </is>
      </c>
      <c r="P147" s="35" t="inlineStr">
        <is>
          <t>Pharma Plus เล่มม่วง</t>
        </is>
      </c>
    </row>
    <row r="148" ht="409.6" customHeight="1" s="49">
      <c r="A148" s="35" t="n">
        <v>146</v>
      </c>
      <c r="B148" s="34"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35" t="n"/>
      <c r="D148" s="34" t="inlineStr">
        <is>
          <t>Film Coating with Hydroxypropyl methylcellulose (HPMC)</t>
        </is>
      </c>
      <c r="E148" s="34" t="inlineStr">
        <is>
          <t>Enteric Coating with Cellulose acetate phthalate (CAP)</t>
        </is>
      </c>
      <c r="F148" s="34" t="inlineStr">
        <is>
          <t>Hard Gelatin Capsule filling</t>
        </is>
      </c>
      <c r="G148" s="34" t="inlineStr">
        <is>
          <t>Soft Gelatin Capsule encapsulation</t>
        </is>
      </c>
      <c r="H148" s="34" t="inlineStr">
        <is>
          <t>Microcrystalline cellulose</t>
        </is>
      </c>
      <c r="I148" s="35" t="n">
        <v>1</v>
      </c>
      <c r="J148" s="34"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35" t="n"/>
      <c r="L148" s="34" t="inlineStr">
        <is>
          <t>Tablet Manufacturing</t>
        </is>
      </c>
      <c r="M148" s="35" t="inlineStr">
        <is>
          <t>Product</t>
        </is>
      </c>
      <c r="N148" s="34" t="inlineStr">
        <is>
          <t>ข้อ 95 (PLE_CC1_2561_Key.md)</t>
        </is>
      </c>
      <c r="O148" s="35" t="inlineStr">
        <is>
          <t>ข้อสอบจริง</t>
        </is>
      </c>
      <c r="P148" s="35" t="inlineStr">
        <is>
          <t>ปี 2561</t>
        </is>
      </c>
    </row>
    <row r="149" ht="409.6" customHeight="1" s="49">
      <c r="A149" s="35" t="n">
        <v>147</v>
      </c>
      <c r="B149" s="34"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35" t="n"/>
      <c r="D149" s="34" t="inlineStr">
        <is>
          <t>Direct Compression tableting method</t>
        </is>
      </c>
      <c r="E149" s="34" t="inlineStr">
        <is>
          <t>Wet Granulation tableting method</t>
        </is>
      </c>
      <c r="F149" s="34" t="inlineStr">
        <is>
          <t>Dry Granulation (Roller Compaction)</t>
        </is>
      </c>
      <c r="G149" s="34" t="inlineStr">
        <is>
          <t>Fluidized Bed Granulation</t>
        </is>
      </c>
      <c r="H149" s="34" t="inlineStr">
        <is>
          <t>Film Coating with Hydroxypropyl methylcellulose (HPMC)</t>
        </is>
      </c>
      <c r="I149" s="35" t="n">
        <v>2</v>
      </c>
      <c r="J149" s="34"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35" t="n"/>
      <c r="L149" s="34" t="inlineStr">
        <is>
          <t>Tablet Manufacturing</t>
        </is>
      </c>
      <c r="M149" s="35" t="inlineStr">
        <is>
          <t>Product</t>
        </is>
      </c>
      <c r="N149" s="34" t="inlineStr">
        <is>
          <t>ข้อ 5 (PLE_CC1_Key_Rx20_UBU.md)</t>
        </is>
      </c>
      <c r="O149" s="35" t="inlineStr">
        <is>
          <t>Mock</t>
        </is>
      </c>
      <c r="P149" s="35" t="inlineStr">
        <is>
          <t>Mock Rx20 UBU</t>
        </is>
      </c>
    </row>
    <row r="150" ht="409.6" customHeight="1" s="49">
      <c r="A150" s="35" t="n">
        <v>148</v>
      </c>
      <c r="B150" s="34"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35" t="n"/>
      <c r="D150" s="34" t="inlineStr">
        <is>
          <t>Magnesium stearate (Lubricant 1%)</t>
        </is>
      </c>
      <c r="E150" s="34" t="inlineStr">
        <is>
          <t>Sodium starch glycolate (Superdisintegrant)</t>
        </is>
      </c>
      <c r="F150" s="34" t="inlineStr">
        <is>
          <t>Direct Compression tableting method</t>
        </is>
      </c>
      <c r="G150" s="34" t="inlineStr">
        <is>
          <t>Wet Granulation tableting method</t>
        </is>
      </c>
      <c r="H150" s="34" t="inlineStr">
        <is>
          <t>Dry Granulation (Roller Compaction)</t>
        </is>
      </c>
      <c r="I150" s="35" t="n">
        <v>1</v>
      </c>
      <c r="J150" s="34"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35" t="n"/>
      <c r="L150" s="34" t="inlineStr">
        <is>
          <t>Powders &amp; Granules</t>
        </is>
      </c>
      <c r="M150" s="35" t="inlineStr">
        <is>
          <t>Product</t>
        </is>
      </c>
      <c r="N150" s="34" t="inlineStr">
        <is>
          <t>ข้อ 1 (PLE_CC1_Key_Rx20_UBU.md)</t>
        </is>
      </c>
      <c r="O150" s="35" t="inlineStr">
        <is>
          <t>Mock</t>
        </is>
      </c>
      <c r="P150" s="35" t="inlineStr">
        <is>
          <t>Mock Rx20 UBU</t>
        </is>
      </c>
    </row>
    <row r="151" ht="409.6" customHeight="1" s="49">
      <c r="A151" s="35" t="n">
        <v>149</v>
      </c>
      <c r="B151" s="34" t="inlineStr">
        <is>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is>
      </c>
      <c r="C151" s="35" t="n"/>
      <c r="D151" s="34" t="inlineStr">
        <is>
          <t>Stearic acid ทำให้ตำรับมีความแข็ง</t>
        </is>
      </c>
      <c r="E151" s="34" t="inlineStr">
        <is>
          <t>Sodium carbonate ทำให้ตำรับมีความแข็ง</t>
        </is>
      </c>
      <c r="F151" s="34" t="inlineStr">
        <is>
          <t>Stearic acid สามารถละลายใน rectal fluid ทำให้ปลดปล่อยตัวยาสำคัญได้</t>
        </is>
      </c>
      <c r="G151" s="34" t="inlineStr">
        <is>
          <t>Sodium stearate เป็น Soap ทำให้ตำรับมีความคงตัว</t>
        </is>
      </c>
      <c r="H151" s="34" t="inlineStr">
        <is>
          <t>ตำรับนี้เหมือน Gelatinized glycerin</t>
        </is>
      </c>
      <c r="I151" s="35" t="n">
        <v>1</v>
      </c>
      <c r="J151" s="34" t="inlineStr">
        <is>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1" s="35" t="n"/>
      <c r="L151" s="34" t="inlineStr">
        <is>
          <t>Liquid &amp; Semisolid Dosage Forms</t>
        </is>
      </c>
      <c r="M151" s="35" t="inlineStr">
        <is>
          <t>Product</t>
        </is>
      </c>
      <c r="N151" s="34" t="inlineStr">
        <is>
          <t>ข้อสอบจริง Product ปี 2567 ข้อ 13</t>
        </is>
      </c>
      <c r="O151" s="35" t="inlineStr">
        <is>
          <t>ข้อสอบจริง</t>
        </is>
      </c>
      <c r="P151" s="35" t="inlineStr">
        <is>
          <t>ปี 2567</t>
        </is>
      </c>
    </row>
    <row r="152" ht="409.6" customHeight="1" s="49">
      <c r="A152" s="35" t="n">
        <v>150</v>
      </c>
      <c r="B152" s="34" t="inlineStr">
        <is>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is>
      </c>
      <c r="C152" s="35" t="n"/>
      <c r="D152" s="34" t="inlineStr">
        <is>
          <t>การเพิ่มขนาดอนุภาคเกิดจากการรวมตัวของอนุภาค (aggregation)</t>
        </is>
      </c>
      <c r="E152" s="34" t="inlineStr">
        <is>
          <t>Sodium metabisulfite ทำน้าที่เป็น binder</t>
        </is>
      </c>
      <c r="F152" s="34" t="n"/>
      <c r="G152" s="34" t="n"/>
      <c r="H152" s="34" t="n"/>
      <c r="I152" s="35" t="n">
        <v>1</v>
      </c>
      <c r="J152" s="34" t="inlineStr">
        <is>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2" s="35" t="n"/>
      <c r="L152" s="34" t="inlineStr">
        <is>
          <t>Liquid &amp; Semisolid Dosage Forms</t>
        </is>
      </c>
      <c r="M152" s="35" t="inlineStr">
        <is>
          <t>Product</t>
        </is>
      </c>
      <c r="N152" s="34" t="inlineStr">
        <is>
          <t>ข้อสอบจริง Product ปี 2567 ข้อ 36</t>
        </is>
      </c>
      <c r="O152" s="35" t="inlineStr">
        <is>
          <t>ข้อสอบจริง</t>
        </is>
      </c>
      <c r="P152" s="35" t="inlineStr">
        <is>
          <t>ปี 2567</t>
        </is>
      </c>
    </row>
    <row r="153" ht="409.6" customHeight="1" s="49">
      <c r="A153" s="35" t="n">
        <v>151</v>
      </c>
      <c r="B153" s="34" t="inlineStr">
        <is>
          <t>(ปี 2566, Day 2 ข้อ 48\) (เรื่อง: Theobroma Oil) ⚠️ เกี่ยวกับ Theobroma Oil ข้อใดผิด</t>
        </is>
      </c>
      <c r="C153" s="35" t="n"/>
      <c r="D153" s="34" t="inlineStr">
        <is>
          <t>มีอีกชื่อว่า Cocoa butter</t>
        </is>
      </c>
      <c r="E153" s="34" t="n"/>
      <c r="F153" s="34" t="inlineStr">
        <is>
          <t>สามารถเตรียมได้ด้วยวิธี emulsion method</t>
        </is>
      </c>
      <c r="G153" s="34" t="n"/>
      <c r="H153" s="34" t="n"/>
      <c r="I153" s="35" t="n">
        <v>1</v>
      </c>
      <c r="J153" s="34" t="inlineStr">
        <is>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3" s="35" t="n"/>
      <c r="L153" s="34" t="inlineStr">
        <is>
          <t>Liquid &amp; Semisolid Dosage Forms</t>
        </is>
      </c>
      <c r="M153" s="35" t="inlineStr">
        <is>
          <t>Product</t>
        </is>
      </c>
      <c r="N153" s="34" t="inlineStr">
        <is>
          <t>ข้อสอบจริง Product ปี 2566 ข้อ 18</t>
        </is>
      </c>
      <c r="O153" s="35" t="inlineStr">
        <is>
          <t>ข้อสอบจริง</t>
        </is>
      </c>
      <c r="P153" s="35" t="inlineStr">
        <is>
          <t>ปี 2566</t>
        </is>
      </c>
    </row>
    <row r="154" ht="409.6" customHeight="1" s="49">
      <c r="A154" s="35" t="n">
        <v>152</v>
      </c>
      <c r="B154" s="34" t="inlineStr">
        <is>
          <t>(ปี 2566, Day 2 ข้อ 64\) (เรื่อง: สารหล่อลื่นแม่พิมพ์ยาเหน็บ) สูตรตำรับยาเหน็บ ถามว่าใช้อะไรเป็นสารหล่อลื่นแม่พิมพ์</t>
        </is>
      </c>
      <c r="C154" s="35" t="n"/>
      <c r="D154" s="34" t="inlineStr">
        <is>
          <t>Propylene glycol</t>
        </is>
      </c>
      <c r="E154" s="34" t="inlineStr">
        <is>
          <t>Purified water</t>
        </is>
      </c>
      <c r="F154" s="34" t="inlineStr">
        <is>
          <t>Cocoa butter</t>
        </is>
      </c>
      <c r="G154" s="34" t="inlineStr">
        <is>
          <t>Mineral oil</t>
        </is>
      </c>
      <c r="H154" s="34" t="n"/>
      <c r="I154" s="35" t="n">
        <v>1</v>
      </c>
      <c r="J154" s="34" t="inlineStr">
        <is>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4" s="35" t="n"/>
      <c r="L154" s="34" t="inlineStr">
        <is>
          <t>Liquid &amp; Semisolid Dosage Forms</t>
        </is>
      </c>
      <c r="M154" s="35" t="inlineStr">
        <is>
          <t>Product</t>
        </is>
      </c>
      <c r="N154" s="34" t="inlineStr">
        <is>
          <t>ข้อสอบจริง Product ปี 2566 ข้อ 24</t>
        </is>
      </c>
      <c r="O154" s="35" t="inlineStr">
        <is>
          <t>ข้อสอบจริง</t>
        </is>
      </c>
      <c r="P154" s="35" t="inlineStr">
        <is>
          <t>ปี 2566</t>
        </is>
      </c>
    </row>
    <row r="155" ht="409.6" customHeight="1" s="49">
      <c r="A155" s="35" t="n">
        <v>153</v>
      </c>
      <c r="B155" s="34" t="inlineStr">
        <is>
          <t>(ปี 2566, Day 2 ข้อ 79\) (เรื่อง: ครีมพื้น PEG 400/4000 \+ PG) ตำรับครีมมี PEG 400, PEG 4000, PG เป็นยาพื้นชนิดใด</t>
        </is>
      </c>
      <c r="C155" s="35" t="n"/>
      <c r="D155" s="34" t="inlineStr">
        <is>
          <t>Olegenous base</t>
        </is>
      </c>
      <c r="E155" s="34" t="inlineStr">
        <is>
          <t>O/W emulsion base</t>
        </is>
      </c>
      <c r="F155" s="34" t="inlineStr">
        <is>
          <t>Water soluble base</t>
        </is>
      </c>
      <c r="G155" s="34" t="inlineStr">
        <is>
          <t>Absorption base</t>
        </is>
      </c>
      <c r="H155" s="34" t="n"/>
      <c r="I155" s="35" t="n">
        <v>1</v>
      </c>
      <c r="J155" s="34" t="inlineStr">
        <is>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5" s="35" t="n"/>
      <c r="L155" s="34" t="inlineStr">
        <is>
          <t>Liquid &amp; Semisolid Dosage Forms</t>
        </is>
      </c>
      <c r="M155" s="35" t="inlineStr">
        <is>
          <t>Product</t>
        </is>
      </c>
      <c r="N155" s="34" t="inlineStr">
        <is>
          <t>ข้อสอบจริง Product ปี 2566 ข้อ 29</t>
        </is>
      </c>
      <c r="O155" s="35" t="inlineStr">
        <is>
          <t>ข้อสอบจริง</t>
        </is>
      </c>
      <c r="P155" s="35" t="inlineStr">
        <is>
          <t>ปี 2566</t>
        </is>
      </c>
    </row>
    <row r="156" ht="409.6" customHeight="1" s="49">
      <c r="A156" s="35" t="n">
        <v>154</v>
      </c>
      <c r="B156" s="34" t="inlineStr">
        <is>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is>
      </c>
      <c r="C156" s="35" t="n"/>
      <c r="D156" s="34" t="inlineStr">
        <is>
          <t>Coalescense</t>
        </is>
      </c>
      <c r="E156" s="34" t="inlineStr">
        <is>
          <t>Bleeding</t>
        </is>
      </c>
      <c r="F156" s="34" t="inlineStr">
        <is>
          <t>Breaking</t>
        </is>
      </c>
      <c r="G156" s="34" t="inlineStr">
        <is>
          <t>Caking</t>
        </is>
      </c>
      <c r="H156" s="34" t="n"/>
      <c r="I156" s="35" t="n">
        <v>2</v>
      </c>
      <c r="J156" s="34" t="inlineStr">
        <is>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6" s="35" t="n"/>
      <c r="L156" s="34" t="inlineStr">
        <is>
          <t>Liquid &amp; Semisolid Dosage Forms</t>
        </is>
      </c>
      <c r="M156" s="35" t="inlineStr">
        <is>
          <t>Product</t>
        </is>
      </c>
      <c r="N156" s="34" t="inlineStr">
        <is>
          <t>ข้อสอบจริง Product ปี 2566 ข้อ 30</t>
        </is>
      </c>
      <c r="O156" s="35" t="inlineStr">
        <is>
          <t>ข้อสอบจริง</t>
        </is>
      </c>
      <c r="P156" s="35" t="inlineStr">
        <is>
          <t>ปี 2566</t>
        </is>
      </c>
    </row>
    <row r="157" ht="409.6" customHeight="1" s="49">
      <c r="A157" s="35" t="n">
        <v>155</v>
      </c>
      <c r="B157" s="34" t="inlineStr">
        <is>
          <t>(ปี 2566, Day 2 ข้อ 81\) (เรื่อง: ครีมที่มี SLS) ตำรับครีมมี SLS (Sodium Lauryl Sulfate) เป็นครีมประเภทไหน</t>
        </is>
      </c>
      <c r="C157" s="35" t="n"/>
      <c r="D157" s="34" t="inlineStr">
        <is>
          <t>Vanishing cream</t>
        </is>
      </c>
      <c r="E157" s="34" t="inlineStr">
        <is>
          <t>cold cream</t>
        </is>
      </c>
      <c r="F157" s="34" t="inlineStr">
        <is>
          <t>anionic cream</t>
        </is>
      </c>
      <c r="G157" s="34" t="inlineStr">
        <is>
          <t>cationic cream</t>
        </is>
      </c>
      <c r="H157" s="34" t="inlineStr">
        <is>
          <t>nonionic cream</t>
        </is>
      </c>
      <c r="I157" s="35" t="n">
        <v>1</v>
      </c>
      <c r="J157" s="34" t="inlineStr">
        <is>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7" s="35" t="n"/>
      <c r="L157" s="34" t="inlineStr">
        <is>
          <t>Liquid &amp; Semisolid Dosage Forms</t>
        </is>
      </c>
      <c r="M157" s="35" t="inlineStr">
        <is>
          <t>Product</t>
        </is>
      </c>
      <c r="N157" s="34" t="inlineStr">
        <is>
          <t>ข้อสอบจริง Product ปี 2566 ข้อ 31</t>
        </is>
      </c>
      <c r="O157" s="35" t="inlineStr">
        <is>
          <t>ข้อสอบจริง</t>
        </is>
      </c>
      <c r="P157" s="35" t="inlineStr">
        <is>
          <t>ปี 2566</t>
        </is>
      </c>
    </row>
    <row r="158" ht="409.6" customHeight="1" s="49">
      <c r="A158" s="35" t="n">
        <v>156</v>
      </c>
      <c r="B158" s="34" t="inlineStr">
        <is>
          <t>ตํารับนี้เป็นยารูปแบบใด</t>
        </is>
      </c>
      <c r="C158" s="35" t="n"/>
      <c r="D158" s="34" t="inlineStr">
        <is>
          <t>Ointment</t>
        </is>
      </c>
      <c r="E158" s="34" t="inlineStr">
        <is>
          <t>Gel</t>
        </is>
      </c>
      <c r="F158" s="34" t="inlineStr">
        <is>
          <t>Emulsion</t>
        </is>
      </c>
      <c r="G158" s="34" t="inlineStr">
        <is>
          <t>Cream</t>
        </is>
      </c>
      <c r="H158" s="34" t="inlineStr">
        <is>
          <t>[NEED_REVIEW]</t>
        </is>
      </c>
      <c r="I158" s="35" t="n">
        <v>1</v>
      </c>
      <c r="J158" s="34" t="inlineStr">
        <is>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8" s="35" t="n"/>
      <c r="L158" s="34" t="inlineStr">
        <is>
          <t>Liquid &amp; Semisolid Dosage Forms</t>
        </is>
      </c>
      <c r="M158" s="35" t="inlineStr">
        <is>
          <t>Product</t>
        </is>
      </c>
      <c r="N158" s="34" t="inlineStr">
        <is>
          <t>ข้อสอบจริง Product ปี 2565 ข้อ 1</t>
        </is>
      </c>
      <c r="O158" s="35" t="inlineStr">
        <is>
          <t>ข้อสอบจริง</t>
        </is>
      </c>
      <c r="P158" s="35" t="inlineStr">
        <is>
          <t>ปี 2565</t>
        </is>
      </c>
    </row>
    <row r="159" ht="409.6" customHeight="1" s="49">
      <c r="A159" s="35" t="n">
        <v>157</v>
      </c>
      <c r="B159" s="34" t="inlineStr">
        <is>
          <t>triethanolamine ทําหน้าที่อะไรในตํารับ</t>
        </is>
      </c>
      <c r="C159" s="35" t="n"/>
      <c r="D159" s="34" t="inlineStr">
        <is>
          <t>neutralize carbopol</t>
        </is>
      </c>
      <c r="E159" s="34" t="inlineStr">
        <is>
          <t>protect? Capsaicinoid</t>
        </is>
      </c>
      <c r="F159" s="34" t="inlineStr">
        <is>
          <t>preservative</t>
        </is>
      </c>
      <c r="G159" s="34" t="inlineStr">
        <is>
          <t>[NEED_REVIEW]</t>
        </is>
      </c>
      <c r="H159" s="34" t="inlineStr">
        <is>
          <t>[NEED_REVIEW]</t>
        </is>
      </c>
      <c r="I159" s="35" t="n">
        <v>1</v>
      </c>
      <c r="J159" s="34" t="inlineStr">
        <is>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9" s="35" t="n"/>
      <c r="L159" s="34" t="inlineStr">
        <is>
          <t>Liquid &amp; Semisolid Dosage Forms</t>
        </is>
      </c>
      <c r="M159" s="35" t="inlineStr">
        <is>
          <t>Product</t>
        </is>
      </c>
      <c r="N159" s="34" t="inlineStr">
        <is>
          <t>ข้อสอบจริง Product ปี 2565 ข้อ 2</t>
        </is>
      </c>
      <c r="O159" s="35" t="inlineStr">
        <is>
          <t>ข้อสอบจริง</t>
        </is>
      </c>
      <c r="P159" s="35" t="inlineStr">
        <is>
          <t>ปี 2565</t>
        </is>
      </c>
    </row>
    <row r="160" ht="409.6" customHeight="1" s="49">
      <c r="A160" s="35" t="n">
        <v>158</v>
      </c>
      <c r="B160" s="34" t="inlineStr">
        <is>
          <t>ให้ส่วนประกอบ mometasone nasal spray 0.5% ถามว่า Citric acid กับ sodium citrate ทำหน้าที่อะไรในตำรับ</t>
        </is>
      </c>
      <c r="C160" s="35" t="n"/>
      <c r="D160" s="34" t="inlineStr">
        <is>
          <t>Preservative</t>
        </is>
      </c>
      <c r="E160" s="34" t="inlineStr">
        <is>
          <t>Buffer</t>
        </is>
      </c>
      <c r="F160" s="34" t="inlineStr">
        <is>
          <t>antioxidant</t>
        </is>
      </c>
      <c r="G160" s="34" t="inlineStr">
        <is>
          <t>Solubilizer</t>
        </is>
      </c>
      <c r="H160" s="34" t="inlineStr">
        <is>
          <t>[NEED_REVIEW]</t>
        </is>
      </c>
      <c r="I160" s="35" t="n">
        <v>1</v>
      </c>
      <c r="J160" s="34" t="inlineStr">
        <is>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0" s="35" t="n"/>
      <c r="L160" s="34" t="inlineStr">
        <is>
          <t>Liquid &amp; Semisolid Dosage Forms</t>
        </is>
      </c>
      <c r="M160" s="35" t="inlineStr">
        <is>
          <t>Product</t>
        </is>
      </c>
      <c r="N160" s="34" t="inlineStr">
        <is>
          <t>ข้อสอบจริง Product ปี 2565 ข้อ 40</t>
        </is>
      </c>
      <c r="O160" s="35" t="inlineStr">
        <is>
          <t>ข้อสอบจริง</t>
        </is>
      </c>
      <c r="P160" s="35" t="inlineStr">
        <is>
          <t>ปี 2565</t>
        </is>
      </c>
    </row>
    <row r="161" ht="409.6" customHeight="1" s="49">
      <c r="A161" s="35" t="n">
        <v>159</v>
      </c>
      <c r="B161" s="34" t="inlineStr">
        <is>
          <t>ถ้าได้ยา suspension ต้องทำไงถึงจะทำให้มียาตกตะกอนนอนก้น (sedimentation rate) น้อยที่สุด</t>
        </is>
      </c>
      <c r="C161" s="35" t="n"/>
      <c r="D161" s="34" t="inlineStr">
        <is>
          <t>เพิ่มความหนืดตัวกลาง</t>
        </is>
      </c>
      <c r="E161" s="34" t="inlineStr">
        <is>
          <t>เพิ่มขนาดอนุภาคผงยา</t>
        </is>
      </c>
      <c r="F161" s="34" t="inlineStr">
        <is>
          <t>เพิ่มความหนาแน่นผงยา</t>
        </is>
      </c>
      <c r="G161" s="34" t="inlineStr">
        <is>
          <t>เพิ่ม flocculating agent</t>
        </is>
      </c>
      <c r="H161" s="34" t="inlineStr">
        <is>
          <t>เพิ่มการกระจายขนาดผงยา</t>
        </is>
      </c>
      <c r="I161" s="35" t="n">
        <v>1</v>
      </c>
      <c r="J161" s="34" t="inlineStr">
        <is>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1" s="35" t="n"/>
      <c r="L161" s="34" t="inlineStr">
        <is>
          <t>Liquid &amp; Semisolid Dosage Forms</t>
        </is>
      </c>
      <c r="M161" s="35" t="inlineStr">
        <is>
          <t>Product</t>
        </is>
      </c>
      <c r="N161" s="34" t="inlineStr">
        <is>
          <t>ข้อสอบจริง Product ปี 2565 ข้อ 84</t>
        </is>
      </c>
      <c r="O161" s="35" t="inlineStr">
        <is>
          <t>ข้อสอบจริง</t>
        </is>
      </c>
      <c r="P161" s="35" t="inlineStr">
        <is>
          <t>ปี 2565</t>
        </is>
      </c>
    </row>
    <row r="162" ht="409.6" customHeight="1" s="49">
      <c r="A162" s="35" t="n">
        <v>160</v>
      </c>
      <c r="B162" s="34" t="inlineStr">
        <is>
          <t>"Property of gel former is thermosensitive hydrogel...." ถามว่าสารก่อเจลตัวนี้คือสารใด</t>
        </is>
      </c>
      <c r="C162" s="35" t="n"/>
      <c r="D162" s="34" t="inlineStr">
        <is>
          <t>Carbomer</t>
        </is>
      </c>
      <c r="E162" s="34" t="inlineStr">
        <is>
          <t>Poloxamer</t>
        </is>
      </c>
      <c r="F162" s="34" t="inlineStr">
        <is>
          <t>HEC</t>
        </is>
      </c>
      <c r="G162" s="34" t="inlineStr">
        <is>
          <t>Polyvinyl chloride</t>
        </is>
      </c>
      <c r="H162" s="34" t="inlineStr">
        <is>
          <t>[NEED_REVIEW]</t>
        </is>
      </c>
      <c r="I162" s="35" t="n">
        <v>1</v>
      </c>
      <c r="J162" s="34" t="inlineStr">
        <is>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2" s="35" t="n"/>
      <c r="L162" s="34" t="inlineStr">
        <is>
          <t>Liquid &amp; Semisolid Dosage Forms</t>
        </is>
      </c>
      <c r="M162" s="35" t="inlineStr">
        <is>
          <t>Product</t>
        </is>
      </c>
      <c r="N162" s="34" t="inlineStr">
        <is>
          <t>ข้อสอบจริง Product ปี 2565 ข้อ 94</t>
        </is>
      </c>
      <c r="O162" s="35" t="inlineStr">
        <is>
          <t>ข้อสอบจริง</t>
        </is>
      </c>
      <c r="P162" s="35" t="inlineStr">
        <is>
          <t>ปี 2565</t>
        </is>
      </c>
    </row>
    <row r="163" ht="409.6" customHeight="1" s="49">
      <c r="A163" s="35" t="n">
        <v>161</v>
      </c>
      <c r="B163" s="34" t="inlineStr">
        <is>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is>
      </c>
      <c r="C163" s="35" t="n"/>
      <c r="D163" s="34" t="inlineStr">
        <is>
          <t>Carbopol 1432</t>
        </is>
      </c>
      <c r="E163" s="34" t="inlineStr">
        <is>
          <t>Hypromellose</t>
        </is>
      </c>
      <c r="F163" s="34" t="inlineStr">
        <is>
          <t>mineral oil</t>
        </is>
      </c>
      <c r="G163" s="34" t="inlineStr">
        <is>
          <t>peg 300 isosterate</t>
        </is>
      </c>
      <c r="H163" s="34" t="inlineStr">
        <is>
          <t>propylene glycol กรณีที่ 13</t>
        </is>
      </c>
      <c r="I163" s="35" t="n">
        <v>1</v>
      </c>
      <c r="J163" s="34" t="inlineStr">
        <is>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3" s="35" t="n"/>
      <c r="L163" s="34" t="inlineStr">
        <is>
          <t>Liquid &amp; Semisolid Dosage Forms</t>
        </is>
      </c>
      <c r="M163" s="35" t="inlineStr">
        <is>
          <t>Product</t>
        </is>
      </c>
      <c r="N163" s="34" t="inlineStr">
        <is>
          <t>ข้อสอบจริง Product ปี 2565 ข้อ 40</t>
        </is>
      </c>
      <c r="O163" s="35" t="inlineStr">
        <is>
          <t>ข้อสอบจริง</t>
        </is>
      </c>
      <c r="P163" s="35" t="inlineStr">
        <is>
          <t>ปี 2565</t>
        </is>
      </c>
    </row>
    <row r="164" ht="409.6" customHeight="1" s="49">
      <c r="A164" s="35" t="n">
        <v>162</v>
      </c>
      <c r="B164" s="34" t="inlineStr">
        <is>
          <t>อยากเพิ่มระยะเวลาให้ยาอยู่ที่กระจกตานานขึ้น ควรเติมสารใด</t>
        </is>
      </c>
      <c r="C164" s="35" t="n"/>
      <c r="D164" s="34" t="inlineStr">
        <is>
          <t>Buffering agent</t>
        </is>
      </c>
      <c r="E164" s="34" t="inlineStr">
        <is>
          <t>Viscosity enhancer</t>
        </is>
      </c>
      <c r="F164" s="34" t="inlineStr">
        <is>
          <t>surface active agent</t>
        </is>
      </c>
      <c r="G164" s="34" t="inlineStr">
        <is>
          <t>isotonic agent</t>
        </is>
      </c>
      <c r="H164" s="34" t="inlineStr">
        <is>
          <t>stabilizer</t>
        </is>
      </c>
      <c r="I164" s="35" t="n">
        <v>1</v>
      </c>
      <c r="J164" s="34" t="inlineStr">
        <is>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4" s="35" t="n"/>
      <c r="L164" s="34" t="inlineStr">
        <is>
          <t>Liquid &amp; Semisolid Dosage Forms</t>
        </is>
      </c>
      <c r="M164" s="35" t="inlineStr">
        <is>
          <t>Product</t>
        </is>
      </c>
      <c r="N164" s="34" t="inlineStr">
        <is>
          <t>ข้อสอบจริง Product ปี 2565 ข้อ 43</t>
        </is>
      </c>
      <c r="O164" s="35" t="inlineStr">
        <is>
          <t>ข้อสอบจริง</t>
        </is>
      </c>
      <c r="P164" s="35" t="inlineStr">
        <is>
          <t>ปี 2565</t>
        </is>
      </c>
    </row>
    <row r="165" ht="409.6" customHeight="1" s="49">
      <c r="A165" s="35" t="n">
        <v>163</v>
      </c>
      <c r="B165" s="34" t="inlineStr">
        <is>
          <t>Aluminum hydroxide paste eq. to Aluminum hydroxide 4 g, glycerol, sorbitol, methyl hydroxybenzoate, propyl hydroxybenzoate purified water qs. to 100 ml หากเตรียมจริง จะได้ตำรับอะไร</t>
        </is>
      </c>
      <c r="C165" s="35" t="n"/>
      <c r="D165" s="34" t="inlineStr">
        <is>
          <t>oral solution</t>
        </is>
      </c>
      <c r="E165" s="34" t="inlineStr">
        <is>
          <t>suspension</t>
        </is>
      </c>
      <c r="F165" s="34" t="inlineStr">
        <is>
          <t>syrup</t>
        </is>
      </c>
      <c r="G165" s="34" t="inlineStr">
        <is>
          <t>tincture</t>
        </is>
      </c>
      <c r="H165" s="34" t="inlineStr">
        <is>
          <t>emulsion</t>
        </is>
      </c>
      <c r="I165" s="35" t="n">
        <v>1</v>
      </c>
      <c r="J165" s="34" t="inlineStr">
        <is>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5" s="35" t="n"/>
      <c r="L165" s="34" t="inlineStr">
        <is>
          <t>Liquid &amp; Semisolid Dosage Forms</t>
        </is>
      </c>
      <c r="M165" s="35" t="inlineStr">
        <is>
          <t>Product</t>
        </is>
      </c>
      <c r="N165" s="34" t="inlineStr">
        <is>
          <t>ข้อสอบจริง Product ปี 2565 ข้อ 78</t>
        </is>
      </c>
      <c r="O165" s="35" t="inlineStr">
        <is>
          <t>ข้อสอบจริง</t>
        </is>
      </c>
      <c r="P165" s="35" t="inlineStr">
        <is>
          <t>ปี 2565</t>
        </is>
      </c>
    </row>
    <row r="166" ht="409.6" customHeight="1" s="49">
      <c r="A166" s="35" t="n">
        <v>164</v>
      </c>
      <c r="B166" s="34" t="inlineStr">
        <is>
          <t>Calamide suspension ตกตะกอน เขย่าแล้วไม่กลับคืน เรียกว่าอะไร</t>
        </is>
      </c>
      <c r="C166" s="35" t="n"/>
      <c r="D166" s="34" t="inlineStr">
        <is>
          <t>Caking</t>
        </is>
      </c>
      <c r="E166" s="34" t="inlineStr">
        <is>
          <t>Cracking</t>
        </is>
      </c>
      <c r="F166" s="34" t="inlineStr">
        <is>
          <t>Upward Creaming</t>
        </is>
      </c>
      <c r="G166" s="34" t="inlineStr">
        <is>
          <t>Downward Creaming</t>
        </is>
      </c>
      <c r="H166" s="34" t="inlineStr">
        <is>
          <t>[NEED_REVIEW]</t>
        </is>
      </c>
      <c r="I166" s="35" t="n">
        <v>1</v>
      </c>
      <c r="J166" s="34" t="inlineStr">
        <is>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6" s="35" t="n"/>
      <c r="L166" s="34" t="inlineStr">
        <is>
          <t>Liquid &amp; Semisolid Dosage Forms</t>
        </is>
      </c>
      <c r="M166" s="35" t="inlineStr">
        <is>
          <t>Product</t>
        </is>
      </c>
      <c r="N166" s="34" t="inlineStr">
        <is>
          <t>ข้อสอบจริง Product ปี 2565 ข้อ 82</t>
        </is>
      </c>
      <c r="O166" s="35" t="inlineStr">
        <is>
          <t>ข้อสอบจริง</t>
        </is>
      </c>
      <c r="P166" s="35" t="inlineStr">
        <is>
          <t>ปี 2565</t>
        </is>
      </c>
    </row>
    <row r="167" ht="409.6" customHeight="1" s="49">
      <c r="A167" s="35" t="n">
        <v>165</v>
      </c>
      <c r="B167" s="34" t="inlineStr">
        <is>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is>
      </c>
      <c r="C167" s="35" t="n"/>
      <c r="D167" s="34" t="inlineStr">
        <is>
          <t>Purified water : Vehicle</t>
        </is>
      </c>
      <c r="E167" s="34" t="n"/>
      <c r="F167" s="34" t="inlineStr">
        <is>
          <t>Mineral oil : levigating agent สำหรับ ointment ถ้านำไปใช้ในยาน้ำจะเกิดการแยกชั้น</t>
        </is>
      </c>
      <c r="G167" s="34" t="inlineStr">
        <is>
          <t>Benzyl alcohol : preservative ไม่ใช้เป็น wetting agent และอาจมีพิษในทารก (gasping syndrome)</t>
        </is>
      </c>
      <c r="H167" s="34" t="inlineStr">
        <is>
          <t>Alcohol : Solvent / Cosolvent</t>
        </is>
      </c>
      <c r="I167" s="35" t="n">
        <v>2</v>
      </c>
      <c r="J167" s="34" t="inlineStr">
        <is>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7" s="35" t="n"/>
      <c r="L167" s="34" t="inlineStr">
        <is>
          <t>Liquid &amp; Semisolid Dosage Forms</t>
        </is>
      </c>
      <c r="M167" s="35" t="inlineStr">
        <is>
          <t>Product</t>
        </is>
      </c>
      <c r="N167" s="34" t="inlineStr">
        <is>
          <t>ข้อสอบจริง Product ปี 2565 ข้อ 26</t>
        </is>
      </c>
      <c r="O167" s="35" t="inlineStr">
        <is>
          <t>ข้อสอบจริง</t>
        </is>
      </c>
      <c r="P167" s="35" t="inlineStr">
        <is>
          <t>ปี 2565</t>
        </is>
      </c>
    </row>
    <row r="168" ht="409.6" customHeight="1" s="49">
      <c r="A168" s="35" t="n">
        <v>166</v>
      </c>
      <c r="B168" s="34" t="inlineStr">
        <is>
          <t>ตอบ ข้อ ง. peg 300 isosterate คำอธิบาย : เนื่องจากเป็น Emulsifier สำหรับในข้ออื่น</t>
        </is>
      </c>
      <c r="C168" s="35" t="inlineStr">
        <is>
          <t>[แนบรูป: ข้อสอบ Product ปี 2565 รหัสรูปภาพ image50]</t>
        </is>
      </c>
      <c r="D168" s="34" t="inlineStr">
        <is>
          <t>Carbopol 1432 = Thickening agent, gelling agent</t>
        </is>
      </c>
      <c r="E168" s="34" t="inlineStr">
        <is>
          <t>Hypromellose = Thickening agent</t>
        </is>
      </c>
      <c r="F168" s="34" t="inlineStr">
        <is>
          <t>mineral oil = Emollient</t>
        </is>
      </c>
      <c r="G168" s="34" t="inlineStr">
        <is>
          <t>peg 300 isosterate = Emulsifier</t>
        </is>
      </c>
      <c r="H168" s="34" t="inlineStr">
        <is>
          <t>propylene glycol = Co-solvent, humectant [แนบรูป: ข้อสอบ Product ปี 2565 รหัสรูปภาพ image50]</t>
        </is>
      </c>
      <c r="I168" s="35" t="n">
        <v>2</v>
      </c>
      <c r="J168" s="34" t="inlineStr">
        <is>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8" s="35" t="n"/>
      <c r="L168" s="34" t="inlineStr">
        <is>
          <t>Liquid &amp; Semisolid Dosage Forms</t>
        </is>
      </c>
      <c r="M168" s="35" t="inlineStr">
        <is>
          <t>Product</t>
        </is>
      </c>
      <c r="N168" s="34" t="inlineStr">
        <is>
          <t>ข้อสอบจริง Product ปี 2565 ข้อ 40</t>
        </is>
      </c>
      <c r="O168" s="35" t="inlineStr">
        <is>
          <t>ข้อสอบจริง</t>
        </is>
      </c>
      <c r="P168" s="35" t="inlineStr">
        <is>
          <t>ปี 2565</t>
        </is>
      </c>
    </row>
    <row r="169" ht="409.6" customHeight="1" s="49">
      <c r="A169" s="35" t="n">
        <v>167</v>
      </c>
      <c r="B169" s="34" t="inlineStr">
        <is>
          <t>ตอบ ข.suspension คำอธิบาย :</t>
        </is>
      </c>
      <c r="C169" s="35" t="inlineStr">
        <is>
          <t>[แนบรูป: ข้อสอบ Product ปี 2565 รหัสรูปภาพ image63]</t>
        </is>
      </c>
      <c r="D169" s="34" t="inlineStr">
        <is>
          <t>oral solution  : API ไม่ละลายน้ำ เตรียมเป็น solution ไม่ได้</t>
        </is>
      </c>
      <c r="E169" s="34" t="n"/>
      <c r="F169" s="34" t="inlineStr">
        <is>
          <t>syrup  :  ไม่มีในตำรับ</t>
        </is>
      </c>
      <c r="G169" s="34" t="inlineStr">
        <is>
          <t>tincture : ในตำรับไม่มี alcohol</t>
        </is>
      </c>
      <c r="H169" s="34" t="inlineStr">
        <is>
          <t>emulsion :  ในตำรับไม่มี emulsifying agent [แนบรูป: ข้อสอบ Product ปี 2565 รหัสรูปภาพ image63]</t>
        </is>
      </c>
      <c r="I169" s="35" t="n">
        <v>2</v>
      </c>
      <c r="J169" s="34" t="inlineStr">
        <is>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9" s="35" t="n"/>
      <c r="L169" s="34" t="inlineStr">
        <is>
          <t>Liquid &amp; Semisolid Dosage Forms</t>
        </is>
      </c>
      <c r="M169" s="35" t="inlineStr">
        <is>
          <t>Product</t>
        </is>
      </c>
      <c r="N169" s="34" t="inlineStr">
        <is>
          <t>ข้อสอบจริง Product ปี 2565 ข้อ 78</t>
        </is>
      </c>
      <c r="O169" s="35" t="inlineStr">
        <is>
          <t>ข้อสอบจริง</t>
        </is>
      </c>
      <c r="P169" s="35" t="inlineStr">
        <is>
          <t>ปี 2565</t>
        </is>
      </c>
    </row>
    <row r="170" ht="409.6" customHeight="1" s="49">
      <c r="A170" s="35" t="n">
        <v>168</v>
      </c>
      <c r="B170" s="34" t="inlineStr">
        <is>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is>
      </c>
      <c r="C170" s="35" t="inlineStr">
        <is>
          <t>[แนบรูป: ข้อสอบ Product ปี 2564 รหัสรูปภาพ image70]</t>
        </is>
      </c>
      <c r="D170" s="34" t="inlineStr">
        <is>
          <t>เพิ่มอุณหภูมิการอบแห้ง  ทำให้แห้งเร็วเกินไป ฟิล์มอาจยิ่งเปราะ</t>
        </is>
      </c>
      <c r="E170" s="34" t="inlineStr">
        <is>
          <t>เพิ่มgelatinในนํ้ายาเคลือบ</t>
        </is>
      </c>
      <c r="F170" s="34" t="inlineStr">
        <is>
          <t>เพิ่ม Talcum ในน้ำยาเคลือบ Talc เป็นสารกันติด (glidant) ไม่ช่วยแก้ปัญหาฟิล์มแตก</t>
        </is>
      </c>
      <c r="G170" s="34" t="inlineStr">
        <is>
          <t>เพิ่มอัตราเร็วการหมุนของหม้อเคลือบ อาจทำให้เม็ดยาชนกันแรงขึ้นและแตกง่ายกว่าเดิม</t>
        </is>
      </c>
      <c r="H170" s="34" t="inlineStr">
        <is>
          <t>เพิ่มอัตราการให้น้ำยาเคลือบ  อาจทำให้เม็ดยาเปียกเกิน เกิดการติดกัน (sticking/picking)</t>
        </is>
      </c>
      <c r="I170" s="35" t="n">
        <v>1</v>
      </c>
      <c r="J170" s="34" t="inlineStr">
        <is>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0" s="35" t="n"/>
      <c r="L170" s="34" t="inlineStr">
        <is>
          <t>Liquid &amp; Semisolid Dosage Forms</t>
        </is>
      </c>
      <c r="M170" s="35" t="inlineStr">
        <is>
          <t>Product</t>
        </is>
      </c>
      <c r="N170" s="34" t="inlineStr">
        <is>
          <t>ข้อสอบจริง Product ปี 2564 ข้อ 7</t>
        </is>
      </c>
      <c r="O170" s="35" t="inlineStr">
        <is>
          <t>ข้อสอบจริง</t>
        </is>
      </c>
      <c r="P170" s="35" t="inlineStr">
        <is>
          <t>ปี 2564</t>
        </is>
      </c>
    </row>
    <row r="171" ht="409.6" customHeight="1" s="49">
      <c r="A171" s="35" t="n">
        <v>169</v>
      </c>
      <c r="B171" s="34" t="inlineStr">
        <is>
          <t>ส่วนประกอบที่สําคัญของยาเม็ด ในยาที่เกิดการสลายตัวในสภาวะกรด</t>
        </is>
      </c>
      <c r="C171" s="35" t="n"/>
      <c r="D171" s="34" t="inlineStr">
        <is>
          <t>Cellulose acetate phthalates</t>
        </is>
      </c>
      <c r="E171" s="34" t="inlineStr">
        <is>
          <t>PVP (Polyvinylpyrrolidone)  เป็นสารยึดเกาะ (Binder)</t>
        </is>
      </c>
      <c r="F171" s="34" t="inlineStr">
        <is>
          <t>HPMC (Hydroxypropyl methylcellulose)  เป็นสารเคลือบฟิล์มทั่วไป/เพิ่มความหนืด ไม่ใช่ enteric coating</t>
        </is>
      </c>
      <c r="G171" s="34" t="inlineStr">
        <is>
          <t>Sodium starch glycolate  เป็นสารช่วยแตกตัว (Disintegrant)</t>
        </is>
      </c>
      <c r="H171" s="34" t="inlineStr">
        <is>
          <t>Magnesium stearate เป็นสารหล่อลื่น (Lubricant)</t>
        </is>
      </c>
      <c r="I171" s="35" t="n">
        <v>1</v>
      </c>
      <c r="J171" s="34" t="inlineStr">
        <is>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1" s="35" t="n"/>
      <c r="L171" s="34" t="inlineStr">
        <is>
          <t>Liquid &amp; Semisolid Dosage Forms</t>
        </is>
      </c>
      <c r="M171" s="35" t="inlineStr">
        <is>
          <t>Product</t>
        </is>
      </c>
      <c r="N171" s="34" t="inlineStr">
        <is>
          <t>ข้อสอบจริง Product ปี 2564 ข้อ 12</t>
        </is>
      </c>
      <c r="O171" s="35" t="inlineStr">
        <is>
          <t>ข้อสอบจริง</t>
        </is>
      </c>
      <c r="P171" s="35" t="inlineStr">
        <is>
          <t>ปี 2564</t>
        </is>
      </c>
    </row>
    <row r="172" ht="409.6" customHeight="1" s="49">
      <c r="A172" s="35" t="n">
        <v>170</v>
      </c>
      <c r="B172" s="34" t="inlineStr">
        <is>
          <t>ข้อใดผิดเกี่ยวกับ piroxicam gel ให้สูตรตํารับมา</t>
        </is>
      </c>
      <c r="C172" s="35" t="n"/>
      <c r="D172" s="34" t="inlineStr">
        <is>
          <t>Carbopol เป็น gelling agents</t>
        </is>
      </c>
      <c r="E172" s="34" t="inlineStr">
        <is>
          <t>Diisopropanolamine เป็น neutralizing agents</t>
        </is>
      </c>
      <c r="F172" s="34" t="inlineStr">
        <is>
          <t>Ethanol เป็น cosolvent</t>
        </is>
      </c>
      <c r="G172" s="34" t="inlineStr">
        <is>
          <t>Propylene glycol เป็น humectant</t>
        </is>
      </c>
      <c r="H172" s="34" t="inlineStr">
        <is>
          <t>Benzyl alcohol เป็น cosolvent</t>
        </is>
      </c>
      <c r="I172" s="35" t="n">
        <v>1</v>
      </c>
      <c r="J172" s="34" t="inlineStr">
        <is>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2" s="35" t="n"/>
      <c r="L172" s="34" t="inlineStr">
        <is>
          <t>Liquid &amp; Semisolid Dosage Forms</t>
        </is>
      </c>
      <c r="M172" s="35" t="inlineStr">
        <is>
          <t>Product</t>
        </is>
      </c>
      <c r="N172" s="34" t="inlineStr">
        <is>
          <t>ข้อสอบจริง Product ปี 2564 ข้อ 14</t>
        </is>
      </c>
      <c r="O172" s="35" t="inlineStr">
        <is>
          <t>ข้อสอบจริง</t>
        </is>
      </c>
      <c r="P172" s="35" t="inlineStr">
        <is>
          <t>ปี 2564</t>
        </is>
      </c>
    </row>
    <row r="173" ht="409.6" customHeight="1" s="49">
      <c r="A173" s="35" t="n">
        <v>171</v>
      </c>
      <c r="B173" s="34" t="inlineStr">
        <is>
          <t>เตรียมยา HRZE เพื่อเพิ่ม compliance การเตรียมยาวิธีใดทำ ให้เกิด incompatibility มากที่สุด</t>
        </is>
      </c>
      <c r="C173" s="35" t="n"/>
      <c r="D173" s="34" t="inlineStr">
        <is>
          <t>Shellac  เป็นสารเคลือบยา (Coating agent/Enteric coating)</t>
        </is>
      </c>
      <c r="E173" s="34" t="inlineStr">
        <is>
          <t>Hypromellose (HPMC)  เป็นสารสร้างฟิล์ม/เพิ่มความหนืด (Film former, Viscosity enhancer)</t>
        </is>
      </c>
      <c r="F173" s="34" t="inlineStr">
        <is>
          <t>cross-linked sodium carboxymethyl cellulose</t>
        </is>
      </c>
      <c r="G173" s="34" t="inlineStr">
        <is>
          <t>Magnesium stearate เป็นสารหล่อลื่น (Lubricant)</t>
        </is>
      </c>
      <c r="H173" s="34" t="inlineStr">
        <is>
          <t>PVP (Polyvinylpyrrolidone)  เป็นสารยึดเกาะ (Binder)</t>
        </is>
      </c>
      <c r="I173" s="35" t="n">
        <v>1</v>
      </c>
      <c r="J173" s="34" t="inlineStr">
        <is>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3" s="35" t="n"/>
      <c r="L173" s="34" t="inlineStr">
        <is>
          <t>Liquid &amp; Semisolid Dosage Forms</t>
        </is>
      </c>
      <c r="M173" s="35" t="inlineStr">
        <is>
          <t>Product</t>
        </is>
      </c>
      <c r="N173" s="34" t="inlineStr">
        <is>
          <t>ข้อสอบจริง Product ปี 2564 ข้อ 17</t>
        </is>
      </c>
      <c r="O173" s="35" t="inlineStr">
        <is>
          <t>ข้อสอบจริง</t>
        </is>
      </c>
      <c r="P173" s="35" t="inlineStr">
        <is>
          <t>ปี 2564</t>
        </is>
      </c>
    </row>
    <row r="174" ht="409.6" customHeight="1" s="49">
      <c r="A174" s="35" t="n">
        <v>172</v>
      </c>
      <c r="B174" s="34" t="inlineStr">
        <is>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is>
      </c>
      <c r="C174" s="35" t="n"/>
      <c r="D174" s="34" t="inlineStr">
        <is>
          <t>sorbitan monostearate, polysorbate 60</t>
        </is>
      </c>
      <c r="E174" s="34" t="inlineStr">
        <is>
          <t>sorbitan monostearate, polysorbate 60, 2-octyldodecanol</t>
        </is>
      </c>
      <c r="F174" s="34" t="inlineStr">
        <is>
          <t>polysorbate 60, cetostearyl alcohol</t>
        </is>
      </c>
      <c r="G174" s="34" t="inlineStr">
        <is>
          <t>polysorbate 60, cetostearyl alcohol, 2-octyldodecanol</t>
        </is>
      </c>
      <c r="H174" s="34" t="inlineStr">
        <is>
          <t>cetyl esters wax, 2-octyldodecanol</t>
        </is>
      </c>
      <c r="I174" s="35" t="n">
        <v>1</v>
      </c>
      <c r="J174" s="34" t="inlineStr">
        <is>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4" s="35" t="n"/>
      <c r="L174" s="34" t="inlineStr">
        <is>
          <t>Liquid &amp; Semisolid Dosage Forms</t>
        </is>
      </c>
      <c r="M174" s="35" t="inlineStr">
        <is>
          <t>Product</t>
        </is>
      </c>
      <c r="N174" s="34" t="inlineStr">
        <is>
          <t>ข้อสอบจริง Product ปี 2564 ข้อ 23</t>
        </is>
      </c>
      <c r="O174" s="35" t="inlineStr">
        <is>
          <t>ข้อสอบจริง</t>
        </is>
      </c>
      <c r="P174" s="35" t="inlineStr">
        <is>
          <t>ปี 2564</t>
        </is>
      </c>
    </row>
    <row r="175" ht="409.6" customHeight="1" s="49">
      <c r="A175" s="35" t="n">
        <v>173</v>
      </c>
      <c r="B175" s="34" t="inlineStr">
        <is>
          <t>ข้อใดเป็นสารช่วยแตกตัวใน desipramine tablet</t>
        </is>
      </c>
      <c r="C175" s="35" t="n"/>
      <c r="D175" s="34" t="inlineStr">
        <is>
          <t>Shellac  สารเคลือบยา (Coating/Enteric coating)</t>
        </is>
      </c>
      <c r="E175" s="34" t="inlineStr">
        <is>
          <t>Hypromellose (HPMC)  สารสร้างฟิล์ม/เพิ่มความหนืด หรือใช้เป็น matrix ในยาออกฤทธิ์นาน</t>
        </is>
      </c>
      <c r="F175" s="34" t="inlineStr">
        <is>
          <t>Magnesium stearate  สารหล่อลื่น (Lubricant)</t>
        </is>
      </c>
      <c r="G175" s="34" t="inlineStr">
        <is>
          <t>Polyvinyl acetate phthalate (PVAP)  สารเคลือบลำไส้ (Enteric coating polymer)</t>
        </is>
      </c>
      <c r="H175" s="34" t="inlineStr">
        <is>
          <t>Crosslinked sodium carboxymethylcellulose เป็น Disintegrant (Superdisintegrant)</t>
        </is>
      </c>
      <c r="I175" s="35" t="n">
        <v>1</v>
      </c>
      <c r="J175" s="34" t="inlineStr">
        <is>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5" s="35" t="n"/>
      <c r="L175" s="34" t="inlineStr">
        <is>
          <t>Liquid &amp; Semisolid Dosage Forms</t>
        </is>
      </c>
      <c r="M175" s="35" t="inlineStr">
        <is>
          <t>Product</t>
        </is>
      </c>
      <c r="N175" s="34" t="inlineStr">
        <is>
          <t>ข้อสอบจริง Product ปี 2564 ข้อ 30</t>
        </is>
      </c>
      <c r="O175" s="35" t="inlineStr">
        <is>
          <t>ข้อสอบจริง</t>
        </is>
      </c>
      <c r="P175" s="35" t="inlineStr">
        <is>
          <t>ปี 2564</t>
        </is>
      </c>
    </row>
    <row r="176" ht="409.6" customHeight="1" s="49">
      <c r="A176" s="35" t="n">
        <v>174</v>
      </c>
      <c r="B176" s="34" t="inlineStr">
        <is>
          <t>ยาที่ผู้ป่วยได้รับมีตัวยาสำคัญ 70 mg, Methylcellulose, starch, lactose anhydrous, Croscarmellose sodium, Magnesium stearate ข้อใดทำหน้าที่เป็น super disintegrant</t>
        </is>
      </c>
      <c r="C176" s="35" t="n"/>
      <c r="D176" s="34" t="inlineStr">
        <is>
          <t>Methylcellulose เป็น สารเพิ่มความหนืด (Viscosity enhancer) หรือ Binder</t>
        </is>
      </c>
      <c r="E176" s="34" t="inlineStr">
        <is>
          <t>Starch เป็น Disintegrant ทั่วไป (ไม่ใช่ Superdisintegrant)</t>
        </is>
      </c>
      <c r="F176" s="34" t="inlineStr">
        <is>
          <t>Lactose anhydrous เป็น สารเพิ่มปริมาณ (Diluent/Filler)</t>
        </is>
      </c>
      <c r="G176" s="34" t="inlineStr">
        <is>
          <t>Croscarmellose sodium เป็น Superdisintegrant</t>
        </is>
      </c>
      <c r="H176" s="34" t="inlineStr">
        <is>
          <t>Magnesium stearate เป็น สารหล่อลื่น (Lubricant)</t>
        </is>
      </c>
      <c r="I176" s="35" t="n">
        <v>1</v>
      </c>
      <c r="J176" s="34" t="inlineStr">
        <is>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6" s="35" t="n"/>
      <c r="L176" s="34" t="inlineStr">
        <is>
          <t>Liquid &amp; Semisolid Dosage Forms</t>
        </is>
      </c>
      <c r="M176" s="35" t="inlineStr">
        <is>
          <t>Product</t>
        </is>
      </c>
      <c r="N176" s="34" t="inlineStr">
        <is>
          <t>ข้อสอบจริง Product ปี 2564 ข้อ 47</t>
        </is>
      </c>
      <c r="O176" s="35" t="inlineStr">
        <is>
          <t>ข้อสอบจริง</t>
        </is>
      </c>
      <c r="P176" s="35" t="inlineStr">
        <is>
          <t>ปี 2564</t>
        </is>
      </c>
    </row>
    <row r="177" ht="409.6" customHeight="1" s="49">
      <c r="A177" s="35" t="n">
        <v>175</v>
      </c>
      <c r="B177" s="34" t="inlineStr">
        <is>
          <t>ให้สูตรตำรับ Aluminium and magnesium oral suspension ข้อใดคือ structured vehicle</t>
        </is>
      </c>
      <c r="C177" s="35" t="n"/>
      <c r="D177" s="34" t="inlineStr">
        <is>
          <t>Glycerin  เป็น humectant และช่วยเพิ่มความหวาน/ความหนืดเล็กน้อย</t>
        </is>
      </c>
      <c r="E177" s="34" t="inlineStr">
        <is>
          <t>Sorbitol  เป็น sweetener และ vehicle</t>
        </is>
      </c>
      <c r="F177" s="34" t="inlineStr">
        <is>
          <t>Peppermint oil  เป็น flavoring agent</t>
        </is>
      </c>
      <c r="G177" s="34" t="inlineStr">
        <is>
          <t>Methylcellulose 400</t>
        </is>
      </c>
      <c r="H177" s="34" t="inlineStr">
        <is>
          <t>Tween 80 เป็น surfactant/wetting agent</t>
        </is>
      </c>
      <c r="I177" s="35" t="n">
        <v>1</v>
      </c>
      <c r="J177" s="34" t="inlineStr">
        <is>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7" s="35" t="n"/>
      <c r="L177" s="34" t="inlineStr">
        <is>
          <t>Liquid &amp; Semisolid Dosage Forms</t>
        </is>
      </c>
      <c r="M177" s="35" t="inlineStr">
        <is>
          <t>Product</t>
        </is>
      </c>
      <c r="N177" s="34" t="inlineStr">
        <is>
          <t>ข้อสอบจริง Product ปี 2564 ข้อ 51</t>
        </is>
      </c>
      <c r="O177" s="35" t="inlineStr">
        <is>
          <t>ข้อสอบจริง</t>
        </is>
      </c>
      <c r="P177" s="35" t="inlineStr">
        <is>
          <t>ปี 2564</t>
        </is>
      </c>
    </row>
    <row r="178" ht="409.6" customHeight="1" s="49">
      <c r="A178" s="35" t="n">
        <v>176</v>
      </c>
      <c r="B178" s="34" t="inlineStr">
        <is>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is>
      </c>
      <c r="C178" s="35" t="n"/>
      <c r="D178" s="34" t="inlineStr">
        <is>
          <t>Accuracy ❌ ความใกล้เคียงกับ "ค่าจริง (True value)"</t>
        </is>
      </c>
      <c r="E178" s="34" t="inlineStr">
        <is>
          <t>Precision ✅ ความใกล้เคียงกันของผลที่วัดซ้ำ</t>
        </is>
      </c>
      <c r="F178" s="34" t="inlineStr">
        <is>
          <t>Specificity ❌ ความสามารถในการวิเคราะห์สารเป้าหมายโดยไม่ถูกรบกวนจากสารอื่น</t>
        </is>
      </c>
      <c r="G178" s="34" t="inlineStr">
        <is>
          <t>Linearity ❌ ความสัมพันธ์เชิงเส้นระหว่างความเข้มข้นกับสัญญาณ</t>
        </is>
      </c>
      <c r="H178" s="34" t="inlineStr">
        <is>
          <t>Limit of determination ❌ ไม่ใช่พารามิเตอร์มาตรฐาน (มักใช้ Limit of Detection (LOD) หรือ Limit of Quantitation (LOQ))</t>
        </is>
      </c>
      <c r="I178" s="35" t="n">
        <v>1</v>
      </c>
      <c r="J178" s="34" t="inlineStr">
        <is>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8" s="35" t="n"/>
      <c r="L178" s="34" t="inlineStr">
        <is>
          <t>Liquid &amp; Semisolid Dosage Forms</t>
        </is>
      </c>
      <c r="M178" s="35" t="inlineStr">
        <is>
          <t>Product</t>
        </is>
      </c>
      <c r="N178" s="34" t="inlineStr">
        <is>
          <t>ข้อสอบจริง Product ปี 2564 ข้อ 54</t>
        </is>
      </c>
      <c r="O178" s="35" t="inlineStr">
        <is>
          <t>ข้อสอบจริง</t>
        </is>
      </c>
      <c r="P178" s="35" t="inlineStr">
        <is>
          <t>ปี 2564</t>
        </is>
      </c>
    </row>
    <row r="179" ht="409.6" customHeight="1" s="49">
      <c r="A179" s="35" t="n">
        <v>177</v>
      </c>
      <c r="B179" s="34" t="inlineStr">
        <is>
          <t>Ibuprofen soft gelatin capsule ออกฤทธิ์เร็ว เนื่องจากเมื่อเปลือกละลาย ตัวยาจะดูดซึมทันทีดังนั้นยาที่บรรจุในแคปซูลควรอยูในรูปแบบใด</t>
        </is>
      </c>
      <c r="C179" s="35" t="n"/>
      <c r="D179" s="34" t="inlineStr">
        <is>
          <t>Gels</t>
        </is>
      </c>
      <c r="E179" s="34" t="inlineStr">
        <is>
          <t>Pellets</t>
        </is>
      </c>
      <c r="F179" s="34" t="inlineStr">
        <is>
          <t>Powders</t>
        </is>
      </c>
      <c r="G179" s="34" t="inlineStr">
        <is>
          <t>Suspensions</t>
        </is>
      </c>
      <c r="H179" s="34" t="inlineStr">
        <is>
          <t>Solutions</t>
        </is>
      </c>
      <c r="I179" s="35" t="n">
        <v>1</v>
      </c>
      <c r="J179" s="34" t="inlineStr">
        <is>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9" s="35" t="n"/>
      <c r="L179" s="34" t="inlineStr">
        <is>
          <t>Liquid &amp; Semisolid Dosage Forms</t>
        </is>
      </c>
      <c r="M179" s="35" t="inlineStr">
        <is>
          <t>Product</t>
        </is>
      </c>
      <c r="N179" s="34" t="inlineStr">
        <is>
          <t>ข้อสอบจริง Product ปี 2564 ข้อ 62</t>
        </is>
      </c>
      <c r="O179" s="35" t="inlineStr">
        <is>
          <t>ข้อสอบจริง</t>
        </is>
      </c>
      <c r="P179" s="35" t="inlineStr">
        <is>
          <t>ปี 2564</t>
        </is>
      </c>
    </row>
    <row r="180" ht="409.6" customHeight="1" s="49">
      <c r="A180" s="35" t="n">
        <v>178</v>
      </c>
      <c r="B180" s="34" t="inlineStr">
        <is>
          <t>ควรใช้ binder ชนิดใด</t>
        </is>
      </c>
      <c r="C180" s="35" t="n"/>
      <c r="D180" s="34" t="inlineStr">
        <is>
          <t>Pregelatinized starch ❌ เป็น binder ได้ แต่พบใช้เด่นใน wet granulation และมีบทบาทเป็น disintegrant ได้</t>
        </is>
      </c>
      <c r="E180" s="34" t="inlineStr">
        <is>
          <t>Lactose monohydrate ❌ เป็น diluent</t>
        </is>
      </c>
      <c r="F180" s="34" t="inlineStr">
        <is>
          <t>Microcrystalline cellulose (MCC) ✅ เป็น Dry binder ที่ใช้บ่อยมากใน Direct compression และ Dry granulation</t>
        </is>
      </c>
      <c r="G180" s="34" t="inlineStr">
        <is>
          <t>Sodium starch glycolate ❌ Superdisintegrant</t>
        </is>
      </c>
      <c r="H180" s="34" t="inlineStr">
        <is>
          <t>Dibasic calcium phosphate ❌ Diluent ไม่ใช่ binder</t>
        </is>
      </c>
      <c r="I180" s="35" t="n">
        <v>1</v>
      </c>
      <c r="J180" s="34" t="inlineStr">
        <is>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0" s="35" t="n"/>
      <c r="L180" s="34" t="inlineStr">
        <is>
          <t>Liquid &amp; Semisolid Dosage Forms</t>
        </is>
      </c>
      <c r="M180" s="35" t="inlineStr">
        <is>
          <t>Product</t>
        </is>
      </c>
      <c r="N180" s="34" t="inlineStr">
        <is>
          <t>ข้อสอบจริง Product ปี 2564 ข้อ 64</t>
        </is>
      </c>
      <c r="O180" s="35" t="inlineStr">
        <is>
          <t>ข้อสอบจริง</t>
        </is>
      </c>
      <c r="P180" s="35" t="inlineStr">
        <is>
          <t>ปี 2564</t>
        </is>
      </c>
    </row>
    <row r="181" ht="409.6" customHeight="1" s="49">
      <c r="A181" s="35" t="n">
        <v>179</v>
      </c>
      <c r="B181" s="34" t="inlineStr">
        <is>
          <t>ข้อใดไม่ใช่วิธีการควบคุมคุณภาพของยา Ibuprofen ที่เป็น soft gelatin</t>
        </is>
      </c>
      <c r="C181" s="35" t="n"/>
      <c r="D181" s="34" t="inlineStr">
        <is>
          <t>ปริมาณการบรรจุ ✅ เป็น QC</t>
        </is>
      </c>
      <c r="E181" s="34" t="inlineStr">
        <is>
          <t>การละลาย ✅ เป็น QC</t>
        </is>
      </c>
      <c r="F181" s="34" t="inlineStr">
        <is>
          <t>การแตกตัว ✅ เป็น QC</t>
        </is>
      </c>
      <c r="G181" s="34" t="inlineStr">
        <is>
          <t>ระยะเวลาที่ปลดปล่อยนาน ❌ ไม่ใช่เพราะ Ibuprofen ที่เป็น soft gelatin เป็น Immediate-release ไม่ใช่ Extended หรือ Delayed release</t>
        </is>
      </c>
      <c r="H181" s="34" t="inlineStr">
        <is>
          <t>ความนิ่ม ✅ เกี่ยวข้องกับคุณภาพของเปลือก soft gelatin ส่วนประกอบของตำรับ: Castor oil Cholesterol Stearyl alcohol Citric acid Mineral oil Purified water qs</t>
        </is>
      </c>
      <c r="I181" s="35" t="n">
        <v>1</v>
      </c>
      <c r="J181" s="34" t="inlineStr">
        <is>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1" s="35" t="n"/>
      <c r="L181" s="34" t="inlineStr">
        <is>
          <t>Liquid &amp; Semisolid Dosage Forms</t>
        </is>
      </c>
      <c r="M181" s="35" t="inlineStr">
        <is>
          <t>Product</t>
        </is>
      </c>
      <c r="N181" s="34" t="inlineStr">
        <is>
          <t>ข้อสอบจริง Product ปี 2564 ข้อ 71</t>
        </is>
      </c>
      <c r="O181" s="35" t="inlineStr">
        <is>
          <t>ข้อสอบจริง</t>
        </is>
      </c>
      <c r="P181" s="35" t="inlineStr">
        <is>
          <t>ปี 2564</t>
        </is>
      </c>
    </row>
    <row r="182" ht="409.6" customHeight="1" s="49">
      <c r="A182" s="35" t="n">
        <v>180</v>
      </c>
      <c r="B182" s="34" t="inlineStr">
        <is>
          <t>ตำรับนี้เป็น dosage form อะไร</t>
        </is>
      </c>
      <c r="C182" s="35" t="n"/>
      <c r="D182" s="34" t="inlineStr">
        <is>
          <t>Cream ❌ โจทย์ถามชนิดของฐานตำรับ ไม่ใช่เพียงรูปแบบกึ่งแข็ง</t>
        </is>
      </c>
      <c r="E182" s="34" t="inlineStr">
        <is>
          <t>Ointment W/O ❌ ใกล้เคียง แต่คำตอบที่จำเพาะกว่าคือ Absorption base</t>
        </is>
      </c>
      <c r="F182" s="34" t="inlineStr">
        <is>
          <t>Ointment O/W ❌ ไม่ใช่</t>
        </is>
      </c>
      <c r="G182" s="34" t="inlineStr">
        <is>
          <t>Absorption base ✅ ถูกต้อง</t>
        </is>
      </c>
      <c r="H182" s="34" t="inlineStr">
        <is>
          <t>Oleaginous base ❌ ถ้าเป็น oleaginous base จะไม่มีน้ำและไม่มีสารช่วยดูดน้ำ เช่น cholesterol</t>
        </is>
      </c>
      <c r="I182" s="35" t="n">
        <v>1</v>
      </c>
      <c r="J182" s="34" t="inlineStr">
        <is>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2" s="35" t="n"/>
      <c r="L182" s="34" t="inlineStr">
        <is>
          <t>Liquid &amp; Semisolid Dosage Forms</t>
        </is>
      </c>
      <c r="M182" s="35" t="inlineStr">
        <is>
          <t>Product</t>
        </is>
      </c>
      <c r="N182" s="34" t="inlineStr">
        <is>
          <t>ข้อสอบจริง Product ปี 2564 ข้อ 72</t>
        </is>
      </c>
      <c r="O182" s="35" t="inlineStr">
        <is>
          <t>ข้อสอบจริง</t>
        </is>
      </c>
      <c r="P182" s="35" t="inlineStr">
        <is>
          <t>ปี 2564</t>
        </is>
      </c>
    </row>
    <row r="183" ht="409.6" customHeight="1" s="49">
      <c r="A183" s="35" t="n">
        <v>181</v>
      </c>
      <c r="B183" s="34" t="inlineStr">
        <is>
          <t>ข้อ 72 เตรียมด้วยวิธีอะไร</t>
        </is>
      </c>
      <c r="C183" s="35" t="n"/>
      <c r="D183" s="34" t="inlineStr">
        <is>
          <t>Beaker method ✅ ใช้กับ cream/ointment ที่ต้องหลอมส่วนประกอบ</t>
        </is>
      </c>
      <c r="E183" s="34" t="inlineStr">
        <is>
          <t>Levigation ❌ ใช้บดผงยากับของเหลวปริมาณน้อยก่อนผสมเข้าฐาน</t>
        </is>
      </c>
      <c r="F183" s="34" t="inlineStr">
        <is>
          <t>Dry gum method ❌ ใช้เตรียม emulsion (4 : 2 : 1\)</t>
        </is>
      </c>
      <c r="G183" s="34" t="inlineStr">
        <is>
          <t>Wet gum method ❌ ใช้เตรียม emulsion</t>
        </is>
      </c>
      <c r="H183" s="34" t="inlineStr">
        <is>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is>
      </c>
      <c r="I183" s="35" t="n">
        <v>1</v>
      </c>
      <c r="J183" s="34" t="inlineStr">
        <is>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3" s="35" t="n"/>
      <c r="L183" s="34" t="inlineStr">
        <is>
          <t>Liquid &amp; Semisolid Dosage Forms</t>
        </is>
      </c>
      <c r="M183" s="35" t="inlineStr">
        <is>
          <t>Product</t>
        </is>
      </c>
      <c r="N183" s="34" t="inlineStr">
        <is>
          <t>ข้อสอบจริง Product ปี 2564 ข้อ 73</t>
        </is>
      </c>
      <c r="O183" s="35" t="inlineStr">
        <is>
          <t>ข้อสอบจริง</t>
        </is>
      </c>
      <c r="P183" s="35" t="inlineStr">
        <is>
          <t>ปี 2564</t>
        </is>
      </c>
    </row>
    <row r="184" ht="409.6" customHeight="1" s="49">
      <c r="A184" s="35" t="n">
        <v>182</v>
      </c>
      <c r="B184" s="34" t="inlineStr">
        <is>
          <t>จากสูตรตำรับเป็น suspension ชนิดใด</t>
        </is>
      </c>
      <c r="C184" s="35" t="n"/>
      <c r="D184" s="34" t="inlineStr">
        <is>
          <t>Flocculated suspension</t>
        </is>
      </c>
      <c r="E184" s="34" t="inlineStr">
        <is>
          <t>Deflocculated suspension</t>
        </is>
      </c>
      <c r="F184" s="34" t="inlineStr">
        <is>
          <t>Flocculated suspension in vehicle</t>
        </is>
      </c>
      <c r="G184" s="34" t="inlineStr">
        <is>
          <t>Flocculated suspension in structure vehicle</t>
        </is>
      </c>
      <c r="H184" s="34" t="inlineStr">
        <is>
          <t>Deflocculating suspension in structure vehicle</t>
        </is>
      </c>
      <c r="I184" s="35" t="n">
        <v>1</v>
      </c>
      <c r="J184" s="34" t="inlineStr">
        <is>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4" s="35" t="n"/>
      <c r="L184" s="34" t="inlineStr">
        <is>
          <t>Liquid &amp; Semisolid Dosage Forms</t>
        </is>
      </c>
      <c r="M184" s="35" t="inlineStr">
        <is>
          <t>Product</t>
        </is>
      </c>
      <c r="N184" s="34" t="inlineStr">
        <is>
          <t>ข้อสอบจริง Product ปี 2564 ข้อ 74</t>
        </is>
      </c>
      <c r="O184" s="35" t="inlineStr">
        <is>
          <t>ข้อสอบจริง</t>
        </is>
      </c>
      <c r="P184" s="35" t="inlineStr">
        <is>
          <t>ปี 2564</t>
        </is>
      </c>
    </row>
    <row r="185" ht="409.6" customHeight="1" s="49">
      <c r="A185" s="35" t="n">
        <v>183</v>
      </c>
      <c r="B185" s="34" t="inlineStr">
        <is>
          <t>ผลิตยาเม็ดด้วย wet granulation ควรใช้ binder ตัวไหน</t>
        </is>
      </c>
      <c r="C185" s="35" t="n"/>
      <c r="D185" s="34" t="inlineStr">
        <is>
          <t>Lactose ❌ เป็น Diluent (filler)</t>
        </is>
      </c>
      <c r="E185" s="34" t="inlineStr">
        <is>
          <t>Microcrystalline cellulose (MCC) ❌ เป็น Dry binder เหมาะกับ Direct compression/Dry granulation มากกว่า</t>
        </is>
      </c>
      <c r="F185" s="34" t="inlineStr">
        <is>
          <t>Pregelatinized starch ✅ Binder สำหรับ Wet granulation</t>
        </is>
      </c>
      <c r="G185" s="34" t="inlineStr">
        <is>
          <t>Magnesium stearate ❌ Lubricant</t>
        </is>
      </c>
      <c r="H185" s="34" t="inlineStr">
        <is>
          <t>Aerosil 200 (Colloidal silicon dioxide) ❌ Glidant</t>
        </is>
      </c>
      <c r="I185" s="35" t="n">
        <v>1</v>
      </c>
      <c r="J185" s="34" t="inlineStr">
        <is>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5" s="35" t="n"/>
      <c r="L185" s="34" t="inlineStr">
        <is>
          <t>Liquid &amp; Semisolid Dosage Forms</t>
        </is>
      </c>
      <c r="M185" s="35" t="inlineStr">
        <is>
          <t>Product</t>
        </is>
      </c>
      <c r="N185" s="34" t="inlineStr">
        <is>
          <t>ข้อสอบจริง Product ปี 2564 ข้อ 78</t>
        </is>
      </c>
      <c r="O185" s="35" t="inlineStr">
        <is>
          <t>ข้อสอบจริง</t>
        </is>
      </c>
      <c r="P185" s="35" t="inlineStr">
        <is>
          <t>ปี 2564</t>
        </is>
      </c>
    </row>
    <row r="186" ht="409.6" customHeight="1" s="49">
      <c r="A186" s="35" t="n">
        <v>184</v>
      </c>
      <c r="B186" s="34" t="inlineStr">
        <is>
          <t>Steroid topical รูปแบบไหนดูดซึมทางผิวหนังได้มากที่สุด</t>
        </is>
      </c>
      <c r="C186" s="35" t="n"/>
      <c r="D186" s="34" t="inlineStr">
        <is>
          <t>Solution</t>
        </is>
      </c>
      <c r="E186" s="34" t="inlineStr">
        <is>
          <t>Gel</t>
        </is>
      </c>
      <c r="F186" s="34" t="inlineStr">
        <is>
          <t>Suspension</t>
        </is>
      </c>
      <c r="G186" s="34" t="inlineStr">
        <is>
          <t>Ointment</t>
        </is>
      </c>
      <c r="H186" s="34" t="inlineStr">
        <is>
          <t>Cream</t>
        </is>
      </c>
      <c r="I186" s="35" t="n">
        <v>1</v>
      </c>
      <c r="J186" s="34" t="inlineStr">
        <is>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6" s="35" t="n"/>
      <c r="L186" s="34" t="inlineStr">
        <is>
          <t>Liquid &amp; Semisolid Dosage Forms</t>
        </is>
      </c>
      <c r="M186" s="35" t="inlineStr">
        <is>
          <t>Product</t>
        </is>
      </c>
      <c r="N186" s="34" t="inlineStr">
        <is>
          <t>ข้อสอบจริง Product ปี 2564 ข้อ 80</t>
        </is>
      </c>
      <c r="O186" s="35" t="inlineStr">
        <is>
          <t>ข้อสอบจริง</t>
        </is>
      </c>
      <c r="P186" s="35" t="inlineStr">
        <is>
          <t>ปี 2564</t>
        </is>
      </c>
    </row>
    <row r="187" ht="409.6" customHeight="1" s="49">
      <c r="A187" s="35" t="n">
        <v>185</v>
      </c>
      <c r="B187" s="34" t="inlineStr">
        <is>
          <t>สารเคลือบในข้อใดไม่ได้ช่วยให้เม็ดยามีคุณสมบัติ enteric coated tablets</t>
        </is>
      </c>
      <c r="C187" s="35" t="n"/>
      <c r="D187" s="34" t="inlineStr">
        <is>
          <t>Shellac ✅ Enteric coating polymer (natural enteric material)</t>
        </is>
      </c>
      <c r="E187" s="34" t="inlineStr">
        <is>
          <t>PVP ❌ Binder / film former ทั่วไป ไม่ใช่ enteric coating</t>
        </is>
      </c>
      <c r="F187" s="34" t="inlineStr">
        <is>
          <t>Diethyl phthalate ⚠️ Plasticizer ที่ใช้ใน film coating รวมถึง enteric coating บางสูตร แต่ไม่ใช่ตัวให้ enteric property</t>
        </is>
      </c>
      <c r="G187" s="34" t="inlineStr">
        <is>
          <t>HPMCAS ✅ Enteric polymer</t>
        </is>
      </c>
      <c r="H187" s="34" t="inlineStr">
        <is>
          <t>Methacrylic acid–methyl acrylate copolymer ✅ Enteric polymer</t>
        </is>
      </c>
      <c r="I187" s="35" t="n">
        <v>1</v>
      </c>
      <c r="J187" s="34" t="inlineStr">
        <is>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7" s="35" t="n"/>
      <c r="L187" s="34" t="inlineStr">
        <is>
          <t>Liquid &amp; Semisolid Dosage Forms</t>
        </is>
      </c>
      <c r="M187" s="35" t="inlineStr">
        <is>
          <t>Product</t>
        </is>
      </c>
      <c r="N187" s="34" t="inlineStr">
        <is>
          <t>ข้อสอบจริง Product ปี 2564 ข้อ 81</t>
        </is>
      </c>
      <c r="O187" s="35" t="inlineStr">
        <is>
          <t>ข้อสอบจริง</t>
        </is>
      </c>
      <c r="P187" s="35" t="inlineStr">
        <is>
          <t>ปี 2564</t>
        </is>
      </c>
    </row>
    <row r="188" ht="409.6" customHeight="1" s="49">
      <c r="A188" s="35" t="n">
        <v>186</v>
      </c>
      <c r="B188" s="34" t="inlineStr">
        <is>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is>
      </c>
      <c r="C188" s="35" t="n"/>
      <c r="D188" s="34" t="inlineStr">
        <is>
          <t>ตำรับ A มีแนวโน้มคงตัวดีกว่า B ❌  B มี F และ β สูงกว่า</t>
        </is>
      </c>
      <c r="E188" s="34" t="inlineStr">
        <is>
          <t>ตำรับ B มีแนวโน้มคงตัวดีกว่า C ✅  B มี sedimentation volume สูงกว่า และ rheology เหมาะกว่า</t>
        </is>
      </c>
      <c r="F188" s="34" t="inlineStr">
        <is>
          <t>เพิ่มความคงตัวของ C โดยเพิ่ม wetting agent ❌  Wetting agent ช่วยการเปียกของผงยา ไม่ใช่แก้ปัญหา flocculation/rheology</t>
        </is>
      </c>
      <c r="G188" s="34" t="inlineStr">
        <is>
          <t>เพิ่ม flocculating agent ให้ B เพื่อเพิ่มความคงตัว ❌  B มี degree of flocculation สูงอยู่แล้ว การเพิ่มอาจมากเกินไป</t>
        </is>
      </c>
      <c r="H188" s="34" t="inlineStr">
        <is>
          <t>เมื่อเขย่า A จะกลับมากระจายได้ดีที่สุด ❌  A เป็น deflocculated มากกว่า → เสี่ยงเกิด cake</t>
        </is>
      </c>
      <c r="I188" s="35" t="n">
        <v>1</v>
      </c>
      <c r="J188" s="34" t="inlineStr">
        <is>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8" s="35" t="n"/>
      <c r="L188" s="34" t="inlineStr">
        <is>
          <t>Liquid &amp; Semisolid Dosage Forms</t>
        </is>
      </c>
      <c r="M188" s="35" t="inlineStr">
        <is>
          <t>Product</t>
        </is>
      </c>
      <c r="N188" s="34" t="inlineStr">
        <is>
          <t>ข้อสอบจริง Product ปี 2564 ข้อ 82</t>
        </is>
      </c>
      <c r="O188" s="35" t="inlineStr">
        <is>
          <t>ข้อสอบจริง</t>
        </is>
      </c>
      <c r="P188" s="35" t="inlineStr">
        <is>
          <t>ปี 2564</t>
        </is>
      </c>
    </row>
    <row r="189" ht="409.6" customHeight="1" s="49">
      <c r="A189" s="35" t="n">
        <v>187</v>
      </c>
      <c r="B189" s="34" t="inlineStr">
        <is>
          <t>ข้อใดไม่ควรเป็น flocculating agent</t>
        </is>
      </c>
      <c r="C189" s="35" t="n"/>
      <c r="D189" s="34" t="inlineStr">
        <is>
          <t>Electrolyte ✅ ลดแรงผลักทางไฟฟ้า (zeta potential) ทำให้อนุภาคเข้าหากัน</t>
        </is>
      </c>
      <c r="E189" s="34" t="inlineStr">
        <is>
          <t>Surfactant ✅ เปลี่ยน wetting และแรงระหว่างอนุภาค</t>
        </is>
      </c>
      <c r="F189" s="34" t="inlineStr">
        <is>
          <t>Polymer ✅ เกิด bridging ระหว่างอนุภาค เช่น gelatin, CMC</t>
        </is>
      </c>
      <c r="G189" s="34" t="inlineStr">
        <is>
          <t>Clay ✅ เช่น bentonite ช่วยสร้างโครงสร้างและควบคุมการตกตะกอน</t>
        </is>
      </c>
      <c r="H189" s="34" t="inlineStr">
        <is>
          <t>Alcohol ❌ ไม่ใช่ flocculating agent ทั่วไป อาจส่งผลต่อการละลาย ความหนืด หรือความคงตัวของระบบ แต่ไม่ได้ใช้เพื่อทำให้เกิด floc</t>
        </is>
      </c>
      <c r="I189" s="35" t="n">
        <v>1</v>
      </c>
      <c r="J189" s="34" t="inlineStr">
        <is>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9" s="35" t="n"/>
      <c r="L189" s="34" t="inlineStr">
        <is>
          <t>Liquid &amp; Semisolid Dosage Forms</t>
        </is>
      </c>
      <c r="M189" s="35" t="inlineStr">
        <is>
          <t>Product</t>
        </is>
      </c>
      <c r="N189" s="34" t="inlineStr">
        <is>
          <t>ข้อสอบจริง Product ปี 2564 ข้อ 83</t>
        </is>
      </c>
      <c r="O189" s="35" t="inlineStr">
        <is>
          <t>ข้อสอบจริง</t>
        </is>
      </c>
      <c r="P189" s="35" t="inlineStr">
        <is>
          <t>ปี 2564</t>
        </is>
      </c>
    </row>
    <row r="190" ht="409.6" customHeight="1" s="49">
      <c r="A190" s="35" t="n">
        <v>188</v>
      </c>
      <c r="B190" s="34" t="inlineStr">
        <is>
          <t>ตัวยาประกอบด้วย sodium alginate, calcium carbonate, sodium bicarbonate ข้อใดถูกต้อง</t>
        </is>
      </c>
      <c r="C190" s="35" t="n"/>
      <c r="D190" s="34" t="inlineStr">
        <is>
          <t>ทำให้ตำรับออกฤทธิ์เร็ว ❌ ไม่ใช่จุดเด่นหลักของ alginate เน้นสร้าง raft barrier ป้องกัน reflux</t>
        </is>
      </c>
      <c r="E190" s="34" t="inlineStr">
        <is>
          <t>Sodium alginate จับกับกรดในทางเดินอาหาร ❌ ไม่ได้ทำหน้าที่เป็น antacid โดยตรง ทำหน้าที่สร้าง gel/raft</t>
        </is>
      </c>
      <c r="F190" s="34" t="inlineStr">
        <is>
          <t>ถูกต้อง ✅ Alginate \+ Ca²⁺ → gel Bicarbonate/carbonate ช่วย neutralize acid และสร้าง CO₂</t>
        </is>
      </c>
      <c r="G190" s="34" t="inlineStr">
        <is>
          <t>Sodium bicarbonate ดูดซึมได้ดี แล้วลดกรดได้ ❌ NaHCO₃ ทำหน้าที่ neutralize กรด ไม่ใช่ดูดซึมเพื่อออกฤทธิ์</t>
        </is>
      </c>
      <c r="H190" s="34" t="inlineStr">
        <is>
          <t>Calcium carbonate เป็น diluent ❌ CaCO₃ เป็น antacid/active ingredient ไม่ใช่สารเพิ่มปริมาณ</t>
        </is>
      </c>
      <c r="I190" s="35" t="n">
        <v>1</v>
      </c>
      <c r="J190" s="34" t="inlineStr">
        <is>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0" s="35" t="n"/>
      <c r="L190" s="34" t="inlineStr">
        <is>
          <t>Liquid &amp; Semisolid Dosage Forms</t>
        </is>
      </c>
      <c r="M190" s="35" t="inlineStr">
        <is>
          <t>Product</t>
        </is>
      </c>
      <c r="N190" s="34" t="inlineStr">
        <is>
          <t>ข้อสอบจริง Product ปี 2564 ข้อ 84</t>
        </is>
      </c>
      <c r="O190" s="35" t="inlineStr">
        <is>
          <t>ข้อสอบจริง</t>
        </is>
      </c>
      <c r="P190" s="35" t="inlineStr">
        <is>
          <t>ปี 2564</t>
        </is>
      </c>
    </row>
    <row r="191" ht="409.6" customHeight="1" s="49">
      <c r="A191" s="35" t="n">
        <v>189</v>
      </c>
      <c r="B191" s="34" t="inlineStr">
        <is>
          <t>Freeze Thaw 3 Cycles แล้วพบว่า Emulsion แยกชั้นกันจะแก้ปัญหาอย่างไร</t>
        </is>
      </c>
      <c r="C191" s="35" t="n"/>
      <c r="D191" s="34" t="inlineStr">
        <is>
          <t>เติม Tragacanth ใน O/W cream ✅ เพิ่ม viscosity ของ aqueous phase ลดการเคลื่อนที่และการรวมตัวของหยดน้ำมัน ช่วยเพิ่ม emulsion stability</t>
        </is>
      </c>
      <c r="E191" s="34" t="inlineStr">
        <is>
          <t>ใช้เครื่อง Ball mill ❌ ใช้ลดขนาดอนุภาคของแข็ง ไม่ใช่แก้ emulsion แยกชั้น</t>
        </is>
      </c>
      <c r="F191" s="34" t="inlineStr">
        <is>
          <t>เติม Hydroxyethylcellulose ใน W/O cream ❌ HEC เป็น hydrophilic polymer เหมาะกับ aqueous phase ของ O/W มากกว่า ไม่เหมาะกับ W/O</t>
        </is>
      </c>
      <c r="G191" s="34" t="inlineStr">
        <is>
          <t>เติม NaCl ใน W/O cream ❌ Electrolyte อาจรบกวนความคงตัวของ emulsion</t>
        </is>
      </c>
      <c r="H191" s="34" t="inlineStr">
        <is>
          <t>เติม Na benzoate ใน W/O cream ❌ เป็น preservative ไม่ใช่ตัวเพิ่มความคงตัวของ emulsion</t>
        </is>
      </c>
      <c r="I191" s="35" t="n">
        <v>1</v>
      </c>
      <c r="J191" s="34" t="inlineStr">
        <is>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1" s="35" t="n"/>
      <c r="L191" s="34" t="inlineStr">
        <is>
          <t>Liquid &amp; Semisolid Dosage Forms</t>
        </is>
      </c>
      <c r="M191" s="35" t="inlineStr">
        <is>
          <t>Product</t>
        </is>
      </c>
      <c r="N191" s="34" t="inlineStr">
        <is>
          <t>ข้อสอบจริง Product ปี 2564 ข้อ 93</t>
        </is>
      </c>
      <c r="O191" s="35" t="inlineStr">
        <is>
          <t>ข้อสอบจริง</t>
        </is>
      </c>
      <c r="P191" s="35" t="inlineStr">
        <is>
          <t>ปี 2564</t>
        </is>
      </c>
    </row>
    <row r="192" ht="409.6" customHeight="1" s="49">
      <c r="A192" s="35" t="n">
        <v>190</v>
      </c>
      <c r="B192" s="34" t="inlineStr">
        <is>
          <t>ตำรับ suspensions sedimentation volume = 0.5, degree of flocculation = 1 ควรแก้ไขอย่างไร</t>
        </is>
      </c>
      <c r="C192" s="35" t="n"/>
      <c r="D192" s="34" t="inlineStr">
        <is>
          <t>เพิ่มความเข้มข้น SCMC</t>
        </is>
      </c>
      <c r="E192" s="34" t="inlineStr">
        <is>
          <t>เพิ่ม benzyl alcohol ❌ เป็น preservative</t>
        </is>
      </c>
      <c r="F192" s="34" t="inlineStr">
        <is>
          <t>เพิ่ม sodium metabisulphite ❌เป็น antioxidant</t>
        </is>
      </c>
      <c r="G192" s="34" t="inlineStr">
        <is>
          <t>เปลี่ยน saccharine แทน syrup ❌เกี่ยวกับ sweetener ไม่เกี่ยวกับ stability</t>
        </is>
      </c>
      <c r="H192" s="34" t="inlineStr">
        <is>
          <t>เพิ่ม paraben ❌เป็น preservative</t>
        </is>
      </c>
      <c r="I192" s="35" t="n">
        <v>1</v>
      </c>
      <c r="J192" s="34" t="inlineStr">
        <is>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2" s="35" t="n"/>
      <c r="L192" s="34" t="inlineStr">
        <is>
          <t>Liquid &amp; Semisolid Dosage Forms</t>
        </is>
      </c>
      <c r="M192" s="35" t="inlineStr">
        <is>
          <t>Product</t>
        </is>
      </c>
      <c r="N192" s="34" t="inlineStr">
        <is>
          <t>ข้อสอบจริง Product ปี 2564 ข้อ 99</t>
        </is>
      </c>
      <c r="O192" s="35" t="inlineStr">
        <is>
          <t>ข้อสอบจริง</t>
        </is>
      </c>
      <c r="P192" s="35" t="inlineStr">
        <is>
          <t>ปี 2564</t>
        </is>
      </c>
    </row>
    <row r="193" ht="409.6" customHeight="1" s="49">
      <c r="A193" s="35" t="n">
        <v>191</v>
      </c>
      <c r="B193" s="34" t="inlineStr">
        <is>
          <t>เตรียม 5% Atenolol extemporaneous oral suspension ปริมาตร 50 ml จากยาเม็ด Atenolol 25 mg จะต้องใช้ Atenolol กี่เม็ด</t>
        </is>
      </c>
      <c r="C193" s="35" t="n"/>
      <c r="D193" s="34" t="inlineStr">
        <is>
          <t>2 เม็ด</t>
        </is>
      </c>
      <c r="E193" s="34" t="inlineStr">
        <is>
          <t>3 เม็ด</t>
        </is>
      </c>
      <c r="F193" s="34" t="inlineStr">
        <is>
          <t>4 เม็ด</t>
        </is>
      </c>
      <c r="G193" s="34" t="inlineStr">
        <is>
          <t>5 เม็ด</t>
        </is>
      </c>
      <c r="H193" s="34" t="inlineStr">
        <is>
          <t>6 เม็ด</t>
        </is>
      </c>
      <c r="I193" s="35" t="n">
        <v>1</v>
      </c>
      <c r="J193" s="34" t="inlineStr">
        <is>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3" s="35" t="n"/>
      <c r="L193" s="34" t="inlineStr">
        <is>
          <t>Liquid &amp; Semisolid Dosage Forms</t>
        </is>
      </c>
      <c r="M193" s="35" t="inlineStr">
        <is>
          <t>Product</t>
        </is>
      </c>
      <c r="N193" s="34" t="inlineStr">
        <is>
          <t>ข้อสอบจริง Product ปี 2564 ข้อ 108</t>
        </is>
      </c>
      <c r="O193" s="35" t="inlineStr">
        <is>
          <t>ข้อสอบจริง</t>
        </is>
      </c>
      <c r="P193" s="35" t="inlineStr">
        <is>
          <t>ปี 2564</t>
        </is>
      </c>
    </row>
    <row r="194" ht="409.6" customHeight="1" s="49">
      <c r="A194" s="35" t="n">
        <v>192</v>
      </c>
      <c r="B194" s="34" t="inlineStr">
        <is>
          <t>Each teaspoon contains 125 mg of naproxen containing vehicles of sucrose, magnesium aluminium silicate, disodium edetate, F\&amp;D yellow... ถ้าจะเตรียม naproxen suspension ขนาด 100 ml จะต้องใช้ naproxen กี่ g</t>
        </is>
      </c>
      <c r="C194" s="35" t="n"/>
      <c r="D194" s="34" t="inlineStr">
        <is>
          <t>1.5</t>
        </is>
      </c>
      <c r="E194" s="34" t="inlineStr">
        <is>
          <t>2.5</t>
        </is>
      </c>
      <c r="F194" s="34" t="inlineStr">
        <is>
          <t>3.5</t>
        </is>
      </c>
      <c r="G194" s="34" t="inlineStr">
        <is>
          <t>4.5</t>
        </is>
      </c>
      <c r="H194" s="34" t="inlineStr">
        <is>
          <t>5.5</t>
        </is>
      </c>
      <c r="I194" s="35" t="n">
        <v>1</v>
      </c>
      <c r="J194" s="34" t="inlineStr">
        <is>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4" s="35" t="n"/>
      <c r="L194" s="34" t="inlineStr">
        <is>
          <t>Liquid &amp; Semisolid Dosage Forms</t>
        </is>
      </c>
      <c r="M194" s="35" t="inlineStr">
        <is>
          <t>Product</t>
        </is>
      </c>
      <c r="N194" s="34" t="inlineStr">
        <is>
          <t>ข้อสอบจริง Product ปี 2564 ข้อ 109</t>
        </is>
      </c>
      <c r="O194" s="35" t="inlineStr">
        <is>
          <t>ข้อสอบจริง</t>
        </is>
      </c>
      <c r="P194" s="35" t="inlineStr">
        <is>
          <t>ปี 2564</t>
        </is>
      </c>
    </row>
    <row r="195" ht="409.6" customHeight="1" s="49">
      <c r="A195" s="35" t="n">
        <v>193</v>
      </c>
      <c r="B195" s="34" t="inlineStr">
        <is>
          <t>สูตรตำรับ Calamine lotion Active Ingredient: Calamine Inactive ingredient : Hypromellose, xanthan gum, polysorbate 80, methyl paraben, propylparaben ข้อใดคือหน้าที่ของ Hypromellose</t>
        </is>
      </c>
      <c r="C195" s="35" t="n"/>
      <c r="D195" s="34" t="inlineStr">
        <is>
          <t>Emulsifier</t>
        </is>
      </c>
      <c r="E195" s="34" t="inlineStr">
        <is>
          <t>Diluent</t>
        </is>
      </c>
      <c r="F195" s="34" t="inlineStr">
        <is>
          <t>Viscosity enhancer</t>
        </is>
      </c>
      <c r="G195" s="34" t="inlineStr">
        <is>
          <t>Humectant</t>
        </is>
      </c>
      <c r="H195" s="34" t="inlineStr">
        <is>
          <t>Disintegrant</t>
        </is>
      </c>
      <c r="I195" s="35" t="n">
        <v>1</v>
      </c>
      <c r="J195" s="34" t="inlineStr">
        <is>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5" s="35" t="n"/>
      <c r="L195" s="34" t="inlineStr">
        <is>
          <t>Liquid &amp; Semisolid Dosage Forms</t>
        </is>
      </c>
      <c r="M195" s="35" t="inlineStr">
        <is>
          <t>Product</t>
        </is>
      </c>
      <c r="N195" s="34" t="inlineStr">
        <is>
          <t>ข้อสอบจริง Product ปี 2564 ข้อ 111</t>
        </is>
      </c>
      <c r="O195" s="35" t="inlineStr">
        <is>
          <t>ข้อสอบจริง</t>
        </is>
      </c>
      <c r="P195" s="35" t="inlineStr">
        <is>
          <t>ปี 2564</t>
        </is>
      </c>
    </row>
    <row r="196" ht="409.6" customHeight="1" s="49">
      <c r="A196" s="35" t="n">
        <v>194</v>
      </c>
      <c r="B196" s="34" t="inlineStr">
        <is>
          <t>สารใดไม่ใช้เป็น stiffening agent สำหรับ topical antiviral cream</t>
        </is>
      </c>
      <c r="C196" s="35" t="n"/>
      <c r="D196" s="34" t="inlineStr">
        <is>
          <t>Beeswax ✅ เป็น stiffening agent</t>
        </is>
      </c>
      <c r="E196" s="34" t="inlineStr">
        <is>
          <t>PEG 4000 ✅ เป็น stiffening agent ในฐาน PEG ointment</t>
        </is>
      </c>
      <c r="F196" s="34" t="inlineStr">
        <is>
          <t>Paraffin wax ✅ เป็น stiffening agent</t>
        </is>
      </c>
      <c r="G196" s="34" t="inlineStr">
        <is>
          <t>Cetostearyl alcohol ✅ เป็น stiffening agent และ co-emulsifier</t>
        </is>
      </c>
      <c r="H196" s="34" t="inlineStr">
        <is>
          <t>Isopropyl myristate ❌ เป็น Emollient</t>
        </is>
      </c>
      <c r="I196" s="35" t="n">
        <v>1</v>
      </c>
      <c r="J196" s="34" t="inlineStr">
        <is>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6" s="35" t="n"/>
      <c r="L196" s="34" t="inlineStr">
        <is>
          <t>Liquid &amp; Semisolid Dosage Forms</t>
        </is>
      </c>
      <c r="M196" s="35" t="inlineStr">
        <is>
          <t>Product</t>
        </is>
      </c>
      <c r="N196" s="34" t="inlineStr">
        <is>
          <t>ข้อสอบจริง Product ปี 2564 ข้อ 115</t>
        </is>
      </c>
      <c r="O196" s="35" t="inlineStr">
        <is>
          <t>ข้อสอบจริง</t>
        </is>
      </c>
      <c r="P196" s="35" t="inlineStr">
        <is>
          <t>ปี 2564</t>
        </is>
      </c>
    </row>
    <row r="197" ht="409.6" customHeight="1" s="49">
      <c r="A197" s="35" t="n">
        <v>195</v>
      </c>
      <c r="B197" s="34" t="inlineStr">
        <is>
          <t>ยาพื้นใดมีผลแบบ occlusive effect ดีที่สุด</t>
        </is>
      </c>
      <c r="C197" s="35" t="n"/>
      <c r="D197" s="34" t="inlineStr">
        <is>
          <t>Water-soluble base</t>
        </is>
      </c>
      <c r="E197" s="34" t="inlineStr">
        <is>
          <t>Water-removeable base</t>
        </is>
      </c>
      <c r="F197" s="34" t="inlineStr">
        <is>
          <t>Absorption base</t>
        </is>
      </c>
      <c r="G197" s="34" t="inlineStr">
        <is>
          <t>Oleaginous bases</t>
        </is>
      </c>
      <c r="H197" s="34" t="inlineStr">
        <is>
          <t>W/O emulsion base</t>
        </is>
      </c>
      <c r="I197" s="35" t="n">
        <v>1</v>
      </c>
      <c r="J197" s="34" t="inlineStr">
        <is>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7" s="35" t="n"/>
      <c r="L197" s="34" t="inlineStr">
        <is>
          <t>Liquid &amp; Semisolid Dosage Forms</t>
        </is>
      </c>
      <c r="M197" s="35" t="inlineStr">
        <is>
          <t>Product</t>
        </is>
      </c>
      <c r="N197" s="34" t="inlineStr">
        <is>
          <t>ข้อสอบจริง Product ปี 2564 ข้อ 116</t>
        </is>
      </c>
      <c r="O197" s="35" t="inlineStr">
        <is>
          <t>ข้อสอบจริง</t>
        </is>
      </c>
      <c r="P197" s="35" t="inlineStr">
        <is>
          <t>ปี 2564</t>
        </is>
      </c>
    </row>
    <row r="198" ht="409.6" customHeight="1" s="49">
      <c r="A198" s="35" t="n">
        <v>196</v>
      </c>
      <c r="B198" s="34"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C198" s="35" t="n"/>
      <c r="D198" s="34" t="inlineStr">
        <is>
          <t>Tragacanth ใน O/W ✅ เพิ่มความหนืด ช่วยให้ครีมคงตัว</t>
        </is>
      </c>
      <c r="E198" s="34" t="inlineStr">
        <is>
          <t>Ball mill ❌ ลดขนาดอนุภาค ไม่แก้ครีมเหลว</t>
        </is>
      </c>
      <c r="F198" s="34" t="inlineStr">
        <is>
          <t>HEC ใน W/O ❌ HEC เหมาะกับ O/W ไม่ใช่ W/O</t>
        </is>
      </c>
      <c r="G198" s="34" t="inlineStr">
        <is>
          <t>NaCl ❌ electrolyte และอาจทำให้ emulsion ไม่คงตัว</t>
        </is>
      </c>
      <c r="H198" s="34" t="inlineStr">
        <is>
          <t>Sodium benzoate ❌ เป็นสารกันเสีย ไม่แก้ความหนืด</t>
        </is>
      </c>
      <c r="I198" s="35" t="n">
        <v>1</v>
      </c>
      <c r="J198" s="34" t="inlineStr">
        <is>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8" s="35" t="n"/>
      <c r="L198" s="34" t="inlineStr">
        <is>
          <t>Liquid &amp; Semisolid Dosage Forms</t>
        </is>
      </c>
      <c r="M198" s="35" t="inlineStr">
        <is>
          <t>Product</t>
        </is>
      </c>
      <c r="N198" s="34" t="inlineStr">
        <is>
          <t>ข้อสอบจริง Product ปี 2564 ข้อ 117</t>
        </is>
      </c>
      <c r="O198" s="35" t="inlineStr">
        <is>
          <t>ข้อสอบจริง</t>
        </is>
      </c>
      <c r="P198" s="35" t="inlineStr">
        <is>
          <t>ปี 2564</t>
        </is>
      </c>
    </row>
    <row r="199" ht="409.6" customHeight="1" s="49">
      <c r="A199" s="35" t="n">
        <v>197</v>
      </c>
      <c r="B199" s="34" t="inlineStr">
        <is>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is>
      </c>
      <c r="C199" s="35" t="n"/>
      <c r="D199" s="34" t="inlineStr">
        <is>
          <t>Hard gelatin capsule ❌ ใช้บรรจุผงหรือเม็ดเล็ก (granules/pellets) เป็นหลัก</t>
        </is>
      </c>
      <c r="E199" s="34" t="inlineStr">
        <is>
          <t>Soft gelatin capsule ✅ บรรจุของเหลว/สารละลายในน้ำมัน และมี glycerin เป็น plasticizer</t>
        </is>
      </c>
      <c r="F199" s="34" t="inlineStr">
        <is>
          <t>Enteric capsule ❌ ต้องมีสารเคลือบกันกรด เช่น HPMCAS, Eudragit</t>
        </is>
      </c>
      <c r="G199" s="34" t="inlineStr">
        <is>
          <t>Cream ❌ ไม่มีฐานครีม</t>
        </is>
      </c>
      <c r="H199" s="34" t="inlineStr">
        <is>
          <t>Ointment ❌ ไม่ใช่ตำรับกึ่งแข็งสำหรับทาผิว</t>
        </is>
      </c>
      <c r="I199" s="35" t="n">
        <v>1</v>
      </c>
      <c r="J199" s="34" t="inlineStr">
        <is>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9" s="35" t="n"/>
      <c r="L199" s="34" t="inlineStr">
        <is>
          <t>Liquid &amp; Semisolid Dosage Forms</t>
        </is>
      </c>
      <c r="M199" s="35" t="inlineStr">
        <is>
          <t>Product</t>
        </is>
      </c>
      <c r="N199" s="34" t="inlineStr">
        <is>
          <t>ข้อสอบจริง Product ปี 2564 ข้อ 123</t>
        </is>
      </c>
      <c r="O199" s="35" t="inlineStr">
        <is>
          <t>ข้อสอบจริง</t>
        </is>
      </c>
      <c r="P199" s="35" t="inlineStr">
        <is>
          <t>ปี 2564</t>
        </is>
      </c>
    </row>
    <row r="200" ht="409.6" customHeight="1" s="49">
      <c r="A200" s="35" t="n">
        <v>198</v>
      </c>
      <c r="B200" s="34" t="inlineStr">
        <is>
          <t>HCTZ suspension 50 ml ตั้งทิ้งไว้ 4 wk ได้ F = 0.5 ควรแก้ไขตำรับอย่างไร</t>
        </is>
      </c>
      <c r="C200" s="35" t="n"/>
      <c r="D200" s="34" t="inlineStr">
        <is>
          <t>เพิ่ม paraben concentrate ❌ Preservative ไม่ช่วยลดการตกตะกอน</t>
        </is>
      </c>
      <c r="E200" s="34" t="inlineStr">
        <is>
          <t>เพิ่ม sodium carboxymethyl cellulose ✅ Suspensing agent เพิ่มความหนืด ลด sedimentation</t>
        </is>
      </c>
      <c r="F200" s="34" t="inlineStr">
        <is>
          <t>เปลี่ยน saccharin sodium เป็น syrup ❌ ช่วยเพิ่มความหวาน ไม่ใช่วิธีมาตรฐานแก้ F ต่ำ</t>
        </is>
      </c>
      <c r="G200" s="34" t="inlineStr">
        <is>
          <t>เพิ่ม sodium metabisulfite ❌ Antioxidant</t>
        </is>
      </c>
      <c r="H200" s="34" t="inlineStr">
        <is>
          <t>เพิ่มอุณหภูมิ ❌ ยิ่งลดความคงตัวของ suspension</t>
        </is>
      </c>
      <c r="I200" s="35" t="n">
        <v>1</v>
      </c>
      <c r="J200" s="34" t="inlineStr">
        <is>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0" s="35" t="n"/>
      <c r="L200" s="34" t="inlineStr">
        <is>
          <t>Liquid &amp; Semisolid Dosage Forms</t>
        </is>
      </c>
      <c r="M200" s="35" t="inlineStr">
        <is>
          <t>Product</t>
        </is>
      </c>
      <c r="N200" s="34" t="inlineStr">
        <is>
          <t>ข้อสอบจริง Product ปี 2564 ข้อ 143</t>
        </is>
      </c>
      <c r="O200" s="35" t="inlineStr">
        <is>
          <t>ข้อสอบจริง</t>
        </is>
      </c>
      <c r="P200" s="35" t="inlineStr">
        <is>
          <t>ปี 2564</t>
        </is>
      </c>
    </row>
    <row r="201" ht="409.6" customHeight="1" s="49">
      <c r="A201" s="35" t="n">
        <v>199</v>
      </c>
      <c r="B201" s="34" t="inlineStr">
        <is>
          <t>Sodium starch glycolate ทำหน้าที่อะไรในตำรับ</t>
        </is>
      </c>
      <c r="C201" s="35" t="n"/>
      <c r="D201" s="34" t="inlineStr">
        <is>
          <t>Diluent</t>
        </is>
      </c>
      <c r="E201" s="34" t="inlineStr">
        <is>
          <t>Glidant</t>
        </is>
      </c>
      <c r="F201" s="34" t="inlineStr">
        <is>
          <t>Disintegrating</t>
        </is>
      </c>
      <c r="G201" s="34" t="inlineStr">
        <is>
          <t>Binder</t>
        </is>
      </c>
      <c r="H201" s="34" t="inlineStr">
        <is>
          <t>Lubricant</t>
        </is>
      </c>
      <c r="I201" s="35" t="n">
        <v>1</v>
      </c>
      <c r="J201" s="34" t="inlineStr">
        <is>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1" s="35" t="n"/>
      <c r="L201" s="34" t="inlineStr">
        <is>
          <t>Liquid &amp; Semisolid Dosage Forms</t>
        </is>
      </c>
      <c r="M201" s="35" t="inlineStr">
        <is>
          <t>Product</t>
        </is>
      </c>
      <c r="N201" s="34" t="inlineStr">
        <is>
          <t>ข้อสอบจริง Product ปี 2564 ข้อ 144</t>
        </is>
      </c>
      <c r="O201" s="35" t="inlineStr">
        <is>
          <t>ข้อสอบจริง</t>
        </is>
      </c>
      <c r="P201" s="35" t="inlineStr">
        <is>
          <t>ปี 2564</t>
        </is>
      </c>
    </row>
    <row r="202" ht="409.6" customHeight="1" s="49">
      <c r="A202" s="35" t="n">
        <v>200</v>
      </c>
      <c r="B202" s="34" t="inlineStr">
        <is>
          <t>จากสูตรตำรับข้อใดถูกต้อง</t>
        </is>
      </c>
      <c r="C202" s="35" t="n"/>
      <c r="D202" s="34" t="inlineStr">
        <is>
          <t>Lanolin stiffening agent ❌ Lanolin เป็น absorption base / emollient ไม่ใช่ stiffening agent</t>
        </is>
      </c>
      <c r="E202" s="34" t="inlineStr">
        <is>
          <t>Triethanolamine emulsifying agent ❌ Triethanolamine เดี่ยว ๆ เป็น pH adjuster จะเป็น emulsifier ได้เมื่อทำปฏิกิริยากับ stearic acid เกิด TEA stearate</t>
        </is>
      </c>
      <c r="F202" s="34" t="inlineStr">
        <is>
          <t>Isopropyl myristate humectant ❌ เป็น emollient / skin penetration enhancer</t>
        </is>
      </c>
      <c r="G202" s="34" t="inlineStr">
        <is>
          <t>Cetostearyl alcohol suspending agent ❌ เป็น stiffening agent และ co-emulsifier</t>
        </is>
      </c>
      <c r="H202" s="34" t="inlineStr">
        <is>
          <t>Glycerin humectant ✅ ถูกต้อง</t>
        </is>
      </c>
      <c r="I202" s="35" t="n">
        <v>1</v>
      </c>
      <c r="J202" s="34" t="inlineStr">
        <is>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2" s="35" t="n"/>
      <c r="L202" s="34" t="inlineStr">
        <is>
          <t>Liquid &amp; Semisolid Dosage Forms</t>
        </is>
      </c>
      <c r="M202" s="35" t="inlineStr">
        <is>
          <t>Product</t>
        </is>
      </c>
      <c r="N202" s="34" t="inlineStr">
        <is>
          <t>ข้อสอบจริง Product ปี 2564 ข้อ 145</t>
        </is>
      </c>
      <c r="O202" s="35" t="inlineStr">
        <is>
          <t>ข้อสอบจริง</t>
        </is>
      </c>
      <c r="P202" s="35" t="inlineStr">
        <is>
          <t>ปี 2564</t>
        </is>
      </c>
    </row>
    <row r="203" ht="409.6" customHeight="1" s="49">
      <c r="A203" s="35" t="n">
        <v>201</v>
      </c>
      <c r="B203" s="34"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03" s="35" t="n"/>
      <c r="D203" s="34" t="inlineStr">
        <is>
          <t>Cosolvent</t>
        </is>
      </c>
      <c r="E203" s="34" t="inlineStr">
        <is>
          <t>Opacify</t>
        </is>
      </c>
      <c r="F203" s="34" t="inlineStr">
        <is>
          <t>Plasticizer</t>
        </is>
      </c>
      <c r="G203" s="34" t="inlineStr">
        <is>
          <t>Emulsifier</t>
        </is>
      </c>
      <c r="H203" s="34" t="inlineStr">
        <is>
          <t>Film coat resin</t>
        </is>
      </c>
      <c r="I203" s="35" t="n">
        <v>1</v>
      </c>
      <c r="J203" s="34" t="inlineStr">
        <is>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3" s="35" t="n"/>
      <c r="L203" s="34" t="inlineStr">
        <is>
          <t>Liquid &amp; Semisolid Dosage Forms</t>
        </is>
      </c>
      <c r="M203" s="35" t="inlineStr">
        <is>
          <t>Product</t>
        </is>
      </c>
      <c r="N203" s="34" t="inlineStr">
        <is>
          <t>ข้อสอบจริง Product ปี 2564 ข้อ 146</t>
        </is>
      </c>
      <c r="O203" s="35" t="inlineStr">
        <is>
          <t>ข้อสอบจริง</t>
        </is>
      </c>
      <c r="P203" s="35" t="inlineStr">
        <is>
          <t>ปี 2564</t>
        </is>
      </c>
    </row>
    <row r="204" ht="409.6" customHeight="1" s="49">
      <c r="A204" s="35" t="n">
        <v>202</v>
      </c>
      <c r="B204" s="34" t="inlineStr">
        <is>
          <t>ในสูตรตำรับยาครีม หากตำรับมีลักษณะเหลวควรเพิ่มสารใดในตำรับ</t>
        </is>
      </c>
      <c r="C204" s="35" t="n"/>
      <c r="D204" s="34" t="inlineStr">
        <is>
          <t>Mineral oil</t>
        </is>
      </c>
      <c r="E204" s="34" t="inlineStr">
        <is>
          <t>Propylene glycol</t>
        </is>
      </c>
      <c r="F204" s="34" t="inlineStr">
        <is>
          <t>Cetyl alcohol</t>
        </is>
      </c>
      <c r="G204" s="34" t="inlineStr">
        <is>
          <t>Sodium lauryl sulfate</t>
        </is>
      </c>
      <c r="H204" s="34" t="inlineStr">
        <is>
          <t>Triethanolamine</t>
        </is>
      </c>
      <c r="I204" s="35" t="n">
        <v>1</v>
      </c>
      <c r="J204" s="34" t="inlineStr">
        <is>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4" s="35" t="n"/>
      <c r="L204" s="34" t="inlineStr">
        <is>
          <t>Liquid &amp; Semisolid Dosage Forms</t>
        </is>
      </c>
      <c r="M204" s="35" t="inlineStr">
        <is>
          <t>Product</t>
        </is>
      </c>
      <c r="N204" s="34" t="inlineStr">
        <is>
          <t>ข้อสอบจริง Product ปี 2564 ข้อ 161</t>
        </is>
      </c>
      <c r="O204" s="35" t="inlineStr">
        <is>
          <t>ข้อสอบจริง</t>
        </is>
      </c>
      <c r="P204" s="35" t="inlineStr">
        <is>
          <t>ปี 2564</t>
        </is>
      </c>
    </row>
    <row r="205" ht="409.6" customHeight="1" s="49">
      <c r="A205" s="35" t="n">
        <v>203</v>
      </c>
      <c r="B205" s="34"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205" s="35" t="n"/>
      <c r="D205" s="34" t="inlineStr">
        <is>
          <t>BHT ❌ Antioxidant ป้องกัน oxidation</t>
        </is>
      </c>
      <c r="E205" s="34" t="inlineStr">
        <is>
          <t>Glycerin ❌ Humectant (แต่ไม่มีในสูตรที่ให้)</t>
        </is>
      </c>
      <c r="F205" s="34" t="inlineStr">
        <is>
          <t>Cetyl alcohol ✅ Stiffening agent / viscosity enhancer</t>
        </is>
      </c>
      <c r="G205" s="34" t="inlineStr">
        <is>
          <t>Propylene glycol ❌ Humectant / cosolvent</t>
        </is>
      </c>
      <c r="H205" s="34" t="inlineStr">
        <is>
          <t>Sodium lauryl sulphate ❌ Emulsifier / surfactant</t>
        </is>
      </c>
      <c r="I205" s="35" t="n">
        <v>1</v>
      </c>
      <c r="J205" s="34" t="inlineStr">
        <is>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5" s="35" t="n"/>
      <c r="L205" s="34" t="inlineStr">
        <is>
          <t>Liquid &amp; Semisolid Dosage Forms</t>
        </is>
      </c>
      <c r="M205" s="35" t="inlineStr">
        <is>
          <t>Product</t>
        </is>
      </c>
      <c r="N205" s="34" t="inlineStr">
        <is>
          <t>ข้อสอบจริง Product ปี 2564 ข้อ 166</t>
        </is>
      </c>
      <c r="O205" s="35" t="inlineStr">
        <is>
          <t>ข้อสอบจริง</t>
        </is>
      </c>
      <c r="P205" s="35" t="inlineStr">
        <is>
          <t>ปี 2564</t>
        </is>
      </c>
    </row>
    <row r="206" ht="409.6" customHeight="1" s="49">
      <c r="A206" s="35" t="n">
        <v>204</v>
      </c>
      <c r="B206" s="34" t="inlineStr">
        <is>
          <t>ตำรับ calamine lotion ตัวยาเป็นน้ำแขวนตะกอน เขย่ายาแล้วไม่คืนกลับเมื่อตั้งทิ้งไว้ ลักษณะดังกล่าวเรียกว่า</t>
        </is>
      </c>
      <c r="C206" s="35" t="n"/>
      <c r="D206" s="34" t="inlineStr">
        <is>
          <t>Caking ✅ ตะกอนจับแน่น กลับคืนไม่ได้</t>
        </is>
      </c>
      <c r="E206" s="34" t="inlineStr">
        <is>
          <t>Cracking ❌ รอยแตกของเม็ดยาหรือฟิล์มเคลือบ</t>
        </is>
      </c>
      <c r="F206" s="34" t="inlineStr">
        <is>
          <t>Breaking ❌ การแยกตัวของ emulsion อย่างถาวร</t>
        </is>
      </c>
      <c r="G206" s="34" t="inlineStr">
        <is>
          <t>Creaming ❌ หยดของเหลวใน emulsion ลอยขึ้น/ตกลง แต่ยังกลับคืนได้เมื่อเขย่า</t>
        </is>
      </c>
      <c r="H206" s="34" t="inlineStr">
        <is>
          <t>Coalescence ❌ หยด emulsion รวมตัวกันเป็นหยดใหญ่ (นำไปสู่ breaking)</t>
        </is>
      </c>
      <c r="I206" s="35" t="n">
        <v>1</v>
      </c>
      <c r="J206" s="34" t="inlineStr">
        <is>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6" s="35" t="n"/>
      <c r="L206" s="34" t="inlineStr">
        <is>
          <t>Liquid &amp; Semisolid Dosage Forms</t>
        </is>
      </c>
      <c r="M206" s="35" t="inlineStr">
        <is>
          <t>Product</t>
        </is>
      </c>
      <c r="N206" s="34" t="inlineStr">
        <is>
          <t>ข้อสอบจริง Product ปี 2564 ข้อ 167</t>
        </is>
      </c>
      <c r="O206" s="35" t="inlineStr">
        <is>
          <t>ข้อสอบจริง</t>
        </is>
      </c>
      <c r="P206" s="35" t="inlineStr">
        <is>
          <t>ปี 2564</t>
        </is>
      </c>
    </row>
    <row r="207" ht="409.6" customHeight="1" s="49">
      <c r="A207" s="35" t="n">
        <v>205</v>
      </c>
      <c r="B207" s="34" t="inlineStr">
        <is>
          <t>Topical steroid รูปแบบไหนดูดซึมทางผิวหนังได้มากที่สุด ต้นฉบับ: Day 2 ข้อ 87</t>
        </is>
      </c>
      <c r="C207" s="35" t="n"/>
      <c r="D207" s="34" t="inlineStr">
        <is>
          <t>Solution</t>
        </is>
      </c>
      <c r="E207" s="34" t="inlineStr">
        <is>
          <t>Gel</t>
        </is>
      </c>
      <c r="F207" s="34" t="inlineStr">
        <is>
          <t>Suspension</t>
        </is>
      </c>
      <c r="G207" s="34" t="inlineStr">
        <is>
          <t>Ointment</t>
        </is>
      </c>
      <c r="H207" s="34" t="inlineStr">
        <is>
          <t>Cream</t>
        </is>
      </c>
      <c r="I207" s="35" t="n">
        <v>4</v>
      </c>
      <c r="J207" s="34" t="inlineStr">
        <is>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7" s="35" t="n"/>
      <c r="L207" s="34" t="inlineStr">
        <is>
          <t>Liquid &amp; Semisolid Dosage Forms</t>
        </is>
      </c>
      <c r="M207" s="35" t="inlineStr">
        <is>
          <t>Product</t>
        </is>
      </c>
      <c r="N207" s="34" t="inlineStr">
        <is>
          <t>ข้อสอบจริง Product ปี 2563 ข้อ 15</t>
        </is>
      </c>
      <c r="O207" s="35" t="inlineStr">
        <is>
          <t>ข้อสอบจริง</t>
        </is>
      </c>
      <c r="P207" s="35" t="inlineStr">
        <is>
          <t>ปี 2563</t>
        </is>
      </c>
    </row>
    <row r="208" ht="409.6" customHeight="1" s="49">
      <c r="A208" s="35" t="n">
        <v>206</v>
      </c>
      <c r="B208" s="34" t="inlineStr">
        <is>
          <t>ข้อใดไม่จำเป็นในการควบคุมคุณภาพการผลิต soft capsule ต้นฉบับ: Day 1 ข้อ 115</t>
        </is>
      </c>
      <c r="C208" s="35" t="n"/>
      <c r="D208" s="34" t="inlineStr">
        <is>
          <t>Pregelatinized starch</t>
        </is>
      </c>
      <c r="E208" s="34" t="inlineStr">
        <is>
          <t>Lactose monohydrate</t>
        </is>
      </c>
      <c r="F208" s="34" t="inlineStr">
        <is>
          <t>Microcrystalline cellulose</t>
        </is>
      </c>
      <c r="G208" s="34" t="inlineStr">
        <is>
          <t>Sodium starch glycolate</t>
        </is>
      </c>
      <c r="H208" s="34" t="inlineStr">
        <is>
          <t>Dibasic calcium phosphate | คำตอบที่น่าจะเป็น: a) Pregelatinized starch ใช้เป็น dry binder ได้ จึงเหมาะกับ dry granulation ที่ไม่เติมสารละลายยึดเกาะ</t>
        </is>
      </c>
      <c r="I208" s="35" t="n">
        <v>4</v>
      </c>
      <c r="J208" s="34" t="inlineStr">
        <is>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8" s="35" t="n"/>
      <c r="L208" s="34" t="inlineStr">
        <is>
          <t>Liquid &amp; Semisolid Dosage Forms</t>
        </is>
      </c>
      <c r="M208" s="35" t="inlineStr">
        <is>
          <t>Product</t>
        </is>
      </c>
      <c r="N208" s="34" t="inlineStr">
        <is>
          <t>ข้อสอบจริง Product ปี 2563 ข้อ 25</t>
        </is>
      </c>
      <c r="O208" s="35" t="inlineStr">
        <is>
          <t>ข้อสอบจริง</t>
        </is>
      </c>
      <c r="P208" s="35" t="inlineStr">
        <is>
          <t>ปี 2563</t>
        </is>
      </c>
    </row>
    <row r="209" ht="409.6" customHeight="1" s="49">
      <c r="A209" s="35" t="n">
        <v>207</v>
      </c>
      <c r="B209" s="34" t="inlineStr">
        <is>
          <t>ข้อใดไม่ใช่ส่วนประกอบของ soft capsule ต้นฉบับ: Day 2 ข้อ 32</t>
        </is>
      </c>
      <c r="C209" s="35" t="n"/>
      <c r="D209" s="34" t="inlineStr">
        <is>
          <t>Glycerin</t>
        </is>
      </c>
      <c r="E209" s="34" t="inlineStr">
        <is>
          <t>Propylene glycol</t>
        </is>
      </c>
      <c r="F209" s="34" t="inlineStr">
        <is>
          <t>Lake color</t>
        </is>
      </c>
      <c r="G209" s="34" t="inlineStr">
        <is>
          <t>PEG 400</t>
        </is>
      </c>
      <c r="H209" s="34" t="inlineStr">
        <is>
          <t>Water</t>
        </is>
      </c>
      <c r="I209" s="35" t="n">
        <v>4</v>
      </c>
      <c r="J209" s="34" t="inlineStr">
        <is>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9" s="35" t="n"/>
      <c r="L209" s="34" t="inlineStr">
        <is>
          <t>Liquid &amp; Semisolid Dosage Forms</t>
        </is>
      </c>
      <c r="M209" s="35" t="inlineStr">
        <is>
          <t>Product</t>
        </is>
      </c>
      <c r="N209" s="34" t="inlineStr">
        <is>
          <t>ข้อสอบจริง Product ปี 2563 ข้อ 32</t>
        </is>
      </c>
      <c r="O209" s="35" t="inlineStr">
        <is>
          <t>ข้อสอบจริง</t>
        </is>
      </c>
      <c r="P209" s="35" t="inlineStr">
        <is>
          <t>ปี 2563</t>
        </is>
      </c>
    </row>
    <row r="210" ht="409.6" customHeight="1" s="49">
      <c r="A210" s="35" t="n">
        <v>208</v>
      </c>
      <c r="B210" s="34" t="inlineStr">
        <is>
          <t>ข้อใดไม่ใช่วิธีการควบคุมคุณภาพของยา Ibuprofen ที่เป็น soft gelatin ต้นฉบับ: Day 2 ข้อ 33</t>
        </is>
      </c>
      <c r="C210" s="35" t="n"/>
      <c r="D210" s="34" t="inlineStr">
        <is>
          <t>ปริมาณการบรรจุ</t>
        </is>
      </c>
      <c r="E210" s="34" t="inlineStr">
        <is>
          <t>การละลาย</t>
        </is>
      </c>
      <c r="F210" s="34" t="inlineStr">
        <is>
          <t>การแตกตัว</t>
        </is>
      </c>
      <c r="G210" s="34" t="inlineStr">
        <is>
          <t>ระยะเวลาที่ปลดปล่อยนาน</t>
        </is>
      </c>
      <c r="H210" s="34" t="inlineStr">
        <is>
          <t>ความนิ่ม</t>
        </is>
      </c>
      <c r="I210" s="35" t="n">
        <v>4</v>
      </c>
      <c r="J210" s="34" t="inlineStr">
        <is>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0" s="35" t="n"/>
      <c r="L210" s="34" t="inlineStr">
        <is>
          <t>Liquid &amp; Semisolid Dosage Forms</t>
        </is>
      </c>
      <c r="M210" s="35" t="inlineStr">
        <is>
          <t>Product</t>
        </is>
      </c>
      <c r="N210" s="34" t="inlineStr">
        <is>
          <t>ข้อสอบจริง Product ปี 2563 ข้อ 33</t>
        </is>
      </c>
      <c r="O210" s="35" t="inlineStr">
        <is>
          <t>ข้อสอบจริง</t>
        </is>
      </c>
      <c r="P210" s="35" t="inlineStr">
        <is>
          <t>ปี 2563</t>
        </is>
      </c>
    </row>
    <row r="211" ht="409.6" customHeight="1" s="49">
      <c r="A211" s="35" t="n">
        <v>209</v>
      </c>
      <c r="B211" s="34" t="inlineStr">
        <is>
          <t>ผลิตยาเม็ดด้วย wet granulation ควรใช้ binder ตัวไหน ต้นฉบับ: Day 2 ข้อ 70</t>
        </is>
      </c>
      <c r="C211" s="35" t="n"/>
      <c r="D211" s="34" t="inlineStr">
        <is>
          <t>Lactose</t>
        </is>
      </c>
      <c r="E211" s="34" t="inlineStr">
        <is>
          <t>Microcrystalline cellulose</t>
        </is>
      </c>
      <c r="F211" s="34" t="inlineStr">
        <is>
          <t>Pregelatinized starch</t>
        </is>
      </c>
      <c r="G211" s="34" t="inlineStr">
        <is>
          <t>Magnesium stearate</t>
        </is>
      </c>
      <c r="H211" s="34" t="inlineStr">
        <is>
          <t>Aerosil 200</t>
        </is>
      </c>
      <c r="I211" s="35" t="n">
        <v>3</v>
      </c>
      <c r="J211" s="34" t="inlineStr">
        <is>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1" s="35" t="n"/>
      <c r="L211" s="34" t="inlineStr">
        <is>
          <t>Liquid &amp; Semisolid Dosage Forms</t>
        </is>
      </c>
      <c r="M211" s="35" t="inlineStr">
        <is>
          <t>Product</t>
        </is>
      </c>
      <c r="N211" s="34" t="inlineStr">
        <is>
          <t>ข้อสอบจริง Product ปี 2563 ข้อ 34</t>
        </is>
      </c>
      <c r="O211" s="35" t="inlineStr">
        <is>
          <t>ข้อสอบจริง</t>
        </is>
      </c>
      <c r="P211" s="35" t="inlineStr">
        <is>
          <t>ปี 2563</t>
        </is>
      </c>
    </row>
    <row r="212" ht="409.6" customHeight="1" s="49">
      <c r="A212" s="35" t="n">
        <v>210</v>
      </c>
      <c r="B212" s="34" t="inlineStr">
        <is>
          <t>สารเคลือบในข้อใดไม่ได้ช่วยให้เม็ดยามีคุณสมบัติ enteric coated tablets ต้นฉบับ: Day 2 ข้อ 90</t>
        </is>
      </c>
      <c r="C212" s="35" t="n"/>
      <c r="D212" s="34" t="inlineStr">
        <is>
          <t>Shellac</t>
        </is>
      </c>
      <c r="E212" s="34" t="inlineStr">
        <is>
          <t>PVP</t>
        </is>
      </c>
      <c r="F212" s="34" t="inlineStr">
        <is>
          <t>Diethyl phthalate</t>
        </is>
      </c>
      <c r="G212" s="34" t="inlineStr">
        <is>
          <t>Hydroxypropyl methylcellulose Acetate Succinate</t>
        </is>
      </c>
      <c r="H212" s="34" t="inlineStr">
        <is>
          <t>Methacrylic acid - methyl acrylate (2:1) copolymer</t>
        </is>
      </c>
      <c r="I212" s="35" t="n">
        <v>2</v>
      </c>
      <c r="J212" s="34" t="inlineStr">
        <is>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2" s="35" t="n"/>
      <c r="L212" s="34" t="inlineStr">
        <is>
          <t>Liquid &amp; Semisolid Dosage Forms</t>
        </is>
      </c>
      <c r="M212" s="35" t="inlineStr">
        <is>
          <t>Product</t>
        </is>
      </c>
      <c r="N212" s="34" t="inlineStr">
        <is>
          <t>ข้อสอบจริง Product ปี 2563 ข้อ 36</t>
        </is>
      </c>
      <c r="O212" s="35" t="inlineStr">
        <is>
          <t>ข้อสอบจริง</t>
        </is>
      </c>
      <c r="P212" s="35" t="inlineStr">
        <is>
          <t>ปี 2563</t>
        </is>
      </c>
    </row>
    <row r="213" ht="409.6" customHeight="1" s="49">
      <c r="A213" s="35" t="n">
        <v>211</v>
      </c>
      <c r="B213" s="34" t="inlineStr">
        <is>
          <t>Freeze Thaw 3 Cycles แล้วพบว่า ครีมแยกชั้นกันจะแก้ปัญหาอย่างไร ต้นฉบับ: Day 1 ข้อ 77</t>
        </is>
      </c>
      <c r="C213" s="35" t="n"/>
      <c r="D213" s="34" t="inlineStr">
        <is>
          <t>เติม Tragacanth ใน O/W cream</t>
        </is>
      </c>
      <c r="E213" s="34" t="inlineStr">
        <is>
          <t>ใช้เครื่อง Ball mill</t>
        </is>
      </c>
      <c r="F213" s="34" t="inlineStr">
        <is>
          <t>เติม hydroxyethylcellulose ใน W/O cream</t>
        </is>
      </c>
      <c r="G213" s="34" t="inlineStr">
        <is>
          <t>เติม NaCl ใน W/O cream</t>
        </is>
      </c>
      <c r="H213" s="34" t="inlineStr">
        <is>
          <t>เติม Na benzoate ใน W/O cream</t>
        </is>
      </c>
      <c r="I213" s="35" t="n">
        <v>1</v>
      </c>
      <c r="J213" s="34" t="inlineStr">
        <is>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3" s="35" t="n"/>
      <c r="L213" s="34" t="inlineStr">
        <is>
          <t>Liquid &amp; Semisolid Dosage Forms</t>
        </is>
      </c>
      <c r="M213" s="35" t="inlineStr">
        <is>
          <t>Product</t>
        </is>
      </c>
      <c r="N213" s="34" t="inlineStr">
        <is>
          <t>ข้อสอบจริง Product ปี 2563 ข้อ 42</t>
        </is>
      </c>
      <c r="O213" s="35" t="inlineStr">
        <is>
          <t>ข้อสอบจริง</t>
        </is>
      </c>
      <c r="P213" s="35" t="inlineStr">
        <is>
          <t>ปี 2563</t>
        </is>
      </c>
    </row>
    <row r="214" ht="409.6" customHeight="1" s="49">
      <c r="A214" s="35" t="n">
        <v>212</v>
      </c>
      <c r="B214" s="34" t="inlineStr">
        <is>
          <t>Magnesium aluminium silicate ในตำรับนี้ทำหน้าที่อะไร ต้นฉบับ: Day 1 ข้อ 90</t>
        </is>
      </c>
      <c r="C214" s="35" t="n"/>
      <c r="D214" s="34" t="inlineStr">
        <is>
          <t>flocculating agent</t>
        </is>
      </c>
      <c r="E214" s="34" t="inlineStr">
        <is>
          <t>viscosity-increasing agent</t>
        </is>
      </c>
      <c r="F214" s="34" t="inlineStr">
        <is>
          <t>suspending agent</t>
        </is>
      </c>
      <c r="G214" s="34" t="inlineStr">
        <is>
          <t>wetting agent</t>
        </is>
      </c>
      <c r="H214" s="34" t="inlineStr">
        <is>
          <t>dispersing agent</t>
        </is>
      </c>
      <c r="I214" s="35" t="n">
        <v>3</v>
      </c>
      <c r="J214" s="34" t="inlineStr">
        <is>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4" s="35" t="n"/>
      <c r="L214" s="34" t="inlineStr">
        <is>
          <t>Liquid &amp; Semisolid Dosage Forms</t>
        </is>
      </c>
      <c r="M214" s="35" t="inlineStr">
        <is>
          <t>Product</t>
        </is>
      </c>
      <c r="N214" s="34" t="inlineStr">
        <is>
          <t>ข้อสอบจริง Product ปี 2563 ข้อ 44</t>
        </is>
      </c>
      <c r="O214" s="35" t="inlineStr">
        <is>
          <t>ข้อสอบจริง</t>
        </is>
      </c>
      <c r="P214" s="35" t="inlineStr">
        <is>
          <t>ปี 2563</t>
        </is>
      </c>
    </row>
    <row r="215" ht="409.6" customHeight="1" s="49">
      <c r="A215" s="35" t="n">
        <v>213</v>
      </c>
      <c r="B215" s="34" t="inlineStr">
        <is>
          <t>เตรียม 0.2% Atenolol extemporaneous oral suspension ปริมาตร 50 ml จากยาเม็ด Atenolol 25 mg จะต้องใช้ Atenolol กี่เม็ด ต้นฉบับ: Day 1 ข้อ 111</t>
        </is>
      </c>
      <c r="C215" s="35" t="n"/>
      <c r="D215" s="34" t="inlineStr">
        <is>
          <t>2 เม็ด</t>
        </is>
      </c>
      <c r="E215" s="34" t="inlineStr">
        <is>
          <t>3 เม็ด</t>
        </is>
      </c>
      <c r="F215" s="34" t="inlineStr">
        <is>
          <t>4 เม็ด</t>
        </is>
      </c>
      <c r="G215" s="34" t="inlineStr">
        <is>
          <t>5 เม็ด</t>
        </is>
      </c>
      <c r="H215" s="34" t="inlineStr">
        <is>
          <t>6 เม็ด</t>
        </is>
      </c>
      <c r="I215" s="35" t="n">
        <v>3</v>
      </c>
      <c r="J215" s="34" t="inlineStr">
        <is>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5" s="35" t="n"/>
      <c r="L215" s="34" t="inlineStr">
        <is>
          <t>Liquid &amp; Semisolid Dosage Forms</t>
        </is>
      </c>
      <c r="M215" s="35" t="inlineStr">
        <is>
          <t>Product</t>
        </is>
      </c>
      <c r="N215" s="34" t="inlineStr">
        <is>
          <t>ข้อสอบจริง Product ปี 2563 ข้อ 45</t>
        </is>
      </c>
      <c r="O215" s="35" t="inlineStr">
        <is>
          <t>ข้อสอบจริง</t>
        </is>
      </c>
      <c r="P215" s="35" t="inlineStr">
        <is>
          <t>ปี 2563</t>
        </is>
      </c>
    </row>
    <row r="216" ht="409.6" customHeight="1" s="49">
      <c r="A216" s="35" t="n">
        <v>214</v>
      </c>
      <c r="B216" s="34" t="inlineStr">
        <is>
          <t>Suspensions sedimentation volume = 0.5 degree of flocculation = 1 ควรแก้ไขอย่างไร ต้นฉบับ: Day 1 ข้อ 112</t>
        </is>
      </c>
      <c r="C216" s="35" t="n"/>
      <c r="D216" s="34" t="inlineStr">
        <is>
          <t>เพิ่มความเข้มข้น SCMC</t>
        </is>
      </c>
      <c r="E216" s="34" t="inlineStr">
        <is>
          <t>เพิ่มความเข้มข้น benzyl alcohol</t>
        </is>
      </c>
      <c r="F216" s="34" t="inlineStr">
        <is>
          <t>เพิ่มความเข้มข้น sodium metabisulphite</t>
        </is>
      </c>
      <c r="G216" s="34" t="inlineStr">
        <is>
          <t>เปลี่ยนไปใช้ saccharin แทน syrup</t>
        </is>
      </c>
      <c r="H216" s="34" t="inlineStr">
        <is>
          <t>เพิ่มปริมาณ paraben</t>
        </is>
      </c>
      <c r="I216" s="35" t="n">
        <v>1</v>
      </c>
      <c r="J216" s="34" t="inlineStr">
        <is>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6" s="35" t="n"/>
      <c r="L216" s="34" t="inlineStr">
        <is>
          <t>Liquid &amp; Semisolid Dosage Forms</t>
        </is>
      </c>
      <c r="M216" s="35" t="inlineStr">
        <is>
          <t>Product</t>
        </is>
      </c>
      <c r="N216" s="34" t="inlineStr">
        <is>
          <t>ข้อสอบจริง Product ปี 2563 ข้อ 46</t>
        </is>
      </c>
      <c r="O216" s="35" t="inlineStr">
        <is>
          <t>ข้อสอบจริง</t>
        </is>
      </c>
      <c r="P216" s="35" t="inlineStr">
        <is>
          <t>ปี 2563</t>
        </is>
      </c>
    </row>
    <row r="217" ht="409.6" customHeight="1" s="49">
      <c r="A217" s="35" t="n">
        <v>215</v>
      </c>
      <c r="B217" s="34" t="inlineStr">
        <is>
          <t>สูตรตำรับ Calamine lotion ต้นฉบับ: Day 1 ข้อ 113 Active Ingredient: Calamine Inactive ingredient: Hypromellose, xanthan gum, polysorbate 80, methyl paraben, propylparaben ข้อใดคือหน้าที่ของ Hypromellose</t>
        </is>
      </c>
      <c r="C217" s="35" t="n"/>
      <c r="D217" s="34" t="inlineStr">
        <is>
          <t>Emulsifier</t>
        </is>
      </c>
      <c r="E217" s="34" t="inlineStr">
        <is>
          <t>Diluent</t>
        </is>
      </c>
      <c r="F217" s="34" t="inlineStr">
        <is>
          <t>Viscosity enhancer</t>
        </is>
      </c>
      <c r="G217" s="34" t="inlineStr">
        <is>
          <t>Humectant</t>
        </is>
      </c>
      <c r="H217" s="34" t="inlineStr">
        <is>
          <t>Disintegrant</t>
        </is>
      </c>
      <c r="I217" s="35" t="n">
        <v>3</v>
      </c>
      <c r="J217" s="34" t="inlineStr">
        <is>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7" s="35" t="n"/>
      <c r="L217" s="34" t="inlineStr">
        <is>
          <t>Liquid &amp; Semisolid Dosage Forms</t>
        </is>
      </c>
      <c r="M217" s="35" t="inlineStr">
        <is>
          <t>Product</t>
        </is>
      </c>
      <c r="N217" s="34" t="inlineStr">
        <is>
          <t>ข้อสอบจริง Product ปี 2563 ข้อ 47</t>
        </is>
      </c>
      <c r="O217" s="35" t="inlineStr">
        <is>
          <t>ข้อสอบจริง</t>
        </is>
      </c>
      <c r="P217" s="35" t="inlineStr">
        <is>
          <t>ปี 2563</t>
        </is>
      </c>
    </row>
    <row r="218" ht="409.6" customHeight="1" s="49">
      <c r="A218" s="35" t="n">
        <v>216</v>
      </c>
      <c r="B218" s="34" t="inlineStr">
        <is>
          <t>ยารูปแบบ topical suspension ควรมีการไหลแบบไหน ต้นฉบับ: Day 1 ข้อ 114</t>
        </is>
      </c>
      <c r="C218" s="35" t="n"/>
      <c r="D218" s="34" t="inlineStr">
        <is>
          <t>Plastic กับ thixotropic</t>
        </is>
      </c>
      <c r="E218" s="34" t="inlineStr">
        <is>
          <t>Plastic กับ dilatant</t>
        </is>
      </c>
      <c r="F218" s="34" t="inlineStr">
        <is>
          <t>Pseudoplastic กับ thixotropic</t>
        </is>
      </c>
      <c r="G218" s="34" t="inlineStr">
        <is>
          <t>Pseudoplastic กับ dilatant</t>
        </is>
      </c>
      <c r="H218" s="34" t="inlineStr">
        <is>
          <t>Pseudoplastic กับ plastic</t>
        </is>
      </c>
      <c r="I218" s="35" t="n">
        <v>3</v>
      </c>
      <c r="J218" s="34" t="inlineStr">
        <is>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8" s="35" t="n"/>
      <c r="L218" s="34" t="inlineStr">
        <is>
          <t>Liquid &amp; Semisolid Dosage Forms</t>
        </is>
      </c>
      <c r="M218" s="35" t="inlineStr">
        <is>
          <t>Product</t>
        </is>
      </c>
      <c r="N218" s="34" t="inlineStr">
        <is>
          <t>ข้อสอบจริง Product ปี 2563 ข้อ 48</t>
        </is>
      </c>
      <c r="O218" s="35" t="inlineStr">
        <is>
          <t>ข้อสอบจริง</t>
        </is>
      </c>
      <c r="P218" s="35" t="inlineStr">
        <is>
          <t>ปี 2563</t>
        </is>
      </c>
    </row>
    <row r="219" ht="409.6" customHeight="1" s="49">
      <c r="A219" s="35" t="n">
        <v>217</v>
      </c>
      <c r="B219" s="34" t="inlineStr">
        <is>
          <t>ยาขี้ผึ้งชนิดใดเหมาะกับแผลติดเชื้อมีหนอง ต้นฉบับ: Day 2 ข้อ 39</t>
        </is>
      </c>
      <c r="C219" s="35" t="n"/>
      <c r="D219" s="34" t="inlineStr">
        <is>
          <t>Cream</t>
        </is>
      </c>
      <c r="E219" s="34" t="inlineStr">
        <is>
          <t>W/O ointment</t>
        </is>
      </c>
      <c r="F219" s="34" t="inlineStr">
        <is>
          <t>O/W ointment</t>
        </is>
      </c>
      <c r="G219" s="34" t="inlineStr">
        <is>
          <t>Absorption base</t>
        </is>
      </c>
      <c r="H219" s="34" t="inlineStr">
        <is>
          <t>Oleaginous base</t>
        </is>
      </c>
      <c r="I219" s="35" t="n">
        <v>2</v>
      </c>
      <c r="J219" s="34" t="inlineStr">
        <is>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9" s="35" t="n"/>
      <c r="L219" s="34" t="inlineStr">
        <is>
          <t>Liquid &amp; Semisolid Dosage Forms</t>
        </is>
      </c>
      <c r="M219" s="35" t="inlineStr">
        <is>
          <t>Product</t>
        </is>
      </c>
      <c r="N219" s="34" t="inlineStr">
        <is>
          <t>ข้อสอบจริง Product ปี 2563 ข้อ 49</t>
        </is>
      </c>
      <c r="O219" s="35" t="inlineStr">
        <is>
          <t>ข้อสอบจริง</t>
        </is>
      </c>
      <c r="P219" s="35" t="inlineStr">
        <is>
          <t>ปี 2563</t>
        </is>
      </c>
    </row>
    <row r="220" ht="409.6" customHeight="1" s="49">
      <c r="A220" s="35" t="n">
        <v>218</v>
      </c>
      <c r="B220" s="34" t="inlineStr">
        <is>
          <t>เตรียมด้วยวิธีอะไร ต้นฉบับ: Day 2 ข้อ 41</t>
        </is>
      </c>
      <c r="C220" s="35" t="n"/>
      <c r="D220" s="34" t="inlineStr">
        <is>
          <t>Beaker method</t>
        </is>
      </c>
      <c r="E220" s="34" t="inlineStr">
        <is>
          <t>Levigation</t>
        </is>
      </c>
      <c r="F220" s="34" t="inlineStr">
        <is>
          <t>Dry gum method</t>
        </is>
      </c>
      <c r="G220" s="34" t="inlineStr">
        <is>
          <t>Wet gum method</t>
        </is>
      </c>
      <c r="H220" s="34" t="inlineStr">
        <is>
          <t>Bottle method</t>
        </is>
      </c>
      <c r="I220" s="35" t="n">
        <v>1</v>
      </c>
      <c r="J220" s="34" t="inlineStr">
        <is>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0" s="35" t="n"/>
      <c r="L220" s="34" t="inlineStr">
        <is>
          <t>Liquid &amp; Semisolid Dosage Forms</t>
        </is>
      </c>
      <c r="M220" s="35" t="inlineStr">
        <is>
          <t>Product</t>
        </is>
      </c>
      <c r="N220" s="34" t="inlineStr">
        <is>
          <t>ข้อสอบจริง Product ปี 2563 ข้อ 51</t>
        </is>
      </c>
      <c r="O220" s="35" t="inlineStr">
        <is>
          <t>ข้อสอบจริง</t>
        </is>
      </c>
      <c r="P220" s="35" t="inlineStr">
        <is>
          <t>ปี 2563</t>
        </is>
      </c>
    </row>
    <row r="221" ht="409.6" customHeight="1" s="49">
      <c r="A221" s="35" t="n">
        <v>219</v>
      </c>
      <c r="B221" s="34" t="inlineStr">
        <is>
          <t>รูปแบบยาทาที่เหมาะสมสำหรับทาผิวหญิงที่หน้ามันเป็นสิว ต้นฉบับ: Day 2 ข้อ 45</t>
        </is>
      </c>
      <c r="C221" s="35" t="n"/>
      <c r="D221" s="34" t="inlineStr">
        <is>
          <t>Flocculated suspension</t>
        </is>
      </c>
      <c r="E221" s="34" t="inlineStr">
        <is>
          <t>Deflocculated suspension</t>
        </is>
      </c>
      <c r="F221" s="34" t="inlineStr">
        <is>
          <t>Flocculated suspension in vehicle</t>
        </is>
      </c>
      <c r="G221" s="34" t="inlineStr">
        <is>
          <t>Flocculated suspension in structure vehicle</t>
        </is>
      </c>
      <c r="H221" s="34" t="inlineStr">
        <is>
          <t>Deflocculated suspension in structured vehicle</t>
        </is>
      </c>
      <c r="I221" s="35" t="n">
        <v>1</v>
      </c>
      <c r="J221" s="34" t="inlineStr">
        <is>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1" s="35" t="n"/>
      <c r="L221" s="34" t="inlineStr">
        <is>
          <t>Liquid &amp; Semisolid Dosage Forms</t>
        </is>
      </c>
      <c r="M221" s="35" t="inlineStr">
        <is>
          <t>Product</t>
        </is>
      </c>
      <c r="N221" s="34" t="inlineStr">
        <is>
          <t>ข้อสอบจริง Product ปี 2563 ข้อ 52</t>
        </is>
      </c>
      <c r="O221" s="35" t="inlineStr">
        <is>
          <t>ข้อสอบจริง</t>
        </is>
      </c>
      <c r="P221" s="35" t="inlineStr">
        <is>
          <t>ปี 2563</t>
        </is>
      </c>
    </row>
    <row r="222" ht="409.6" customHeight="1" s="49">
      <c r="A222" s="35" t="n">
        <v>220</v>
      </c>
      <c r="B222" s="34" t="inlineStr">
        <is>
          <t>น้ำที่ใช้ในกระบวนการผลิตยาทาเฉพาะที่แบบเจล คือข้อใด ต้นฉบับ: Day 2 ข้อ 48</t>
        </is>
      </c>
      <c r="C222" s="35" t="n"/>
      <c r="D222" s="34" t="inlineStr">
        <is>
          <t>Potable water</t>
        </is>
      </c>
      <c r="E222" s="34" t="inlineStr">
        <is>
          <t>Purified water</t>
        </is>
      </c>
      <c r="F222" s="34" t="inlineStr">
        <is>
          <t>Sterile purified water</t>
        </is>
      </c>
      <c r="G222" s="34" t="inlineStr">
        <is>
          <t>Sterile water for irrigation</t>
        </is>
      </c>
      <c r="H222" s="34" t="inlineStr">
        <is>
          <t>Bacteriostatic water for injection</t>
        </is>
      </c>
      <c r="I222" s="35" t="n">
        <v>2</v>
      </c>
      <c r="J222" s="34" t="inlineStr">
        <is>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2" s="35" t="n"/>
      <c r="L222" s="34" t="inlineStr">
        <is>
          <t>Liquid &amp; Semisolid Dosage Forms</t>
        </is>
      </c>
      <c r="M222" s="35" t="inlineStr">
        <is>
          <t>Product</t>
        </is>
      </c>
      <c r="N222" s="34" t="inlineStr">
        <is>
          <t>ข้อสอบจริง Product ปี 2563 ข้อ 54</t>
        </is>
      </c>
      <c r="O222" s="35" t="inlineStr">
        <is>
          <t>ข้อสอบจริง</t>
        </is>
      </c>
      <c r="P222" s="35" t="inlineStr">
        <is>
          <t>ปี 2563</t>
        </is>
      </c>
    </row>
    <row r="223" ht="409.6" customHeight="1" s="49">
      <c r="A223" s="35" t="n">
        <v>221</v>
      </c>
      <c r="B223" s="34" t="inlineStr">
        <is>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is>
      </c>
      <c r="C223" s="35" t="n"/>
      <c r="D223" s="34" t="inlineStr">
        <is>
          <t>ตำรับ A มีแนวโน้มคงตัวดีกว่าตำรับ B</t>
        </is>
      </c>
      <c r="E223" s="34" t="inlineStr">
        <is>
          <t>ตำรับ B มีแนวโน้มคงตัวดีกว่าตำรับ C</t>
        </is>
      </c>
      <c r="F223" s="34" t="inlineStr">
        <is>
          <t>เพิ่มความคงตัวของตำรับ C ได้โดยการเพิ่มปริมาณ wetting agent</t>
        </is>
      </c>
      <c r="G223" s="34" t="inlineStr">
        <is>
          <t>เพิ่ม flocculating agent ให้ตำรับ B เพื่อเพิ่มความคงตัว</t>
        </is>
      </c>
      <c r="H223" s="34" t="inlineStr">
        <is>
          <t>เมื่อเขย่า ตำรับ A จะมีการกลับมากระจายได้ดีที่สุด</t>
        </is>
      </c>
      <c r="I223" s="35" t="n">
        <v>2</v>
      </c>
      <c r="J223" s="34" t="inlineStr">
        <is>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3" s="35" t="n"/>
      <c r="L223" s="34" t="inlineStr">
        <is>
          <t>Liquid &amp; Semisolid Dosage Forms</t>
        </is>
      </c>
      <c r="M223" s="35" t="inlineStr">
        <is>
          <t>Product</t>
        </is>
      </c>
      <c r="N223" s="34" t="inlineStr">
        <is>
          <t>ข้อสอบจริง Product ปี 2563 ข้อ 55</t>
        </is>
      </c>
      <c r="O223" s="35" t="inlineStr">
        <is>
          <t>ข้อสอบจริง</t>
        </is>
      </c>
      <c r="P223" s="35" t="inlineStr">
        <is>
          <t>ปี 2563</t>
        </is>
      </c>
    </row>
    <row r="224" ht="409.6" customHeight="1" s="49">
      <c r="A224" s="35" t="n">
        <v>222</v>
      </c>
      <c r="B224" s="34" t="inlineStr">
        <is>
          <t>ตัวยาประกอบด้วย sodium alginate, calcium carbonate,sodium bicarbonate ข้อใดถูกต้อง ต้นฉบับ: Day 2 ข้อ 94</t>
        </is>
      </c>
      <c r="C224" s="35" t="n"/>
      <c r="D224" s="34" t="inlineStr">
        <is>
          <t>ทำให้ตำรับออกฤทธิ์เร็ว</t>
        </is>
      </c>
      <c r="E224" s="34" t="inlineStr">
        <is>
          <t>Sodium alginate จับกับกรดในทางเดินอาหาร แล้วเป็นเจลกันไม่ให้อาหารขึ้นไปยังหลอดอาหาร</t>
        </is>
      </c>
      <c r="F224" s="34" t="inlineStr">
        <is>
          <t>Sodium alginate เพิ่ม pH ในตำรับ</t>
        </is>
      </c>
      <c r="G224" s="34" t="inlineStr">
        <is>
          <t>Sodium bicarbonate ดูดซึมได้ดี</t>
        </is>
      </c>
      <c r="H224" s="34" t="inlineStr">
        <is>
          <t>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t>
        </is>
      </c>
      <c r="I224" s="35" t="n">
        <v>1</v>
      </c>
      <c r="J224" s="34" t="inlineStr">
        <is>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4" s="35" t="n"/>
      <c r="L224" s="34" t="inlineStr">
        <is>
          <t>Liquid &amp; Semisolid Dosage Forms</t>
        </is>
      </c>
      <c r="M224" s="35" t="inlineStr">
        <is>
          <t>Product</t>
        </is>
      </c>
      <c r="N224" s="34" t="inlineStr">
        <is>
          <t>ข้อสอบจริง Product ปี 2563 ข้อ 57</t>
        </is>
      </c>
      <c r="O224" s="35" t="inlineStr">
        <is>
          <t>ข้อสอบจริง</t>
        </is>
      </c>
      <c r="P224" s="35" t="inlineStr">
        <is>
          <t>ปี 2563</t>
        </is>
      </c>
    </row>
    <row r="225" ht="409.6" customHeight="1" s="49">
      <c r="A225" s="35" t="n">
        <v>223</v>
      </c>
      <c r="B225" s="34" t="inlineStr">
        <is>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is>
      </c>
      <c r="C225" s="35" t="n"/>
      <c r="D225" s="34" t="inlineStr">
        <is>
          <t>Citric acid, sodium bicarbonate</t>
        </is>
      </c>
      <c r="E225" s="34" t="inlineStr">
        <is>
          <t>Citric acid, sodium benzoate</t>
        </is>
      </c>
      <c r="F225" s="34" t="inlineStr">
        <is>
          <t>Tartaric acid, PVP K30</t>
        </is>
      </c>
      <c r="G225" s="34" t="inlineStr">
        <is>
          <t>Tartaric acid, sodium saccharin</t>
        </is>
      </c>
      <c r="H225" s="34" t="inlineStr">
        <is>
          <t>Sodium saccharin, PVP K30 |</t>
        </is>
      </c>
      <c r="I225" s="35" t="n">
        <v>1</v>
      </c>
      <c r="J225" s="34" t="inlineStr">
        <is>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5" s="35" t="n"/>
      <c r="L225" s="34" t="inlineStr">
        <is>
          <t>Liquid &amp; Semisolid Dosage Forms</t>
        </is>
      </c>
      <c r="M225" s="35" t="inlineStr">
        <is>
          <t>Product</t>
        </is>
      </c>
      <c r="N225" s="34" t="inlineStr">
        <is>
          <t>ข้อสอบจริง Product ปี 2562 ข้อ 3</t>
        </is>
      </c>
      <c r="O225" s="35" t="inlineStr">
        <is>
          <t>ข้อสอบจริง</t>
        </is>
      </c>
      <c r="P225" s="35" t="inlineStr">
        <is>
          <t>ปี 2562</t>
        </is>
      </c>
    </row>
    <row r="226" ht="409.6" customHeight="1" s="49">
      <c r="A226" s="35" t="n">
        <v>224</v>
      </c>
      <c r="B226" s="34" t="inlineStr">
        <is>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is>
      </c>
      <c r="C226" s="35" t="n"/>
      <c r="D226" s="34" t="inlineStr">
        <is>
          <t>Lactose</t>
        </is>
      </c>
      <c r="E226" s="34" t="inlineStr">
        <is>
          <t>PEG 8000</t>
        </is>
      </c>
      <c r="F226" s="34" t="inlineStr">
        <is>
          <t>PVP K30</t>
        </is>
      </c>
      <c r="G226" s="34" t="inlineStr">
        <is>
          <t>Colloidal silica dioxide</t>
        </is>
      </c>
      <c r="H226" s="34" t="inlineStr">
        <is>
          <t>Croscarmellose sodium |</t>
        </is>
      </c>
      <c r="I226" s="35" t="n">
        <v>1</v>
      </c>
      <c r="J226" s="34" t="inlineStr">
        <is>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6" s="35" t="n"/>
      <c r="L226" s="34" t="inlineStr">
        <is>
          <t>Liquid &amp; Semisolid Dosage Forms</t>
        </is>
      </c>
      <c r="M226" s="35" t="inlineStr">
        <is>
          <t>Product</t>
        </is>
      </c>
      <c r="N226" s="34" t="inlineStr">
        <is>
          <t>ข้อสอบจริง Product ปี 2562 ข้อ 4</t>
        </is>
      </c>
      <c r="O226" s="35" t="inlineStr">
        <is>
          <t>ข้อสอบจริง</t>
        </is>
      </c>
      <c r="P226" s="35" t="inlineStr">
        <is>
          <t>ปี 2562</t>
        </is>
      </c>
    </row>
    <row r="227" ht="409.6" customHeight="1" s="49">
      <c r="A227" s="35" t="n">
        <v>225</v>
      </c>
      <c r="B227" s="34" t="inlineStr">
        <is>
          <t>สารใดไม่ใช้เป็น stiffening agent ของสูตรตำรับยาครีม</t>
        </is>
      </c>
      <c r="C227" s="35" t="n"/>
      <c r="D227" s="34" t="inlineStr">
        <is>
          <t>Beeswax</t>
        </is>
      </c>
      <c r="E227" s="34" t="inlineStr">
        <is>
          <t>PEG-4000</t>
        </is>
      </c>
      <c r="F227" s="34" t="inlineStr">
        <is>
          <t>Paraffin wax</t>
        </is>
      </c>
      <c r="G227" s="34" t="inlineStr">
        <is>
          <t>Isopropyl myristate</t>
        </is>
      </c>
      <c r="H227" s="34" t="inlineStr">
        <is>
          <t>Cytostearyl alcohol</t>
        </is>
      </c>
      <c r="I227" s="35" t="n">
        <v>1</v>
      </c>
      <c r="J227" s="34" t="inlineStr">
        <is>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7" s="35" t="n"/>
      <c r="L227" s="34" t="inlineStr">
        <is>
          <t>Liquid &amp; Semisolid Dosage Forms</t>
        </is>
      </c>
      <c r="M227" s="35" t="inlineStr">
        <is>
          <t>Product</t>
        </is>
      </c>
      <c r="N227" s="34" t="inlineStr">
        <is>
          <t>ข้อสอบจริง Product ปี 2561 ข้อ 8</t>
        </is>
      </c>
      <c r="O227" s="35" t="inlineStr">
        <is>
          <t>ข้อสอบจริง</t>
        </is>
      </c>
      <c r="P227" s="35" t="inlineStr">
        <is>
          <t>ปี 2561</t>
        </is>
      </c>
    </row>
    <row r="228" ht="409.6" customHeight="1" s="49">
      <c r="A228" s="35" t="n">
        <v>226</v>
      </c>
      <c r="B228" s="34" t="inlineStr">
        <is>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is>
      </c>
      <c r="C228" s="35" t="inlineStr">
        <is>
          <t>[แนบรูป: ข้อสอบ Product ปี 2561 รหัสรูปภาพ image103]</t>
        </is>
      </c>
      <c r="D228" s="34" t="inlineStr">
        <is>
          <t>เติม tragacanth ในตำรับ O/W</t>
        </is>
      </c>
      <c r="E228" s="34" t="inlineStr">
        <is>
          <t>เติม sodium chloride ในตำรับ O/W</t>
        </is>
      </c>
      <c r="F228" s="34" t="inlineStr">
        <is>
          <t>เติม sodium benzoate ในตำรับ O/W</t>
        </is>
      </c>
      <c r="G228" s="34" t="inlineStr">
        <is>
          <t>ใช้เครื่อง ball mill ในการเตรียมตำรับ O/W</t>
        </is>
      </c>
      <c r="H228" s="34" t="inlineStr">
        <is>
          <t>เติม hydroxyethyl cellulose ในตำรับ O/W</t>
        </is>
      </c>
      <c r="I228" s="35" t="n">
        <v>1</v>
      </c>
      <c r="J228" s="34" t="inlineStr">
        <is>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8" s="35" t="n"/>
      <c r="L228" s="34" t="inlineStr">
        <is>
          <t>Liquid &amp; Semisolid Dosage Forms</t>
        </is>
      </c>
      <c r="M228" s="35" t="inlineStr">
        <is>
          <t>Product</t>
        </is>
      </c>
      <c r="N228" s="34" t="inlineStr">
        <is>
          <t>ข้อสอบจริง Product ปี 2561 ข้อ 10</t>
        </is>
      </c>
      <c r="O228" s="35" t="inlineStr">
        <is>
          <t>ข้อสอบจริง</t>
        </is>
      </c>
      <c r="P228" s="35" t="inlineStr">
        <is>
          <t>ปี 2561</t>
        </is>
      </c>
    </row>
    <row r="229" ht="409.6" customHeight="1" s="49">
      <c r="A229" s="35" t="n">
        <v>227</v>
      </c>
      <c r="B229" s="34" t="inlineStr">
        <is>
          <t>ส่วนประกอบของ isotretinoinจากตำรับเป็นยาในรูปแบบใด [แนบรูป: ข้อสอบ Product ปี 2561 รหัสรูปภาพ image105]</t>
        </is>
      </c>
      <c r="C229" s="35" t="inlineStr">
        <is>
          <t>[แนบรูป: ข้อสอบ Product ปี 2561 รหัสรูปภาพ image105]</t>
        </is>
      </c>
      <c r="D229" s="34" t="inlineStr">
        <is>
          <t>Cream</t>
        </is>
      </c>
      <c r="E229" s="34" t="inlineStr">
        <is>
          <t>Ointment</t>
        </is>
      </c>
      <c r="F229" s="34" t="inlineStr">
        <is>
          <t>Enteric capsule</t>
        </is>
      </c>
      <c r="G229" s="34" t="inlineStr">
        <is>
          <t>Hard gelatin capsule</t>
        </is>
      </c>
      <c r="H229" s="34" t="inlineStr">
        <is>
          <t>Soft gelatin capsule</t>
        </is>
      </c>
      <c r="I229" s="35" t="n">
        <v>1</v>
      </c>
      <c r="J229" s="34" t="inlineStr">
        <is>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9" s="35" t="n"/>
      <c r="L229" s="34" t="inlineStr">
        <is>
          <t>Liquid &amp; Semisolid Dosage Forms</t>
        </is>
      </c>
      <c r="M229" s="35" t="inlineStr">
        <is>
          <t>Product</t>
        </is>
      </c>
      <c r="N229" s="34" t="inlineStr">
        <is>
          <t>ข้อสอบจริง Product ปี 2561 ข้อ 16</t>
        </is>
      </c>
      <c r="O229" s="35" t="inlineStr">
        <is>
          <t>ข้อสอบจริง</t>
        </is>
      </c>
      <c r="P229" s="35" t="inlineStr">
        <is>
          <t>ปี 2561</t>
        </is>
      </c>
    </row>
    <row r="230" ht="409.6" customHeight="1" s="49">
      <c r="A230" s="35" t="n">
        <v>228</v>
      </c>
      <c r="B230" s="34" t="inlineStr">
        <is>
          <t>HCTZ suspension 50 ml ตั้งทิ้งไว้ 4 สัปดาห์ได้ F = 0.5 และ β=1 ต้องแก้ไขตำรับอย่างไร</t>
        </is>
      </c>
      <c r="C230" s="35" t="n"/>
      <c r="D230" s="34" t="inlineStr">
        <is>
          <t>เพิ่ม sodium metabisulfite</t>
        </is>
      </c>
      <c r="E230" s="34" t="inlineStr">
        <is>
          <t>เพิ่ม paraben concentration</t>
        </is>
      </c>
      <c r="F230" s="34" t="inlineStr">
        <is>
          <t>เปลี่ยน saccharin sodium เป็น syrup</t>
        </is>
      </c>
      <c r="G230" s="34" t="inlineStr">
        <is>
          <t>เพิ่ม sodium carboxyl methyl cellulose</t>
        </is>
      </c>
      <c r="H230" s="34" t="inlineStr">
        <is>
          <t>เป็นตำรับที่มีความคงตัวอยู่แล้ว ไม่ต้องแก้ไขสูตรตำรับแต่อย่างใด</t>
        </is>
      </c>
      <c r="I230" s="35" t="n">
        <v>1</v>
      </c>
      <c r="J230" s="34" t="inlineStr">
        <is>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0" s="35" t="n"/>
      <c r="L230" s="34" t="inlineStr">
        <is>
          <t>Liquid &amp; Semisolid Dosage Forms</t>
        </is>
      </c>
      <c r="M230" s="35" t="inlineStr">
        <is>
          <t>Product</t>
        </is>
      </c>
      <c r="N230" s="34" t="inlineStr">
        <is>
          <t>ข้อสอบจริง Product ปี 2561 ข้อ 45</t>
        </is>
      </c>
      <c r="O230" s="35" t="inlineStr">
        <is>
          <t>ข้อสอบจริง</t>
        </is>
      </c>
      <c r="P230" s="35" t="inlineStr">
        <is>
          <t>ปี 2561</t>
        </is>
      </c>
    </row>
    <row r="231" ht="409.6" customHeight="1" s="49">
      <c r="A231" s="35" t="n">
        <v>229</v>
      </c>
      <c r="B231" s="34" t="inlineStr">
        <is>
          <t>จากสูตรตำรับข้อใดถูกต้อง (สูตรตำรับยา A ประกอบไปด้วย Glycerin, Lanolin, White wax, Stearic acid, Purified water, Triethanolamine, Isopropyl myristate, Cetostearyl alcohol)</t>
        </is>
      </c>
      <c r="C231" s="35" t="n"/>
      <c r="D231" s="34" t="inlineStr">
        <is>
          <t>Glycerin ทำหน้าที่เป็น humectant</t>
        </is>
      </c>
      <c r="E231" s="34" t="inlineStr">
        <is>
          <t>Lanolin ทำหน้าที่เป็น stiffening agent</t>
        </is>
      </c>
      <c r="F231" s="34" t="inlineStr">
        <is>
          <t>Isopropyl myristate ทำหน้าที่เป็น humectant</t>
        </is>
      </c>
      <c r="G231" s="34" t="inlineStr">
        <is>
          <t>Triethanolamine ทำหน้าที่เป็น emulsifying agent</t>
        </is>
      </c>
      <c r="H231" s="34" t="inlineStr">
        <is>
          <t>Cetosteryl alcohol ทำหน้าที่เป็น suspending agent</t>
        </is>
      </c>
      <c r="I231" s="35" t="n">
        <v>1</v>
      </c>
      <c r="J231" s="34" t="inlineStr">
        <is>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1" s="35" t="n"/>
      <c r="L231" s="34" t="inlineStr">
        <is>
          <t>Liquid &amp; Semisolid Dosage Forms</t>
        </is>
      </c>
      <c r="M231" s="35" t="inlineStr">
        <is>
          <t>Product</t>
        </is>
      </c>
      <c r="N231" s="34" t="inlineStr">
        <is>
          <t>ข้อสอบจริง Product ปี 2561 ข้อ 48</t>
        </is>
      </c>
      <c r="O231" s="35" t="inlineStr">
        <is>
          <t>ข้อสอบจริง</t>
        </is>
      </c>
      <c r="P231" s="35" t="inlineStr">
        <is>
          <t>ปี 2561</t>
        </is>
      </c>
    </row>
    <row r="232" ht="409.6" customHeight="1" s="49">
      <c r="A232" s="35" t="n">
        <v>230</v>
      </c>
      <c r="B232" s="34" t="inlineStr">
        <is>
          <t>หากต้องการเตรียมยา suspension โดยที่ผงยามีประจุ \+ flocculation agent และ suspending agent ควรจะมีประจุอะไร</t>
        </is>
      </c>
      <c r="C232" s="35" t="n"/>
      <c r="D232" s="34" t="inlineStr">
        <is>
          <t>\+,+</t>
        </is>
      </c>
      <c r="E232" s="34" t="inlineStr">
        <is>
          <t>\+,-</t>
        </is>
      </c>
      <c r="F232" s="34" t="inlineStr">
        <is>
          <t>-,+</t>
        </is>
      </c>
      <c r="G232" s="34" t="inlineStr">
        <is>
          <t>-,-</t>
        </is>
      </c>
      <c r="H232" s="34" t="inlineStr">
        <is>
          <t>\+, ไม่มีประจุ</t>
        </is>
      </c>
      <c r="I232" s="35" t="n">
        <v>1</v>
      </c>
      <c r="J232" s="34" t="inlineStr">
        <is>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2" s="35" t="n"/>
      <c r="L232" s="34" t="inlineStr">
        <is>
          <t>Liquid &amp; Semisolid Dosage Forms</t>
        </is>
      </c>
      <c r="M232" s="35" t="inlineStr">
        <is>
          <t>Product</t>
        </is>
      </c>
      <c r="N232" s="34" t="inlineStr">
        <is>
          <t>ข้อสอบจริง Product ปี 2561 ข้อ 56</t>
        </is>
      </c>
      <c r="O232" s="35" t="inlineStr">
        <is>
          <t>ข้อสอบจริง</t>
        </is>
      </c>
      <c r="P232" s="35" t="inlineStr">
        <is>
          <t>ปี 2561</t>
        </is>
      </c>
    </row>
    <row r="233" ht="409.6" customHeight="1" s="49">
      <c r="A233" s="35" t="n">
        <v>231</v>
      </c>
      <c r="B233" s="34" t="inlineStr">
        <is>
          <t>จากสูตรตำรับข้างต้นใช้วิธีการเตรียมแบบใด (สูตรตำรับ: Isopropyl myristate, Cetostearyl alcohol, Lanolin, Stearic acid, White wax, NaOH, Glycerin, Purified water qs to 100 ml)</t>
        </is>
      </c>
      <c r="C233" s="35" t="n"/>
      <c r="D233" s="34" t="inlineStr">
        <is>
          <t>In situ</t>
        </is>
      </c>
      <c r="E233" s="34" t="inlineStr">
        <is>
          <t>Bottle method</t>
        </is>
      </c>
      <c r="F233" s="34" t="inlineStr">
        <is>
          <t>Beaker method</t>
        </is>
      </c>
      <c r="G233" s="34" t="inlineStr">
        <is>
          <t>Dry gum method</t>
        </is>
      </c>
      <c r="H233" s="34" t="inlineStr">
        <is>
          <t>Wet gum method</t>
        </is>
      </c>
      <c r="I233" s="35" t="n">
        <v>1</v>
      </c>
      <c r="J233" s="34" t="inlineStr">
        <is>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3" s="35" t="n"/>
      <c r="L233" s="34" t="inlineStr">
        <is>
          <t>Liquid &amp; Semisolid Dosage Forms</t>
        </is>
      </c>
      <c r="M233" s="35" t="inlineStr">
        <is>
          <t>Product</t>
        </is>
      </c>
      <c r="N233" s="34" t="inlineStr">
        <is>
          <t>ข้อสอบจริง Product ปี 2561 ข้อ 59</t>
        </is>
      </c>
      <c r="O233" s="35" t="inlineStr">
        <is>
          <t>ข้อสอบจริง</t>
        </is>
      </c>
      <c r="P233" s="35" t="inlineStr">
        <is>
          <t>ปี 2561</t>
        </is>
      </c>
    </row>
    <row r="234" ht="409.6" customHeight="1" s="49">
      <c r="A234" s="35" t="n">
        <v>232</v>
      </c>
      <c r="B234" s="34" t="inlineStr">
        <is>
          <t>กรณีถ้าส่องด้วยกล้องจุลทรรศน์ (optical microscope) จะเห็นลักษณะของอนุภาคอย่างไร</t>
        </is>
      </c>
      <c r="C234" s="35" t="n"/>
      <c r="D234" s="34" t="inlineStr">
        <is>
          <t>อนุภาค colloidal</t>
        </is>
      </c>
      <c r="E234" s="34" t="inlineStr">
        <is>
          <t>อนุภาค oil phase</t>
        </is>
      </c>
      <c r="F234" s="34" t="inlineStr">
        <is>
          <t>อนุภาค suspension</t>
        </is>
      </c>
      <c r="G234" s="34" t="inlineStr">
        <is>
          <t>อนุภาค water phase</t>
        </is>
      </c>
      <c r="H234" s="34" t="inlineStr">
        <is>
          <t>ไม่เห็นอนุภาคเพราะเป็น molecular dispersion</t>
        </is>
      </c>
      <c r="I234" s="35" t="n">
        <v>1</v>
      </c>
      <c r="J234" s="34" t="inlineStr">
        <is>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4" s="35" t="n"/>
      <c r="L234" s="34" t="inlineStr">
        <is>
          <t>Liquid &amp; Semisolid Dosage Forms</t>
        </is>
      </c>
      <c r="M234" s="35" t="inlineStr">
        <is>
          <t>Product</t>
        </is>
      </c>
      <c r="N234" s="34" t="inlineStr">
        <is>
          <t>ข้อสอบจริง Product ปี 2561 ข้อ 60</t>
        </is>
      </c>
      <c r="O234" s="35" t="inlineStr">
        <is>
          <t>ข้อสอบจริง</t>
        </is>
      </c>
      <c r="P234" s="35" t="inlineStr">
        <is>
          <t>ปี 2561</t>
        </is>
      </c>
    </row>
    <row r="235" ht="409.6" customHeight="1" s="49">
      <c r="A235" s="35" t="n">
        <v>233</v>
      </c>
      <c r="B235" s="34" t="inlineStr">
        <is>
          <t>ข้อใดผิดเกี่ยวกับ aerosol</t>
        </is>
      </c>
      <c r="C235" s="35" t="n"/>
      <c r="D235" s="34" t="inlineStr">
        <is>
          <t>สารขับดันมีผลต่อลักษณะของขนาดอนุภาค</t>
        </is>
      </c>
      <c r="E235" s="34" t="inlineStr">
        <is>
          <t>ผลิตภัณฑ์มีในลักษณะปิดสนิท สามารถเก็บที่ใดก็ได้</t>
        </is>
      </c>
      <c r="F235" s="34" t="inlineStr">
        <is>
          <t>เลือก valve ให้เหมาะสมเพื่อกำหนดลักษณะของผงยา</t>
        </is>
      </c>
      <c r="G235" s="34" t="inlineStr">
        <is>
          <t>ขนาดอนุภาคมีผลต่อตำแหน่งเป้าหมายในการออกฤทธิ์</t>
        </is>
      </c>
      <c r="H235" s="34" t="inlineStr">
        <is>
          <t>เตรียมอยู่ในรูป solution หรือ suspension หรือ emulsion</t>
        </is>
      </c>
      <c r="I235" s="35" t="n">
        <v>1</v>
      </c>
      <c r="J235" s="34" t="inlineStr">
        <is>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5" s="35" t="n"/>
      <c r="L235" s="34" t="inlineStr">
        <is>
          <t>Liquid &amp; Semisolid Dosage Forms</t>
        </is>
      </c>
      <c r="M235" s="35" t="inlineStr">
        <is>
          <t>Product</t>
        </is>
      </c>
      <c r="N235" s="34" t="inlineStr">
        <is>
          <t>ข้อสอบจริง Product ปี 2561 ข้อ 75</t>
        </is>
      </c>
      <c r="O235" s="35" t="inlineStr">
        <is>
          <t>ข้อสอบจริง</t>
        </is>
      </c>
      <c r="P235" s="35" t="inlineStr">
        <is>
          <t>ปี 2561</t>
        </is>
      </c>
    </row>
    <row r="236" ht="409.6" customHeight="1" s="49">
      <c r="A236" s="35" t="n">
        <v>234</v>
      </c>
      <c r="B236" s="34" t="inlineStr">
        <is>
          <t>ตำรับเกิด creaming rate เร็ว เกิดจากอะไร เมื่อพิจารณาจาก Stroke's law</t>
        </is>
      </c>
      <c r="C236" s="35" t="n"/>
      <c r="D236" s="34" t="inlineStr">
        <is>
          <t>นำตำรับไปไว้ที่อุณหภูมิสูง</t>
        </is>
      </c>
      <c r="E236" s="34" t="inlineStr">
        <is>
          <t>เพิ่มความหนืดของอนุภาคภายใน</t>
        </is>
      </c>
      <c r="F236" s="34" t="inlineStr">
        <is>
          <t>ลดความแตกต่างระหว่างอนุภาค</t>
        </is>
      </c>
      <c r="G236" s="34" t="inlineStr">
        <is>
          <t>ใช้ emulsifier ที่มีคุณสมบัติช่วยลดขนาดอนุภาคอิมัลชันได้</t>
        </is>
      </c>
      <c r="H236" s="34" t="inlineStr">
        <is>
          <t>นำตำรับไปลดขนาดอนุภาคด้วย High pressure homogenizer</t>
        </is>
      </c>
      <c r="I236" s="35" t="n">
        <v>1</v>
      </c>
      <c r="J236" s="34" t="inlineStr">
        <is>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6" s="35" t="n"/>
      <c r="L236" s="34" t="inlineStr">
        <is>
          <t>Liquid &amp; Semisolid Dosage Forms</t>
        </is>
      </c>
      <c r="M236" s="35" t="inlineStr">
        <is>
          <t>Product</t>
        </is>
      </c>
      <c r="N236" s="34" t="inlineStr">
        <is>
          <t>ข้อสอบจริง Product ปี 2561 ข้อ 89</t>
        </is>
      </c>
      <c r="O236" s="35" t="inlineStr">
        <is>
          <t>ข้อสอบจริง</t>
        </is>
      </c>
      <c r="P236" s="35" t="inlineStr">
        <is>
          <t>ปี 2561</t>
        </is>
      </c>
    </row>
    <row r="237" ht="409.6" customHeight="1" s="49">
      <c r="A237" s="35" t="n">
        <v>235</v>
      </c>
      <c r="B237" s="34" t="inlineStr">
        <is>
          <t>ถ้าเตรียมตำรับ piroxicam gel ควรใช้ gelling agent ตัวใดที่เมื่อใช้ด่างแล้วจะทำให้เจลที่ได้มีลักษณะใส</t>
        </is>
      </c>
      <c r="C237" s="35" t="n"/>
      <c r="D237" s="34" t="inlineStr">
        <is>
          <t>Carbomer</t>
        </is>
      </c>
      <c r="E237" s="34" t="inlineStr">
        <is>
          <t>Sodium alginate</t>
        </is>
      </c>
      <c r="F237" s="34" t="inlineStr">
        <is>
          <t>Methylcellulose</t>
        </is>
      </c>
      <c r="G237" s="34" t="inlineStr">
        <is>
          <t>Hydroxypropyl methylcellulose</t>
        </is>
      </c>
      <c r="H237" s="34" t="inlineStr">
        <is>
          <t>Sodium carboxyl methylcellulose</t>
        </is>
      </c>
      <c r="I237" s="35" t="n">
        <v>1</v>
      </c>
      <c r="J237" s="34" t="inlineStr">
        <is>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7" s="35" t="n"/>
      <c r="L237" s="34" t="inlineStr">
        <is>
          <t>Liquid &amp; Semisolid Dosage Forms</t>
        </is>
      </c>
      <c r="M237" s="35" t="inlineStr">
        <is>
          <t>Product</t>
        </is>
      </c>
      <c r="N237" s="34" t="inlineStr">
        <is>
          <t>ข้อสอบจริง Product ปี 2561 ข้อ 95</t>
        </is>
      </c>
      <c r="O237" s="35" t="inlineStr">
        <is>
          <t>ข้อสอบจริง</t>
        </is>
      </c>
      <c r="P237" s="35" t="inlineStr">
        <is>
          <t>ปี 2561</t>
        </is>
      </c>
    </row>
    <row r="238" ht="409.6" customHeight="1" s="49">
      <c r="A238" s="35" t="n">
        <v>236</v>
      </c>
      <c r="B238" s="34" t="inlineStr">
        <is>
          <t>ตำรับ budesonide nasal spray รูปแบบ suspension ประกอบด้วย Microcrystalline cellulose, Carboxymethyl cellulose sodium, Dextrose anhydrous, Polysorbate 80, Disodium edetate, Purified water, HCl สารใดทำหน้าที่เป็น wetting agent</t>
        </is>
      </c>
      <c r="C238" s="35" t="n"/>
      <c r="D238" s="34" t="inlineStr">
        <is>
          <t>Polysorbate 80</t>
        </is>
      </c>
      <c r="E238" s="34" t="inlineStr">
        <is>
          <t>Disodium edetate</t>
        </is>
      </c>
      <c r="F238" s="34" t="inlineStr">
        <is>
          <t>Dextrose anhydrous</t>
        </is>
      </c>
      <c r="G238" s="34" t="inlineStr">
        <is>
          <t>Microcrystalline cellulose</t>
        </is>
      </c>
      <c r="H238" s="34" t="inlineStr">
        <is>
          <t>Carboxymethyl cellulose sodium</t>
        </is>
      </c>
      <c r="I238" s="35" t="n">
        <v>1</v>
      </c>
      <c r="J238" s="34" t="inlineStr">
        <is>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8" s="35" t="n"/>
      <c r="L238" s="34" t="inlineStr">
        <is>
          <t>Liquid &amp; Semisolid Dosage Forms</t>
        </is>
      </c>
      <c r="M238" s="35" t="inlineStr">
        <is>
          <t>Product</t>
        </is>
      </c>
      <c r="N238" s="34" t="inlineStr">
        <is>
          <t>ข้อสอบจริง Product ปี 2561 ข้อ 112</t>
        </is>
      </c>
      <c r="O238" s="35" t="inlineStr">
        <is>
          <t>ข้อสอบจริง</t>
        </is>
      </c>
      <c r="P238" s="35" t="inlineStr">
        <is>
          <t>ปี 2561</t>
        </is>
      </c>
    </row>
    <row r="239" ht="409.6" customHeight="1" s="49">
      <c r="A239" s="35" t="n">
        <v>237</v>
      </c>
      <c r="B239" s="34" t="inlineStr">
        <is>
          <t>Phynetoin SR มีส่วนผสมคือ phenytoin, lactose, magnesium, sugar แต่การทดสอบพบว่ามีปริมาณตัวยาในแต่ละเม็ดไม่สม่ำเสมอควรเติมสารช่วยอะไร</t>
        </is>
      </c>
      <c r="C239" s="35" t="n"/>
      <c r="D239" s="34" t="inlineStr">
        <is>
          <t>Silicon dioxide</t>
        </is>
      </c>
      <c r="E239" s="34" t="inlineStr">
        <is>
          <t>Microcrystalline cellulose</t>
        </is>
      </c>
      <c r="F239" s="34" t="inlineStr">
        <is>
          <t>Starch</t>
        </is>
      </c>
      <c r="G239" s="34" t="inlineStr">
        <is>
          <t>Gelatin</t>
        </is>
      </c>
      <c r="H239" s="34" t="inlineStr">
        <is>
          <t>Polyvinyl pyrrolidone</t>
        </is>
      </c>
      <c r="I239" s="35" t="n">
        <v>1</v>
      </c>
      <c r="J239" s="34" t="inlineStr">
        <is>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9" s="35" t="n"/>
      <c r="L239" s="34" t="inlineStr">
        <is>
          <t>Liquid &amp; Semisolid Dosage Forms</t>
        </is>
      </c>
      <c r="M239" s="35" t="inlineStr">
        <is>
          <t>Product</t>
        </is>
      </c>
      <c r="N239" s="34" t="inlineStr">
        <is>
          <t>ข้อสอบจริง Product ปี 2559 ข้อ 7</t>
        </is>
      </c>
      <c r="O239" s="35" t="inlineStr">
        <is>
          <t>ข้อสอบจริง</t>
        </is>
      </c>
      <c r="P239" s="35" t="inlineStr">
        <is>
          <t>ปี 2559</t>
        </is>
      </c>
    </row>
    <row r="240" ht="409.6" customHeight="1" s="49">
      <c r="A240" s="35" t="n">
        <v>238</v>
      </c>
      <c r="B240" s="34" t="inlineStr">
        <is>
          <t>สารเพิ่มความยืดหยุ่น (plasticizer) ใน soft gelatin capsule คือสารใด</t>
        </is>
      </c>
      <c r="C240" s="35" t="n"/>
      <c r="D240" s="34" t="inlineStr">
        <is>
          <t>HPMC</t>
        </is>
      </c>
      <c r="E240" s="34" t="inlineStr">
        <is>
          <t>Shellac</t>
        </is>
      </c>
      <c r="F240" s="34" t="inlineStr">
        <is>
          <t>Eudragit L</t>
        </is>
      </c>
      <c r="G240" s="34" t="inlineStr">
        <is>
          <t>Cellulose acetate phthalate</t>
        </is>
      </c>
      <c r="H240" s="34" t="inlineStr">
        <is>
          <t>PEG</t>
        </is>
      </c>
      <c r="I240" s="35" t="n">
        <v>1</v>
      </c>
      <c r="J240" s="34" t="inlineStr">
        <is>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0" s="35" t="n"/>
      <c r="L240" s="34" t="inlineStr">
        <is>
          <t>Liquid &amp; Semisolid Dosage Forms</t>
        </is>
      </c>
      <c r="M240" s="35" t="inlineStr">
        <is>
          <t>Product</t>
        </is>
      </c>
      <c r="N240" s="34" t="inlineStr">
        <is>
          <t>ข้อสอบจริง Product ปี 2559 ข้อ 5</t>
        </is>
      </c>
      <c r="O240" s="35" t="inlineStr">
        <is>
          <t>ข้อสอบจริง</t>
        </is>
      </c>
      <c r="P240" s="35" t="inlineStr">
        <is>
          <t>ปี 2559</t>
        </is>
      </c>
    </row>
    <row r="241" ht="409.6" customHeight="1" s="49">
      <c r="A241" s="35" t="n">
        <v>239</v>
      </c>
      <c r="B241" s="34"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241" s="35" t="n"/>
      <c r="D241" s="34" t="inlineStr">
        <is>
          <t>Eudragit L</t>
        </is>
      </c>
      <c r="E241" s="34" t="inlineStr">
        <is>
          <t>Shellac</t>
        </is>
      </c>
      <c r="F241" s="34" t="inlineStr">
        <is>
          <t>HPMC (Hydroxypropyl methylcellulose)</t>
        </is>
      </c>
      <c r="G241" s="34" t="inlineStr">
        <is>
          <t>HPMCP (Hydroxypropyl methylcellulose phthalate)</t>
        </is>
      </c>
      <c r="H241" s="34" t="inlineStr">
        <is>
          <t>EC (Ethylcellulose)</t>
        </is>
      </c>
      <c r="I241" s="35" t="n">
        <v>1</v>
      </c>
      <c r="J241" s="34" t="inlineStr">
        <is>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1" s="35" t="n"/>
      <c r="L241" s="34" t="inlineStr">
        <is>
          <t>Liquid &amp; Semisolid Dosage Forms</t>
        </is>
      </c>
      <c r="M241" s="35" t="inlineStr">
        <is>
          <t>Product</t>
        </is>
      </c>
      <c r="N241" s="34" t="inlineStr">
        <is>
          <t>ข้อสอบจริง Product ปี 2558 ข้อ 17</t>
        </is>
      </c>
      <c r="O241" s="35" t="inlineStr">
        <is>
          <t>ข้อสอบจริง</t>
        </is>
      </c>
      <c r="P241" s="35" t="inlineStr">
        <is>
          <t>ปี 2558</t>
        </is>
      </c>
    </row>
    <row r="242" ht="409.6" customHeight="1" s="49">
      <c r="A242" s="35" t="n">
        <v>240</v>
      </c>
      <c r="B242" s="34"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242" s="35" t="n"/>
      <c r="D242" s="34" t="inlineStr">
        <is>
          <t>Acacia</t>
        </is>
      </c>
      <c r="E242" s="34" t="inlineStr">
        <is>
          <t>Alginate</t>
        </is>
      </c>
      <c r="F242" s="34" t="inlineStr">
        <is>
          <t>Gelatin</t>
        </is>
      </c>
      <c r="G242" s="34" t="inlineStr">
        <is>
          <t>Xanthan gum</t>
        </is>
      </c>
      <c r="H242" s="34" t="inlineStr">
        <is>
          <t>Pectin</t>
        </is>
      </c>
      <c r="I242" s="35" t="n">
        <v>1</v>
      </c>
      <c r="J242" s="34" t="inlineStr">
        <is>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2" s="35" t="n"/>
      <c r="L242" s="34" t="inlineStr">
        <is>
          <t>Liquid &amp; Semisolid Dosage Forms</t>
        </is>
      </c>
      <c r="M242" s="35" t="inlineStr">
        <is>
          <t>Product</t>
        </is>
      </c>
      <c r="N242" s="34" t="inlineStr">
        <is>
          <t>ข้อสอบจริง Product ปี 2558 ข้อ 24</t>
        </is>
      </c>
      <c r="O242" s="35" t="inlineStr">
        <is>
          <t>ข้อสอบจริง</t>
        </is>
      </c>
      <c r="P242" s="35" t="inlineStr">
        <is>
          <t>ปี 2558</t>
        </is>
      </c>
    </row>
    <row r="243" ht="409.6" customHeight="1" s="49">
      <c r="A243" s="35" t="n">
        <v>241</v>
      </c>
      <c r="B243" s="34" t="inlineStr">
        <is>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is>
      </c>
      <c r="C243" s="35" t="n"/>
      <c r="D243" s="34" t="inlineStr">
        <is>
          <t>Carageenan</t>
        </is>
      </c>
      <c r="E243" s="34" t="inlineStr">
        <is>
          <t>Chitosan</t>
        </is>
      </c>
      <c r="F243" s="34" t="inlineStr">
        <is>
          <t>Gelatin B</t>
        </is>
      </c>
      <c r="G243" s="34" t="inlineStr">
        <is>
          <t>Tragacanth</t>
        </is>
      </c>
      <c r="H243" s="34" t="inlineStr">
        <is>
          <t>Veegum</t>
        </is>
      </c>
      <c r="I243" s="35" t="n">
        <v>1</v>
      </c>
      <c r="J243" s="34" t="inlineStr">
        <is>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3" s="35" t="n"/>
      <c r="L243" s="34" t="inlineStr">
        <is>
          <t>Liquid &amp; Semisolid Dosage Forms</t>
        </is>
      </c>
      <c r="M243" s="35" t="inlineStr">
        <is>
          <t>Product</t>
        </is>
      </c>
      <c r="N243" s="34" t="inlineStr">
        <is>
          <t>ข้อสอบจริง Product ปี 2558 ข้อ 25</t>
        </is>
      </c>
      <c r="O243" s="35" t="inlineStr">
        <is>
          <t>ข้อสอบจริง</t>
        </is>
      </c>
      <c r="P243" s="35" t="inlineStr">
        <is>
          <t>ปี 2558</t>
        </is>
      </c>
    </row>
    <row r="244" ht="409.6" customHeight="1" s="49">
      <c r="A244" s="35" t="n">
        <v>242</v>
      </c>
      <c r="B244" s="34" t="inlineStr">
        <is>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t>
        </is>
      </c>
      <c r="C244" s="35" t="n"/>
      <c r="D244" s="34" t="inlineStr">
        <is>
          <t>2.00 g</t>
        </is>
      </c>
      <c r="E244" s="34" t="inlineStr">
        <is>
          <t>2.38 g</t>
        </is>
      </c>
      <c r="F244" s="34" t="inlineStr">
        <is>
          <t>2.40 g</t>
        </is>
      </c>
      <c r="G244" s="34" t="inlineStr">
        <is>
          <t>2.42 g</t>
        </is>
      </c>
      <c r="H244" s="34" t="inlineStr">
        <is>
          <t>2.50 g</t>
        </is>
      </c>
      <c r="I244" s="35" t="n">
        <v>1</v>
      </c>
      <c r="J244" s="34" t="inlineStr">
        <is>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4" s="35" t="n"/>
      <c r="L244" s="34" t="inlineStr">
        <is>
          <t>Liquid &amp; Semisolid Dosage Forms</t>
        </is>
      </c>
      <c r="M244" s="35" t="inlineStr">
        <is>
          <t>Product</t>
        </is>
      </c>
      <c r="N244" s="34" t="inlineStr">
        <is>
          <t>ข้อสอบจริง Product ปี 2558 ข้อ 26</t>
        </is>
      </c>
      <c r="O244" s="35" t="inlineStr">
        <is>
          <t>ข้อสอบจริง</t>
        </is>
      </c>
      <c r="P244" s="35" t="inlineStr">
        <is>
          <t>ปี 2558</t>
        </is>
      </c>
    </row>
    <row r="245" ht="409.6" customHeight="1" s="49">
      <c r="A245" s="35" t="n">
        <v>243</v>
      </c>
      <c r="B245" s="34"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245" s="35" t="n"/>
      <c r="D245" s="34" t="inlineStr">
        <is>
          <t>Aerosol Suspension</t>
        </is>
      </c>
      <c r="E245" s="34" t="inlineStr">
        <is>
          <t>Aerosol Emulsion</t>
        </is>
      </c>
      <c r="F245" s="34" t="inlineStr">
        <is>
          <t>Aerosol Solution</t>
        </is>
      </c>
      <c r="G245" s="34" t="inlineStr">
        <is>
          <t>Aerosol Powder</t>
        </is>
      </c>
      <c r="H245" s="34" t="inlineStr">
        <is>
          <t>Liposomal Aerosol</t>
        </is>
      </c>
      <c r="I245" s="35" t="n">
        <v>1</v>
      </c>
      <c r="J245" s="34" t="inlineStr">
        <is>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5" s="35" t="n"/>
      <c r="L245" s="34" t="inlineStr">
        <is>
          <t>Liquid &amp; Semisolid Dosage Forms</t>
        </is>
      </c>
      <c r="M245" s="35" t="inlineStr">
        <is>
          <t>Product</t>
        </is>
      </c>
      <c r="N245" s="34" t="inlineStr">
        <is>
          <t>ข้อสอบจริง Product ปี 2558 ข้อ 38</t>
        </is>
      </c>
      <c r="O245" s="35" t="inlineStr">
        <is>
          <t>ข้อสอบจริง</t>
        </is>
      </c>
      <c r="P245" s="35" t="inlineStr">
        <is>
          <t>ปี 2558</t>
        </is>
      </c>
    </row>
    <row r="246" ht="13.2" customHeight="1" s="49">
      <c r="A246" t="n">
        <v>244</v>
      </c>
      <c r="B246" t="inlineStr">
        <is>
          <t>Brown mixture 60 ml ขายได้ในร้านขายยาหรือไม่</t>
        </is>
      </c>
      <c r="D246" t="inlineStr">
        <is>
          <t>ขายไม่ได้เนื่องจากเป็นวัตถุออกฤทธิ์ต่อจิตและประสาท</t>
        </is>
      </c>
      <c r="E246" t="inlineStr">
        <is>
          <t>ขายได้แต่ต้องมีใบสั่งแพทย์เท่านั้น</t>
        </is>
      </c>
      <c r="F246" t="inlineStr">
        <is>
          <t>ขายได้โดยเภสัชกรเท่านั้น</t>
        </is>
      </c>
      <c r="G246" t="inlineStr">
        <is>
          <t>[NEED_REVIEW]</t>
        </is>
      </c>
      <c r="H246" t="inlineStr">
        <is>
          <t>ขายได้โดยเป็นยาที่ไม่ใช่ยาอันตรายและยาบรรจุเสร็จ</t>
        </is>
      </c>
      <c r="I246" t="inlineStr">
        <is>
          <t>4</t>
        </is>
      </c>
      <c r="J246"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6" t="inlineStr">
        <is>
          <t>Hypertension</t>
        </is>
      </c>
      <c r="M246" t="inlineStr">
        <is>
          <t>Clinic</t>
        </is>
      </c>
      <c r="N246" t="inlineStr">
        <is>
          <t>ข้อ 7 (PLE_CC1_2554 SET2.md)</t>
        </is>
      </c>
    </row>
    <row r="247" ht="13.2" customHeight="1" s="49">
      <c r="A247" t="n">
        <v>245</v>
      </c>
      <c r="B247" t="inlineStr">
        <is>
          <t>เภสัชภัณฑ์รูปแบบกึ่งแข็ง (Semisolid dosage form)</t>
        </is>
      </c>
      <c r="D247" t="inlineStr">
        <is>
          <t>ลักษณะความไม่คงสภาพที่พบส่วนใหญ่ของยาขี้ผึ้ง ยกเว้นข้อใด</t>
        </is>
      </c>
      <c r="E247" t="inlineStr">
        <is>
          <t>น้ำหนักลดลง</t>
        </is>
      </c>
      <c r="F247" t="inlineStr">
        <is>
          <t>มีการเปลี่ยนแปลงของสีและกลิ่น</t>
        </is>
      </c>
      <c r="G247" t="inlineStr">
        <is>
          <t>ความข้นหนืดเปลี่ยนไป</t>
        </is>
      </c>
      <c r="H247" t="inlineStr">
        <is>
          <t>มีน้ำมันออกมาจากยาขี้ผึ้ง</t>
        </is>
      </c>
      <c r="I247" t="inlineStr">
        <is>
          <t>1</t>
        </is>
      </c>
      <c r="J247"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7" t="inlineStr">
        <is>
          <t>Hypertension</t>
        </is>
      </c>
      <c r="M247" t="inlineStr">
        <is>
          <t>Clinic</t>
        </is>
      </c>
      <c r="N247" t="inlineStr">
        <is>
          <t>ข้อ 15 (PLE_CC1_Practice_Exam.md)</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P87"/>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8" t="inlineStr">
        <is>
          <t>2</t>
        </is>
      </c>
      <c r="B3" s="2" t="inlineStr">
        <is>
          <t>ให้ข้อมูลการทำdissolution test มีacid stage กับbuffer stage ถามเกี่ยวกับยาที่ใช้การทดสอบแบบนี้ ตัวเลือก</t>
        </is>
      </c>
      <c r="C3" s="2" t="n"/>
      <c r="D3" s="2" t="inlineStr">
        <is>
          <t>Biopharmaceutics &amp; Dissolution</t>
        </is>
      </c>
      <c r="E3" s="2" t="inlineStr">
        <is>
          <t>In Vitro Dissolution Apparatus 1 (Basket, 100 rpm)</t>
        </is>
      </c>
      <c r="F3" s="2" t="inlineStr">
        <is>
          <t>In Vitro Dissolution Apparatus 2 (Paddle, 50 rpm)</t>
        </is>
      </c>
      <c r="G3" s="2" t="inlineStr">
        <is>
          <t>Higuchi Matrix Release Kinetic model</t>
        </is>
      </c>
      <c r="H3" s="2" t="inlineStr">
        <is>
          <t>First-Order Drug Release Kinetics</t>
        </is>
      </c>
      <c r="I3" s="8" t="inlineStr">
        <is>
          <t>1</t>
        </is>
      </c>
      <c r="J3"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Dissolution testing</t>
        </is>
      </c>
      <c r="M3" s="2" t="inlineStr">
        <is>
          <t>Biopharmaceutics &amp; Dissolution</t>
        </is>
      </c>
      <c r="N3" s="2" t="inlineStr">
        <is>
          <t>PLE-CC1 ปี 2566 Day 1 ข้อ 25</t>
        </is>
      </c>
      <c r="O3" s="2" t="inlineStr">
        <is>
          <t>ข้อสอบจริง</t>
        </is>
      </c>
      <c r="P3" s="2" t="inlineStr">
        <is>
          <t>ปี 2566</t>
        </is>
      </c>
    </row>
    <row r="4" ht="13.2" customHeight="1" s="49">
      <c r="A4" s="8" t="inlineStr">
        <is>
          <t>3</t>
        </is>
      </c>
      <c r="B4" s="2" t="inlineStr">
        <is>
          <t>ให้โครงสร้าง furosemide มา ถามว่าเติมสารอะไรช่วยเพิ่มการละลายของยา</t>
        </is>
      </c>
      <c r="C4" s="2" t="n"/>
      <c r="D4" s="2" t="inlineStr">
        <is>
          <t>Biopharmaceutics &amp; Dissolution</t>
        </is>
      </c>
      <c r="E4" s="2" t="inlineStr">
        <is>
          <t>NaHCO3</t>
        </is>
      </c>
      <c r="F4" s="2" t="inlineStr">
        <is>
          <t>HCl</t>
        </is>
      </c>
      <c r="G4" s="2" t="inlineStr">
        <is>
          <t>NaCl</t>
        </is>
      </c>
      <c r="H4" s="2" t="inlineStr">
        <is>
          <t>สารชื่อยาวหน่อย bu สักอย่าง มั้ง</t>
        </is>
      </c>
      <c r="I4" s="8" t="inlineStr">
        <is>
          <t>1</t>
        </is>
      </c>
      <c r="J4"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NaHCO3 ไม่ตรงกับข้อบ่งใช้หรือกลไกการออกฤทธิ์ที่ถูกต้องตาม USP &lt;711&gt; / Biopharmaceutics Classification System (BCS)
• ข้อ ค. (HCl): HCl ไม่ตรงกับข้อบ่งใช้หรือกลไกการออกฤทธิ์ที่ถูกต้องตาม USP &lt;711&gt; / Biopharmaceutics Classification System (BCS)
• ข้อ ง. (NaCl): NaCl ไม่ตรงกับข้อบ่งใช้หรือกลไกการออกฤทธิ์ที่ถูกต้องตาม USP &lt;711&gt; / Biopharmaceutics Classification System (BCS)
• ข้อ จ. (สารชื่อยาวหน่อย bu สักอย่าง มั้ง): สารชื่อยาวหน่อย bu สักอย่าง มั้ง ไม่ตรงกับข้อบ่งใช้หรือกลไกการออกฤทธิ์ที่ถูกต้องตาม USP &lt;711&gt; / Biopharmaceutics Classification System (BCS)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2" t="n"/>
      <c r="L4" s="2" t="inlineStr">
        <is>
          <t>Dissolution testing</t>
        </is>
      </c>
      <c r="M4" s="2" t="inlineStr">
        <is>
          <t>Biopharmaceutics &amp; Dissolution</t>
        </is>
      </c>
      <c r="N4" s="2" t="inlineStr">
        <is>
          <t>PLE_CC1_2564_All_Key ข้อ 20</t>
        </is>
      </c>
      <c r="O4" s="2" t="inlineStr">
        <is>
          <t>ข้อสอบจริง</t>
        </is>
      </c>
      <c r="P4" s="2" t="inlineStr">
        <is>
          <t>ปี 2564</t>
        </is>
      </c>
    </row>
    <row r="5" ht="13.2" customHeight="1" s="49">
      <c r="A5" s="8" t="inlineStr">
        <is>
          <t>4</t>
        </is>
      </c>
      <c r="B5" s="2"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2" t="n"/>
      <c r="D5" s="2" t="inlineStr">
        <is>
          <t>Biopharmaceutics &amp; Dissolution</t>
        </is>
      </c>
      <c r="E5" s="2" t="inlineStr">
        <is>
          <t>ตัดหมู่ carboxylic group</t>
        </is>
      </c>
      <c r="F5" s="2" t="inlineStr">
        <is>
          <t>BCS Class II (Low Solubility, High Permeability)</t>
        </is>
      </c>
      <c r="G5" s="2" t="inlineStr">
        <is>
          <t>BCS Class III (High Solubility, Low Permeability)</t>
        </is>
      </c>
      <c r="H5" s="2" t="inlineStr">
        <is>
          <t>BCS Class IV (Low Solubility, Low Permeability)</t>
        </is>
      </c>
      <c r="I5" s="8" t="inlineStr">
        <is>
          <t>1</t>
        </is>
      </c>
      <c r="J5" s="2" t="inlineStr">
        <is>
          <t>✅ คำตอบที่ถูกต้อง: ข้อ ก. Biopharmaceutics &amp; Dissolution
💡 Background:
ชีวเภสัชศาสตร์และเภสัชจลนศาสตร์ (Biopharmaceutics &amp; Pharmacokinetics) การละลายของตัวยา (Dissolution), BCS classification, Bioavailability (BA) และ Bioequivalence (BE)
🎯 ทำไมข้อนี้ถึงถูก:
Biopharmaceutics &amp; Dissolution ช่วยลดอักเสบ ลดการแบ่งตัวของเซลล์ที่เกี่ยวข้องกับการอักเสบบริเวณข้อต่อ และลดการทำลายเนื้อเยื่อบริเวณข้อต่อได้ดี ซึ่งมีทั้งกลุ่ม biological และ non-biological ซึ่งยาหลัก ๆ ที่ควรรู้จักในกลุ่ม non-biological DMARDs ได้แก่ Methotrexate, Chloroquine, Hydroxychloroquine, Sulfasalazine, Penicillamine, Azathrioprine, Sodium aurothiomalate, Ciclosporin, Leflunomide, Minocycline เป็นต้น สำหรับยาในกลุ่ม NSAIDs จะใช้ในการลดอาการบวด บวม โดยการยังยั้ง
🔍 ข้ออื่นผิดเพราะอะไร:
• ข้อ ข. (ตัดหมู่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 IR (Infrared) spectroscopy วิเคราะห์ functional groups จาก stretching/bending vibrations C=O ~1700 cm-1, O-H ~3200-3550 cm-1
• ข้อ ค. (BCS Class II (Low Solubility, High Permeability)): BCS Class II (Low Solubility, High Permeability) ไม่สอดคล้องกับบทบัญญัติของ พ.ร.บ. ยา พ.ศ. 2510 หรือ พ.ร.บ. วิชาชีพเภสัชกรรม พ.ศ. 2537
• ข้อ ง. (BCS Class III (High Solubility, Low Permeability)): BCS Class III (High Solubility, Low Permeability) ไม่สอดคล้องกับบทบัญญัติของ พ.ร.บ. ยา พ.ศ. 2510 หรือ พ.ร.บ. วิชาชีพเภสัชกรรม พ.ศ. 2537
• ข้อ จ. (BCS Class IV (Low Solubility, Low Permeability)): BCS Class IV (Low Solubility, Low Permeability) ไม่สอดคล้องกับบทบัญญัติของ พ.ร.บ. ยา พ.ศ. 2510 หรือ พ.ร.บ. วิชาชีพเภสัชกรรม พ.ศ. 2537
📖 Guideline อ้างอิง:
[NEED_REVIEW]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 s="2" t="n"/>
      <c r="L5" s="2" t="inlineStr">
        <is>
          <t>Diffusion &amp; Fick's laws</t>
        </is>
      </c>
      <c r="M5" s="2" t="inlineStr">
        <is>
          <t>Biopharmaceutics &amp; Dissolution</t>
        </is>
      </c>
      <c r="N5" s="2" t="inlineStr">
        <is>
          <t>PLE_CC1_2564_All_Key ข้อ 36</t>
        </is>
      </c>
      <c r="O5" s="2" t="inlineStr">
        <is>
          <t>ข้อสอบจริง</t>
        </is>
      </c>
      <c r="P5" s="2" t="inlineStr">
        <is>
          <t>ปี 2564</t>
        </is>
      </c>
    </row>
    <row r="6" ht="13.2" customHeight="1" s="49">
      <c r="A6" s="2" t="n">
        <v>4</v>
      </c>
      <c r="B6" s="2" t="inlineStr">
        <is>
          <t>ยา simvastatin มีค่าการละลายต่ำต้องเติมส่วนประกอบใดในตำรับ X ↳monss Monitorsionin finis e eein</t>
        </is>
      </c>
      <c r="C6" s="2" t="n"/>
      <c r="D6" s="2" t="inlineStr">
        <is>
          <t>Croscamellose sodium</t>
        </is>
      </c>
      <c r="E6" s="2" t="inlineStr">
        <is>
          <t>Colloidal silicon dioxide</t>
        </is>
      </c>
      <c r="F6" s="2" t="inlineStr">
        <is>
          <t>Sodium luaryl sulfate</t>
        </is>
      </c>
      <c r="G6" s="2" t="inlineStr">
        <is>
          <t>Microcrystalline cellulose</t>
        </is>
      </c>
      <c r="H6" s="2" t="inlineStr">
        <is>
          <t>Sodium starch glycolate</t>
        </is>
      </c>
      <c r="I6" s="2" t="n">
        <v>1</v>
      </c>
      <c r="J6" s="2"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Dissolution testing</t>
        </is>
      </c>
      <c r="M6" s="2" t="inlineStr">
        <is>
          <t>Product</t>
        </is>
      </c>
      <c r="N6" s="2" t="inlineStr">
        <is>
          <t>ข้อ 77 (PLE_CC1_2562_Key.md)</t>
        </is>
      </c>
      <c r="O6" s="2" t="inlineStr">
        <is>
          <t>ข้อสอบจริง</t>
        </is>
      </c>
      <c r="P6" s="2" t="inlineStr">
        <is>
          <t>ปี 2562</t>
        </is>
      </c>
    </row>
    <row r="7" ht="13.2" customHeight="1" s="49">
      <c r="A7" s="2" t="n">
        <v>5</v>
      </c>
      <c r="B7" s="2"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2" t="n"/>
      <c r="D7" s="2" t="inlineStr">
        <is>
          <t>800 mg/d</t>
        </is>
      </c>
      <c r="E7" s="2" t="inlineStr">
        <is>
          <t>1000 mg/d</t>
        </is>
      </c>
      <c r="F7" s="2" t="inlineStr">
        <is>
          <t>1024 mg/d</t>
        </is>
      </c>
      <c r="G7" s="2" t="inlineStr">
        <is>
          <t>1280 mg/d</t>
        </is>
      </c>
      <c r="H7" s="2" t="inlineStr">
        <is>
          <t>1400 mg/d</t>
        </is>
      </c>
      <c r="I7" s="2" t="n">
        <v>1</v>
      </c>
      <c r="J7" s="2"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Dissolution testing</t>
        </is>
      </c>
      <c r="M7" s="2" t="inlineStr">
        <is>
          <t>Product</t>
        </is>
      </c>
      <c r="N7" s="2" t="inlineStr">
        <is>
          <t>ข้อ 102 (PLE_CC1_2562_Key.md)</t>
        </is>
      </c>
      <c r="O7" s="2" t="inlineStr">
        <is>
          <t>ข้อสอบจริง</t>
        </is>
      </c>
      <c r="P7" s="2" t="inlineStr">
        <is>
          <t>ปี 2562</t>
        </is>
      </c>
    </row>
    <row r="8" ht="13.2" customHeight="1" s="49">
      <c r="A8" s="2" t="n">
        <v>6</v>
      </c>
      <c r="B8" s="2"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2" t="n"/>
      <c r="D8" s="2" t="n">
        <v>7.5</v>
      </c>
      <c r="E8" s="2" t="n">
        <v>75</v>
      </c>
      <c r="F8" s="2" t="n">
        <v>60</v>
      </c>
      <c r="G8" s="2" t="n">
        <v>52.5</v>
      </c>
      <c r="H8" s="2" t="n">
        <v>20</v>
      </c>
      <c r="I8" s="2" t="n">
        <v>1</v>
      </c>
      <c r="J8" s="2"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Dissolution testing</t>
        </is>
      </c>
      <c r="M8" s="2" t="inlineStr">
        <is>
          <t>Product</t>
        </is>
      </c>
      <c r="N8" s="2" t="inlineStr">
        <is>
          <t>ข้อ 99 (PLE_CC1_2562_Key.md)</t>
        </is>
      </c>
      <c r="O8" s="2" t="inlineStr">
        <is>
          <t>ข้อสอบจริง</t>
        </is>
      </c>
      <c r="P8" s="2" t="inlineStr">
        <is>
          <t>ปี 2562</t>
        </is>
      </c>
    </row>
    <row r="9" ht="13.2" customHeight="1" s="49">
      <c r="A9" s="2" t="n">
        <v>7</v>
      </c>
      <c r="B9" s="2" t="inlineStr">
        <is>
          <t>จาก monograph ของยา carvedilol ขอใดคือเครื่องมือที่ใชในการ ทดสอบหัวขอการละลาย</t>
        </is>
      </c>
      <c r="C9" s="2" t="n"/>
      <c r="D9" s="2" t="inlineStr">
        <is>
          <t>Reciprocating cylinder</t>
        </is>
      </c>
      <c r="E9" s="2" t="inlineStr">
        <is>
          <t>Paddle apparatus</t>
        </is>
      </c>
      <c r="F9" s="2" t="inlineStr">
        <is>
          <t>Basket apparatus</t>
        </is>
      </c>
      <c r="G9" s="2" t="inlineStr">
        <is>
          <t>Flow-through cell</t>
        </is>
      </c>
      <c r="H9" s="2" t="inlineStr">
        <is>
          <t>Cell cylinder apparatus</t>
        </is>
      </c>
      <c r="I9" s="2" t="n">
        <v>1</v>
      </c>
      <c r="J9" s="2"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Dissolution testing</t>
        </is>
      </c>
      <c r="M9" s="2" t="inlineStr">
        <is>
          <t>Product</t>
        </is>
      </c>
      <c r="N9" s="2" t="inlineStr">
        <is>
          <t>ข้อ 9 (PLE_CC1_2561_Key.md)</t>
        </is>
      </c>
      <c r="O9" s="2" t="inlineStr">
        <is>
          <t>ข้อสอบจริง</t>
        </is>
      </c>
      <c r="P9" s="2" t="inlineStr">
        <is>
          <t>ปี 2561</t>
        </is>
      </c>
    </row>
    <row r="10" ht="13.2" customHeight="1" s="49">
      <c r="A10" s="2" t="n">
        <v>8</v>
      </c>
      <c r="B10" s="2" t="inlineStr">
        <is>
          <t>จากขอ 9 dissolution medium ควรจะมีอุณหภูมิเท!าใด</t>
        </is>
      </c>
      <c r="C10" s="2" t="n"/>
      <c r="D10" s="2" t="inlineStr">
        <is>
          <t>20oC ± 0.5</t>
        </is>
      </c>
      <c r="E10" s="2" t="inlineStr">
        <is>
          <t>20oC ± 2.0</t>
        </is>
      </c>
      <c r="F10" s="2" t="inlineStr">
        <is>
          <t>25oC ± 0.5</t>
        </is>
      </c>
      <c r="G10" s="2" t="inlineStr">
        <is>
          <t>25oC ± 2.0</t>
        </is>
      </c>
      <c r="H10" s="2" t="inlineStr">
        <is>
          <t>37oC ± 0.5 e</t>
        </is>
      </c>
      <c r="I10" s="2" t="n">
        <v>1</v>
      </c>
      <c r="J10" s="2"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Dissolution testing</t>
        </is>
      </c>
      <c r="M10" s="2" t="inlineStr">
        <is>
          <t>Product</t>
        </is>
      </c>
      <c r="N10" s="2" t="inlineStr">
        <is>
          <t>ข้อ 10 (PLE_CC1_2561_Key.md)</t>
        </is>
      </c>
      <c r="O10" s="2" t="inlineStr">
        <is>
          <t>ข้อสอบจริง</t>
        </is>
      </c>
      <c r="P10" s="2" t="inlineStr">
        <is>
          <t>ปี 2561</t>
        </is>
      </c>
    </row>
    <row r="11" ht="13.2" customHeight="1" s="49">
      <c r="A11" s="2" t="n">
        <v>9</v>
      </c>
      <c r="B11" s="2" t="inlineStr">
        <is>
          <t>ให(ข้อมูลการละลายยา มาถามว.าควรทำตำหรับรูปแบบใด</t>
        </is>
      </c>
      <c r="C11" s="2" t="n"/>
      <c r="D11" s="2" t="inlineStr">
        <is>
          <t>Elixir</t>
        </is>
      </c>
      <c r="E11" s="2" t="inlineStr">
        <is>
          <t>Solution</t>
        </is>
      </c>
      <c r="F11" s="2" t="inlineStr">
        <is>
          <t>Tablets</t>
        </is>
      </c>
      <c r="G11" s="2" t="inlineStr">
        <is>
          <t>Capsule</t>
        </is>
      </c>
      <c r="H11" s="2" t="inlineStr">
        <is>
          <t>Suspension</t>
        </is>
      </c>
      <c r="I11" s="2" t="n">
        <v>1</v>
      </c>
      <c r="J11" s="2"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Dissolution testing</t>
        </is>
      </c>
      <c r="M11" s="2" t="inlineStr">
        <is>
          <t>Product</t>
        </is>
      </c>
      <c r="N11" s="2" t="inlineStr">
        <is>
          <t>ข้อ 63 (PLE_CC1_2561_Key.md)</t>
        </is>
      </c>
      <c r="O11" s="2" t="inlineStr">
        <is>
          <t>ข้อสอบจริง</t>
        </is>
      </c>
      <c r="P11" s="2" t="inlineStr">
        <is>
          <t>ปี 2561</t>
        </is>
      </c>
    </row>
    <row r="12" ht="13.2" customHeight="1" s="49">
      <c r="A12" s="2" t="n">
        <v>10</v>
      </c>
      <c r="B12" s="2" t="inlineStr">
        <is>
          <t>หากต(องการเปÅดหนังสือเพื่อค(นคว(า เรื่อง bioequivalence</t>
        </is>
      </c>
      <c r="C12" s="2" t="n"/>
      <c r="D12" s="2" t="inlineStr">
        <is>
          <t>Pharmacotherapy</t>
        </is>
      </c>
      <c r="E12" s="2" t="inlineStr">
        <is>
          <t>Drug interaction fact</t>
        </is>
      </c>
      <c r="F12" s="2" t="inlineStr">
        <is>
          <t>Drug fact and comparison</t>
        </is>
      </c>
      <c r="G12" s="2" t="inlineStr">
        <is>
          <t>Drug information handbook</t>
        </is>
      </c>
      <c r="H12" s="2" t="inlineStr">
        <is>
          <t>United states pharmacopeia</t>
        </is>
      </c>
      <c r="I12" s="2" t="n">
        <v>1</v>
      </c>
      <c r="J12" s="2"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Dissolution testing</t>
        </is>
      </c>
      <c r="M12" s="2" t="inlineStr">
        <is>
          <t>Product</t>
        </is>
      </c>
      <c r="N12" s="2" t="inlineStr">
        <is>
          <t>ข้อ 68 (PLE_CC1_2561_Key.md)</t>
        </is>
      </c>
      <c r="O12" s="2" t="inlineStr">
        <is>
          <t>ข้อสอบจริง</t>
        </is>
      </c>
      <c r="P12" s="2" t="inlineStr">
        <is>
          <t>ปี 2561</t>
        </is>
      </c>
    </row>
    <row r="13" ht="13.2" customHeight="1" s="49">
      <c r="A13" s="2" t="n">
        <v>11</v>
      </c>
      <c r="B13" s="2"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2" t="n"/>
      <c r="D13" s="2" t="inlineStr">
        <is>
          <t>Apparatus ใช้ Basket</t>
        </is>
      </c>
      <c r="E13" s="2" t="inlineStr">
        <is>
          <t>ใช้ Phosphate buffe pH 5.8 ± 2.0</t>
        </is>
      </c>
      <c r="F13" s="2" t="inlineStr">
        <is>
          <t>ละลายให้เสร็จภายใน 60 นาที</t>
        </is>
      </c>
      <c r="G13" s="2" t="inlineStr">
        <is>
          <t>ใช้ Liquid chromatography ในการวิเคราะห์</t>
        </is>
      </c>
      <c r="H13" s="2"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2" t="n">
        <v>1</v>
      </c>
      <c r="J13"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Dissolution testing</t>
        </is>
      </c>
      <c r="M13" s="2" t="inlineStr">
        <is>
          <t>Product</t>
        </is>
      </c>
      <c r="N13" s="2" t="inlineStr">
        <is>
          <t>ข้อ 8 (PLE_CC1_2560 22 April Set 1.md)</t>
        </is>
      </c>
      <c r="O13" s="2" t="inlineStr">
        <is>
          <t>ข้อสอบจริง</t>
        </is>
      </c>
      <c r="P13" s="2" t="inlineStr">
        <is>
          <t>ปี 2560</t>
        </is>
      </c>
    </row>
    <row r="14" ht="13.2" customHeight="1" s="49">
      <c r="A14" s="2" t="n">
        <v>12</v>
      </c>
      <c r="B14" s="2"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2" t="n"/>
      <c r="D14" s="2" t="inlineStr">
        <is>
          <t>Apparatus ใช้ Basket</t>
        </is>
      </c>
      <c r="E14" s="2" t="inlineStr">
        <is>
          <t>ใช้ Phosphate buffer pH 5.8 ± 2.0</t>
        </is>
      </c>
      <c r="F14" s="2" t="inlineStr">
        <is>
          <t>ละลายให้เสร็จภายใน 60 นาที</t>
        </is>
      </c>
      <c r="G14" s="2" t="inlineStr">
        <is>
          <t>ใช้ Liquid chromatography ในการวิเคราะห์</t>
        </is>
      </c>
      <c r="H14" s="2" t="inlineStr">
        <is>
          <t>ผลวิเคราะห์ได้ว่ายา 6 เม็ด แตกตัวภายใน 15 นาที โดยมีตัวยามากกว่า 425 mg ทุกเม็ด แสดงว่าผ่าน</t>
        </is>
      </c>
      <c r="I14" s="2" t="n">
        <v>1</v>
      </c>
      <c r="J14"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Dissolution testing</t>
        </is>
      </c>
      <c r="M14" s="2" t="inlineStr">
        <is>
          <t>Product</t>
        </is>
      </c>
      <c r="N14" s="2" t="inlineStr">
        <is>
          <t>ข้อ 8 (PLE_CC1_2560 22 April Set 2.md)</t>
        </is>
      </c>
      <c r="O14" s="2" t="inlineStr">
        <is>
          <t>ข้อสอบจริง</t>
        </is>
      </c>
      <c r="P14" s="2" t="inlineStr">
        <is>
          <t>ปี 2560</t>
        </is>
      </c>
    </row>
    <row r="15" ht="13.2" customHeight="1" s="49">
      <c r="A15" s="2" t="n">
        <v>13</v>
      </c>
      <c r="B15" s="2" t="inlineStr">
        <is>
          <t>เทคนิคใดเป็นการเปลี่ยนแปลงคุณสมบัติทางกายภาพของยา เพื่อเพิ่มคุณสมบัติการละลายน้ำ</t>
        </is>
      </c>
      <c r="C15" s="2" t="n"/>
      <c r="D15" s="2" t="inlineStr">
        <is>
          <t>การลดขนาดอนุภาค (Particle size reduction)</t>
        </is>
      </c>
      <c r="E15" s="2" t="inlineStr">
        <is>
          <t>การปรับเปลี่ยนรูปผลึกยา (Modification of the crystal)</t>
        </is>
      </c>
      <c r="F15" s="2" t="inlineStr">
        <is>
          <t>การกระจายยาในตัวพา (Drug dispersion in carriers)</t>
        </is>
      </c>
      <c r="G15" s="2" t="inlineStr">
        <is>
          <t>การทำสารประกอบเชิงซ้อน (Complexation)</t>
        </is>
      </c>
      <c r="H15" s="2" t="inlineStr">
        <is>
          <t>ถูกทุกข้อ</t>
        </is>
      </c>
      <c r="I15" s="2" t="n">
        <v>1</v>
      </c>
      <c r="J15" s="2"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การปรับเปลี่ยนรูปผลึกยา (Modification of the crystal) ไม่ตรงกับข้อบ่งใช้หรือกลไกการออกฤทธิ์ที่ถูกต้องตาม USP &lt;711&gt; / Biopharmaceutics Classification System (BCS)
• ข้อ ค. (การกระจายยาในตัวพา (Drug dispersion in carriers)): การกระจายยาในตัวพา (Drug dispersion in carriers) ไม่ตรงกับข้อบ่งใช้หรือกลไกการออกฤทธิ์ที่ถูกต้องตาม USP &lt;711&gt; / Biopharmaceutics Classification System (BCS)
• ข้อ ง. (การทำสารประกอบเชิงซ้อน (Complexation)): การทำสารประกอบเชิงซ้อน (Complexation) ไม่ตรงกับข้อบ่งใช้หรือกลไกการออกฤทธิ์ที่ถูกต้องตาม USP &lt;711&gt; / Biopharmaceutics Classification System (BCS)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Dissolution testing</t>
        </is>
      </c>
      <c r="M15" s="2" t="inlineStr">
        <is>
          <t>Product</t>
        </is>
      </c>
      <c r="N15" s="2" t="inlineStr">
        <is>
          <t>ข้อ 95 (Pharmtutor_2024_Set2.md)</t>
        </is>
      </c>
      <c r="O15" s="2" t="inlineStr">
        <is>
          <t>Mock</t>
        </is>
      </c>
      <c r="P15" s="2" t="inlineStr">
        <is>
          <t>Mock Pharmtutor 2024</t>
        </is>
      </c>
    </row>
    <row r="16" ht="13.2" customHeight="1" s="49">
      <c r="A16" s="2" t="n">
        <v>14</v>
      </c>
      <c r="B16" s="2"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2" t="n"/>
      <c r="D16" s="2" t="inlineStr">
        <is>
          <t>BCS Class III (High Solubility, Low Permeability)</t>
        </is>
      </c>
      <c r="E16" s="2" t="inlineStr">
        <is>
          <t>BCS Class IV (Low Solubility, Low Permeability)</t>
        </is>
      </c>
      <c r="F16" s="2" t="inlineStr">
        <is>
          <t>In Vitro Dissolution Apparatus 1 (Basket, 100 rpm)</t>
        </is>
      </c>
      <c r="G16" s="2" t="inlineStr">
        <is>
          <t>In Vitro Dissolution Apparatus 2 (Paddle, 50 rpm)</t>
        </is>
      </c>
      <c r="H16" s="2" t="inlineStr">
        <is>
          <t>Higuchi Matrix Release Kinetic model</t>
        </is>
      </c>
      <c r="I16" s="2" t="n">
        <v>1</v>
      </c>
      <c r="J1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Dissolution testing</t>
        </is>
      </c>
      <c r="M16" s="2" t="inlineStr">
        <is>
          <t>Product</t>
        </is>
      </c>
      <c r="N16" s="2" t="inlineStr">
        <is>
          <t>ข้อ 51 (PLE_CC1_2557.md)</t>
        </is>
      </c>
      <c r="O16" s="2" t="inlineStr">
        <is>
          <t>ข้อสอบจริง</t>
        </is>
      </c>
      <c r="P16" s="2" t="inlineStr">
        <is>
          <t>ปี 2557</t>
        </is>
      </c>
    </row>
    <row r="17" ht="13.2" customHeight="1" s="49">
      <c r="A17" s="2" t="n">
        <v>15</v>
      </c>
      <c r="B17" s="2"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2" t="n"/>
      <c r="D17" s="2" t="inlineStr">
        <is>
          <t>In Vitro Dissolution Apparatus 2 (Paddle, 50 rpm)</t>
        </is>
      </c>
      <c r="E17" s="2" t="inlineStr">
        <is>
          <t>Higuchi Matrix Release Kinetic model</t>
        </is>
      </c>
      <c r="F17" s="2" t="inlineStr">
        <is>
          <t>First-Order Drug Release Kinetics</t>
        </is>
      </c>
      <c r="G17" s="2" t="inlineStr">
        <is>
          <t>Zero-Order Sustained Release Kinetics</t>
        </is>
      </c>
      <c r="H17" s="2" t="inlineStr">
        <is>
          <t>Fickian Diffusion Concentration Gradient</t>
        </is>
      </c>
      <c r="I17" s="2" t="n">
        <v>1</v>
      </c>
      <c r="J17" s="2"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Dissolution testing</t>
        </is>
      </c>
      <c r="M17" s="2" t="inlineStr">
        <is>
          <t>Product</t>
        </is>
      </c>
      <c r="N17" s="2" t="inlineStr">
        <is>
          <t>ข้อ 91 (PLE_CC1_2557.md)</t>
        </is>
      </c>
      <c r="O17" s="2" t="inlineStr">
        <is>
          <t>ข้อสอบจริง</t>
        </is>
      </c>
      <c r="P17" s="2" t="inlineStr">
        <is>
          <t>ปี 2557</t>
        </is>
      </c>
    </row>
    <row r="18" ht="13.2" customHeight="1" s="49">
      <c r="A18" s="2" t="n">
        <v>16</v>
      </c>
      <c r="B18" s="2" t="inlineStr">
        <is>
          <t>มีการละลายน ้าสูง มี permeability สูง</t>
        </is>
      </c>
      <c r="C18" s="2" t="n"/>
      <c r="D18" s="2" t="inlineStr">
        <is>
          <t>Zero-Order Sustained Release Kinetics</t>
        </is>
      </c>
      <c r="E18" s="2" t="inlineStr">
        <is>
          <t>Fickian Diffusion Concentration Gradient</t>
        </is>
      </c>
      <c r="F18" s="2" t="inlineStr">
        <is>
          <t>BCS Class I (High Solubility, High Permeability)</t>
        </is>
      </c>
      <c r="G18" s="2" t="inlineStr">
        <is>
          <t>BCS Class II (Low Solubility, High Permeability)</t>
        </is>
      </c>
      <c r="H18" s="2" t="inlineStr">
        <is>
          <t>BCS Class III (High Solubility, Low Permeability)</t>
        </is>
      </c>
      <c r="I18" s="2" t="n">
        <v>1</v>
      </c>
      <c r="J1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BCS Classification</t>
        </is>
      </c>
      <c r="M18" s="2" t="inlineStr">
        <is>
          <t>Product</t>
        </is>
      </c>
      <c r="N18" s="2" t="inlineStr">
        <is>
          <t>ข้อ 1 (PLE_CC1_2556.md)</t>
        </is>
      </c>
      <c r="O18" s="2" t="inlineStr">
        <is>
          <t>ข้อสอบจริง</t>
        </is>
      </c>
      <c r="P18" s="2" t="inlineStr">
        <is>
          <t>ปี 2556</t>
        </is>
      </c>
    </row>
    <row r="19" ht="13.2" customHeight="1" s="49">
      <c r="A19" s="2" t="n">
        <v>17</v>
      </c>
      <c r="B19" s="2" t="inlineStr">
        <is>
          <t>มีการละลายน ้าสูง มี permeability ต ่า</t>
        </is>
      </c>
      <c r="C19" s="2" t="n"/>
      <c r="D19" s="2" t="inlineStr">
        <is>
          <t>BCS Class II (Low Solubility, High Permeability)</t>
        </is>
      </c>
      <c r="E19" s="2" t="inlineStr">
        <is>
          <t>BCS Class III (High Solubility, Low Permeability)</t>
        </is>
      </c>
      <c r="F19" s="2" t="inlineStr">
        <is>
          <t>BCS Class IV (Low Solubility, Low Permeability)</t>
        </is>
      </c>
      <c r="G19" s="2" t="inlineStr">
        <is>
          <t>In Vitro Dissolution Apparatus 1 (Basket, 100 rpm)</t>
        </is>
      </c>
      <c r="H19" s="2" t="inlineStr">
        <is>
          <t>In Vitro Dissolution Apparatus 2 (Paddle, 50 rpm)</t>
        </is>
      </c>
      <c r="I19" s="2" t="n">
        <v>1</v>
      </c>
      <c r="J1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BCS Classification</t>
        </is>
      </c>
      <c r="M19" s="2" t="inlineStr">
        <is>
          <t>Product</t>
        </is>
      </c>
      <c r="N19" s="2" t="inlineStr">
        <is>
          <t>ข้อ 2 (PLE_CC1_2556.md)</t>
        </is>
      </c>
      <c r="O19" s="2" t="inlineStr">
        <is>
          <t>ข้อสอบจริง</t>
        </is>
      </c>
      <c r="P19" s="2" t="inlineStr">
        <is>
          <t>ปี 2556</t>
        </is>
      </c>
    </row>
    <row r="20" ht="13.2" customHeight="1" s="49">
      <c r="A20" s="2" t="n">
        <v>18</v>
      </c>
      <c r="B20" s="2" t="inlineStr">
        <is>
          <t>มีการละลายน ้าต ่า มี permeability สูง</t>
        </is>
      </c>
      <c r="C20" s="2" t="n"/>
      <c r="D20" s="2" t="inlineStr">
        <is>
          <t>In Vitro Dissolution Apparatus 1 (Basket, 100 rpm)</t>
        </is>
      </c>
      <c r="E20" s="2" t="inlineStr">
        <is>
          <t>In Vitro Dissolution Apparatus 2 (Paddle, 50 rpm)</t>
        </is>
      </c>
      <c r="F20" s="2" t="inlineStr">
        <is>
          <t>Higuchi Matrix Release Kinetic model</t>
        </is>
      </c>
      <c r="G20" s="2" t="inlineStr">
        <is>
          <t>First-Order Drug Release Kinetics</t>
        </is>
      </c>
      <c r="H20" s="2" t="inlineStr">
        <is>
          <t>Zero-Order Sustained Release Kinetics</t>
        </is>
      </c>
      <c r="I20" s="2" t="n">
        <v>1</v>
      </c>
      <c r="J2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BCS Classification</t>
        </is>
      </c>
      <c r="M20" s="2" t="inlineStr">
        <is>
          <t>Product</t>
        </is>
      </c>
      <c r="N20" s="2" t="inlineStr">
        <is>
          <t>ข้อ 3 (PLE_CC1_2556.md)</t>
        </is>
      </c>
      <c r="O20" s="2" t="inlineStr">
        <is>
          <t>ข้อสอบจริง</t>
        </is>
      </c>
      <c r="P20" s="2" t="inlineStr">
        <is>
          <t>ปี 2556</t>
        </is>
      </c>
    </row>
    <row r="21" ht="13.2" customHeight="1" s="49">
      <c r="A21" s="2" t="n">
        <v>19</v>
      </c>
      <c r="B21" s="2" t="inlineStr">
        <is>
          <t>มีการละลายน ้าต ่า มี permeability ต ่า</t>
        </is>
      </c>
      <c r="C21" s="2" t="n"/>
      <c r="D21" s="2" t="inlineStr">
        <is>
          <t>First-Order Drug Release Kinetics</t>
        </is>
      </c>
      <c r="E21" s="2" t="inlineStr">
        <is>
          <t>Zero-Order Sustained Release Kinetics</t>
        </is>
      </c>
      <c r="F21" s="2" t="inlineStr">
        <is>
          <t>Fickian Diffusion Concentration Gradient</t>
        </is>
      </c>
      <c r="G21" s="2" t="inlineStr">
        <is>
          <t>BCS Class I (High Solubility, High Permeability)</t>
        </is>
      </c>
      <c r="H21" s="2" t="inlineStr">
        <is>
          <t>BCS Class II (Low Solubility, High Permeability)</t>
        </is>
      </c>
      <c r="I21" s="2" t="n">
        <v>1</v>
      </c>
      <c r="J2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BCS Classification</t>
        </is>
      </c>
      <c r="M21" s="2" t="inlineStr">
        <is>
          <t>Product</t>
        </is>
      </c>
      <c r="N21" s="2" t="inlineStr">
        <is>
          <t>ข้อ 4 (PLE_CC1_2556.md)</t>
        </is>
      </c>
      <c r="O21" s="2" t="inlineStr">
        <is>
          <t>ข้อสอบจริง</t>
        </is>
      </c>
      <c r="P21" s="2" t="inlineStr">
        <is>
          <t>ปี 2556</t>
        </is>
      </c>
    </row>
    <row r="22" ht="13.2" customHeight="1" s="49">
      <c r="A22" s="2" t="n">
        <v>20</v>
      </c>
      <c r="B22" s="2" t="inlineStr">
        <is>
          <t>ยา A ละลายดีกว่ายา B เพราะสูตรที่มี Mg stearate มากกว่า ช่วยให้การละลายดีขึ้น</t>
        </is>
      </c>
      <c r="C22" s="2" t="n"/>
      <c r="D22" s="2" t="inlineStr">
        <is>
          <t>BCS Class I (High Solubility, High Permeability)</t>
        </is>
      </c>
      <c r="E22" s="2" t="inlineStr">
        <is>
          <t>BCS Class II (Low Solubility, High Permeability)</t>
        </is>
      </c>
      <c r="F22" s="2" t="inlineStr">
        <is>
          <t>BCS Class III (High Solubility, Low Permeability)</t>
        </is>
      </c>
      <c r="G22" s="2" t="inlineStr">
        <is>
          <t>BCS Class IV (Low Solubility, Low Permeability)</t>
        </is>
      </c>
      <c r="H22" s="2" t="inlineStr">
        <is>
          <t>In Vitro Dissolution Apparatus 1 (Basket, 100 rpm)</t>
        </is>
      </c>
      <c r="I22" s="2" t="n">
        <v>1</v>
      </c>
      <c r="J2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Dissolution testing</t>
        </is>
      </c>
      <c r="M22" s="2" t="inlineStr">
        <is>
          <t>Product</t>
        </is>
      </c>
      <c r="N22" s="2" t="inlineStr">
        <is>
          <t>ข้อ 3 (PLE_CC1_2555 Day 2.md)</t>
        </is>
      </c>
      <c r="O22" s="2" t="inlineStr">
        <is>
          <t>ข้อสอบจริง</t>
        </is>
      </c>
      <c r="P22" s="2" t="inlineStr">
        <is>
          <t>ปี 2555</t>
        </is>
      </c>
    </row>
    <row r="23" ht="13.2" customHeight="1" s="49">
      <c r="A23" s="2" t="n">
        <v>21</v>
      </c>
      <c r="B23" s="2"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2" t="n"/>
      <c r="D23" s="2" t="inlineStr">
        <is>
          <t>ผู้ป่วยเป็นโรคอะไร</t>
        </is>
      </c>
      <c r="E23" s="2" t="inlineStr">
        <is>
          <t>In Vitro Dissolution Apparatus 1 (Basket, 100 rpm)</t>
        </is>
      </c>
      <c r="F23" s="2" t="inlineStr">
        <is>
          <t>In Vitro Dissolution Apparatus 2 (Paddle, 50 rpm)</t>
        </is>
      </c>
      <c r="G23" s="2" t="inlineStr">
        <is>
          <t>Higuchi Matrix Release Kinetic model</t>
        </is>
      </c>
      <c r="H23" s="2" t="inlineStr">
        <is>
          <t>First-Order Drug Release Kinetics</t>
        </is>
      </c>
      <c r="I23" s="2" t="n">
        <v>1</v>
      </c>
      <c r="J23" s="2"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Dissolution testing</t>
        </is>
      </c>
      <c r="M23" s="2" t="inlineStr">
        <is>
          <t>Product</t>
        </is>
      </c>
      <c r="N23" s="2" t="inlineStr">
        <is>
          <t>ข้อ 5 (PLE_CC1_2555 Day 2.md)</t>
        </is>
      </c>
      <c r="O23" s="2" t="inlineStr">
        <is>
          <t>ข้อสอบจริง</t>
        </is>
      </c>
      <c r="P23" s="2" t="inlineStr">
        <is>
          <t>ปี 2555</t>
        </is>
      </c>
    </row>
    <row r="24" ht="13.2" customHeight="1" s="49">
      <c r="A24" s="2" t="n">
        <v>22</v>
      </c>
      <c r="B24" s="2" t="inlineStr">
        <is>
          <t>เพิ่มการละลายน ้า</t>
        </is>
      </c>
      <c r="C24" s="2" t="n"/>
      <c r="D24" s="2" t="inlineStr">
        <is>
          <t>Higuchi Matrix Release Kinetic model</t>
        </is>
      </c>
      <c r="E24" s="2" t="inlineStr">
        <is>
          <t>First-Order Drug Release Kinetics</t>
        </is>
      </c>
      <c r="F24" s="2" t="inlineStr">
        <is>
          <t>Zero-Order Sustained Release Kinetics</t>
        </is>
      </c>
      <c r="G24" s="2" t="inlineStr">
        <is>
          <t>Fickian Diffusion Concentration Gradient</t>
        </is>
      </c>
      <c r="H24" s="2" t="inlineStr">
        <is>
          <t>BCS Class I (High Solubility, High Permeability)</t>
        </is>
      </c>
      <c r="I24" s="2" t="n">
        <v>1</v>
      </c>
      <c r="J2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Dissolution testing</t>
        </is>
      </c>
      <c r="M24" s="2" t="inlineStr">
        <is>
          <t>Product</t>
        </is>
      </c>
      <c r="N24" s="2" t="inlineStr">
        <is>
          <t>ข้อ 3 (PLE_CC1_2555 Day 2.md)</t>
        </is>
      </c>
      <c r="O24" s="2" t="inlineStr">
        <is>
          <t>ข้อสอบจริง</t>
        </is>
      </c>
      <c r="P24" s="2" t="inlineStr">
        <is>
          <t>ปี 2555</t>
        </is>
      </c>
    </row>
    <row r="25" ht="13.2" customHeight="1" s="49">
      <c r="A25" s="2" t="n">
        <v>23</v>
      </c>
      <c r="B25" s="2"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2" t="n"/>
      <c r="D25" s="2" t="inlineStr">
        <is>
          <t>ผ่าน S1</t>
        </is>
      </c>
      <c r="E25" s="2" t="inlineStr">
        <is>
          <t>ผ่าน S2</t>
        </is>
      </c>
      <c r="F25" s="2" t="inlineStr">
        <is>
          <t>ผ่าน S3</t>
        </is>
      </c>
      <c r="G25" s="2" t="inlineStr">
        <is>
          <t>ผ่าน S1 แต่ไม่ผ่าน S2</t>
        </is>
      </c>
      <c r="H25" s="2" t="inlineStr">
        <is>
          <t>ไม่ผ่าน S2 แต่ผ่าน S3 70.ยาในข้อใดต่อไปนี้ที่ไม่สามารถเบิกได้ด้วยสิทธิข้าราชการ</t>
        </is>
      </c>
      <c r="I25" s="2" t="n">
        <v>1</v>
      </c>
      <c r="J25" s="2"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Dissolution testing</t>
        </is>
      </c>
      <c r="M25" s="2" t="inlineStr">
        <is>
          <t>Product</t>
        </is>
      </c>
      <c r="N25" s="2" t="inlineStr">
        <is>
          <t>ข้อ 69 (PLE_CC1_2554 SET1.md)</t>
        </is>
      </c>
      <c r="O25" s="2" t="inlineStr">
        <is>
          <t>ข้อสอบจริง</t>
        </is>
      </c>
      <c r="P25" s="2" t="inlineStr">
        <is>
          <t>ปี 2554</t>
        </is>
      </c>
    </row>
    <row r="26" ht="13.2" customHeight="1" s="49">
      <c r="A26" s="2" t="n">
        <v>24</v>
      </c>
      <c r="B26" s="2"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2" t="n"/>
      <c r="D26" s="2" t="inlineStr">
        <is>
          <t>BCS Class III (High Solubility, Low Permeability)</t>
        </is>
      </c>
      <c r="E26" s="2" t="inlineStr">
        <is>
          <t>BCS Class IV (Low Solubility, Low Permeability)</t>
        </is>
      </c>
      <c r="F26" s="2" t="inlineStr">
        <is>
          <t>In Vitro Dissolution Apparatus 1 (Basket, 100 rpm)</t>
        </is>
      </c>
      <c r="G26" s="2" t="inlineStr">
        <is>
          <t>In Vitro Dissolution Apparatus 2 (Paddle, 50 rpm)</t>
        </is>
      </c>
      <c r="H26" s="2" t="inlineStr">
        <is>
          <t>Higuchi Matrix Release Kinetic model</t>
        </is>
      </c>
      <c r="I26" s="2" t="n">
        <v>1</v>
      </c>
      <c r="J2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Dissolution testing</t>
        </is>
      </c>
      <c r="M26" s="2" t="inlineStr">
        <is>
          <t>Product</t>
        </is>
      </c>
      <c r="N26" s="2" t="inlineStr">
        <is>
          <t>ข้อ 4 (PLE_CC1_2554 SET2.md)</t>
        </is>
      </c>
      <c r="O26" s="2" t="inlineStr">
        <is>
          <t>ข้อสอบจริง</t>
        </is>
      </c>
      <c r="P26" s="2" t="inlineStr">
        <is>
          <t>ปี 2554</t>
        </is>
      </c>
    </row>
    <row r="27" ht="13.2" customHeight="1" s="49">
      <c r="A27" s="2" t="n">
        <v>25</v>
      </c>
      <c r="B27" s="2"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2" t="n"/>
      <c r="D27" s="2" t="inlineStr">
        <is>
          <t>In Vitro Dissolution Apparatus 2 (Paddle, 50 rpm)</t>
        </is>
      </c>
      <c r="E27" s="2" t="inlineStr">
        <is>
          <t>Higuchi Matrix Release Kinetic model</t>
        </is>
      </c>
      <c r="F27" s="2" t="inlineStr">
        <is>
          <t>First-Order Drug Release Kinetics</t>
        </is>
      </c>
      <c r="G27" s="2" t="inlineStr">
        <is>
          <t>Zero-Order Sustained Release Kinetics</t>
        </is>
      </c>
      <c r="H27" s="2" t="inlineStr">
        <is>
          <t>Fickian Diffusion Concentration Gradient</t>
        </is>
      </c>
      <c r="I27" s="2" t="n">
        <v>4</v>
      </c>
      <c r="J27" s="2"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Dissolution testing</t>
        </is>
      </c>
      <c r="M27" s="2" t="inlineStr">
        <is>
          <t>Product</t>
        </is>
      </c>
      <c r="N27" s="2" t="inlineStr">
        <is>
          <t>ข้อ 8 (PLE_CC1_2554 SET2.md)</t>
        </is>
      </c>
      <c r="O27" s="2" t="inlineStr">
        <is>
          <t>ข้อสอบจริง</t>
        </is>
      </c>
      <c r="P27" s="2" t="inlineStr">
        <is>
          <t>ปี 2554</t>
        </is>
      </c>
    </row>
    <row r="28" ht="13.2" customHeight="1" s="49">
      <c r="A28" s="2" t="n">
        <v>26</v>
      </c>
      <c r="B28" s="2" t="inlineStr">
        <is>
          <t>มีระยะเวลาที่ยาเริ่มออกฤทธิ์ช้าเนื่องจากโครงสร้างมีขนาดใหญุใช้ เวลานานในการละลาย(ก)</t>
        </is>
      </c>
      <c r="C28" s="2" t="n"/>
      <c r="D28" s="2" t="inlineStr">
        <is>
          <t>Zero-Order Sustained Release Kinetics</t>
        </is>
      </c>
      <c r="E28" s="2" t="inlineStr">
        <is>
          <t>Fickian Diffusion Concentration Gradient</t>
        </is>
      </c>
      <c r="F28" s="2" t="inlineStr">
        <is>
          <t>BCS Class I (High Solubility, High Permeability)</t>
        </is>
      </c>
      <c r="G28" s="2" t="inlineStr">
        <is>
          <t>BCS Class II (Low Solubility, High Permeability)</t>
        </is>
      </c>
      <c r="H28" s="2" t="inlineStr">
        <is>
          <t>BCS Class III (High Solubility, Low Permeability)</t>
        </is>
      </c>
      <c r="I28" s="2" t="n">
        <v>1</v>
      </c>
      <c r="J2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Dissolution testing</t>
        </is>
      </c>
      <c r="M28" s="2" t="inlineStr">
        <is>
          <t>Product</t>
        </is>
      </c>
      <c r="N28" s="2" t="inlineStr">
        <is>
          <t>ข้อ 5 (PLE_CC1_2547.md)</t>
        </is>
      </c>
      <c r="O28" s="2" t="inlineStr">
        <is>
          <t>ข้อสอบจริง</t>
        </is>
      </c>
      <c r="P28" s="2" t="inlineStr">
        <is>
          <t>ปี 2547</t>
        </is>
      </c>
    </row>
    <row r="29" ht="13.2" customHeight="1" s="49">
      <c r="A29" s="2" t="n">
        <v>27</v>
      </c>
      <c r="B29" s="2"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2" t="n"/>
      <c r="D29" s="2" t="inlineStr">
        <is>
          <t>BCS Class II (Low Solubility, High Permeability)</t>
        </is>
      </c>
      <c r="E29" s="2" t="inlineStr">
        <is>
          <t>BCS Class III (High Solubility, Low Permeability)</t>
        </is>
      </c>
      <c r="F29" s="2" t="inlineStr">
        <is>
          <t>BCS Class IV (Low Solubility, Low Permeability)</t>
        </is>
      </c>
      <c r="G29" s="2" t="inlineStr">
        <is>
          <t>In Vitro Dissolution Apparatus 1 (Basket, 100 rpm)</t>
        </is>
      </c>
      <c r="H29" s="2" t="inlineStr">
        <is>
          <t>In Vitro Dissolution Apparatus 2 (Paddle, 50 rpm)</t>
        </is>
      </c>
      <c r="I29" s="2" t="n">
        <v>1</v>
      </c>
      <c r="J2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Dissolution testing</t>
        </is>
      </c>
      <c r="M29" s="2" t="inlineStr">
        <is>
          <t>Product</t>
        </is>
      </c>
      <c r="N29" s="2" t="inlineStr">
        <is>
          <t>ข้อ 2 (PLE_CC1_2533.md)</t>
        </is>
      </c>
      <c r="O29" s="2" t="inlineStr">
        <is>
          <t>ข้อสอบจริง</t>
        </is>
      </c>
      <c r="P29" s="2" t="inlineStr">
        <is>
          <t>ปี 2533</t>
        </is>
      </c>
    </row>
    <row r="30" ht="13.2" customHeight="1" s="49">
      <c r="A30" s="2" t="n">
        <v>28</v>
      </c>
      <c r="B30" s="2"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2" t="n"/>
      <c r="D30" s="2" t="inlineStr">
        <is>
          <t>In Vitro Dissolution Apparatus 1 (Basket, 100 rpm)</t>
        </is>
      </c>
      <c r="E30" s="2" t="inlineStr">
        <is>
          <t>In Vitro Dissolution Apparatus 2 (Paddle, 50 rpm)</t>
        </is>
      </c>
      <c r="F30" s="2" t="inlineStr">
        <is>
          <t>Higuchi Matrix Release Kinetic model</t>
        </is>
      </c>
      <c r="G30" s="2" t="inlineStr">
        <is>
          <t>First-Order Drug Release Kinetics</t>
        </is>
      </c>
      <c r="H30" s="2" t="inlineStr">
        <is>
          <t>Zero-Order Sustained Release Kinetics</t>
        </is>
      </c>
      <c r="I30" s="2" t="n">
        <v>1</v>
      </c>
      <c r="J3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Diffusion &amp; Fick's laws</t>
        </is>
      </c>
      <c r="M30" s="2" t="inlineStr">
        <is>
          <t>Product</t>
        </is>
      </c>
      <c r="N30" s="2" t="inlineStr">
        <is>
          <t>ข้อ 5 (PLE_CC1_2533.md)</t>
        </is>
      </c>
      <c r="O30" s="2" t="inlineStr">
        <is>
          <t>ข้อสอบจริง</t>
        </is>
      </c>
      <c r="P30" s="2" t="inlineStr">
        <is>
          <t>ปี 2533</t>
        </is>
      </c>
    </row>
    <row r="31" ht="13.2" customHeight="1" s="49">
      <c r="A31" s="2" t="n">
        <v>29</v>
      </c>
      <c r="B31" s="2"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2" t="n"/>
      <c r="D31" s="2" t="inlineStr">
        <is>
          <t>First-Order Drug Release Kinetics</t>
        </is>
      </c>
      <c r="E31" s="2" t="inlineStr">
        <is>
          <t>Zero-Order Sustained Release Kinetics</t>
        </is>
      </c>
      <c r="F31" s="2" t="inlineStr">
        <is>
          <t>Fickian Diffusion Concentration Gradient</t>
        </is>
      </c>
      <c r="G31" s="2" t="inlineStr">
        <is>
          <t>BCS Class I (High Solubility, High Permeability)</t>
        </is>
      </c>
      <c r="H31" s="2" t="inlineStr">
        <is>
          <t>BCS Class II (Low Solubility, High Permeability)</t>
        </is>
      </c>
      <c r="I31" s="2" t="n">
        <v>2</v>
      </c>
      <c r="J31" s="2"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BCS Classification</t>
        </is>
      </c>
      <c r="M31" s="2" t="inlineStr">
        <is>
          <t>Product</t>
        </is>
      </c>
      <c r="N31" s="2" t="inlineStr">
        <is>
          <t>ข้อ 14 (PLE_CC1_Practice_Exam.md)</t>
        </is>
      </c>
      <c r="O31" s="2" t="inlineStr">
        <is>
          <t>Mock</t>
        </is>
      </c>
      <c r="P31" s="2" t="inlineStr">
        <is>
          <t>Mock สภาเภสัชฯ Practice</t>
        </is>
      </c>
    </row>
    <row r="32" ht="13.2" customHeight="1" s="49">
      <c r="A32" s="2" t="n">
        <v>30</v>
      </c>
      <c r="B32" s="2"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2" t="n"/>
      <c r="D32" s="2" t="inlineStr">
        <is>
          <t>BCS Class I (High Solubility, High Permeability)</t>
        </is>
      </c>
      <c r="E32" s="2" t="inlineStr">
        <is>
          <t>BCS Class II (Low Solubility, High Permeability)</t>
        </is>
      </c>
      <c r="F32" s="2" t="inlineStr">
        <is>
          <t>BCS Class III (High Solubility, Low Permeability)</t>
        </is>
      </c>
      <c r="G32" s="2" t="inlineStr">
        <is>
          <t>BCS Class IV (Low Solubility, Low Permeability)</t>
        </is>
      </c>
      <c r="H32" s="2" t="inlineStr">
        <is>
          <t>In Vitro Dissolution Apparatus 1 (Basket, 100 rpm)</t>
        </is>
      </c>
      <c r="I32" s="2" t="n">
        <v>1</v>
      </c>
      <c r="J3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(BCS Class II (Low Solubility, High Permeability)): BCS Class II (Low Solubility, High Permeability) ไม่สอดคล้องกับบทบัญญัติของ พ.ร.บ. ยา พ.ศ. 2510 หรือ พ.ร.บ. วิชาชีพเภสัชกรรม พ.ศ. 2537
• ข้อ ค. (BCS Class III (High Solubility, Low Permeability)): BCS Class III (High Solubility, Low Permeability) ไม่สอดคล้องกับบทบัญญัติของ พ.ร.บ. ยา พ.ศ. 2510 หรือ พ.ร.บ. วิชาชีพเภสัชกรรม พ.ศ. 2537
• ข้อ ง. (BCS Class IV (Low Solubility, Low Permeability)): BCS Class IV (Low Solubility, Low Permeability) ไม่สอดคล้องกับบทบัญญัติของ พ.ร.บ. ยา พ.ศ. 2510 หรือ พ.ร.บ. วิชาชีพเภสัชกรรม พ.ศ. 2537
• ข้อ จ. (In Vitro Dissolution Apparatus 1 (Basket, 100 rpm)): In Vitro Dissolution Apparatus 1 (Basket, 100 rpm)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Diffusion &amp; Fick's laws</t>
        </is>
      </c>
      <c r="M32" s="2" t="inlineStr">
        <is>
          <t>Product</t>
        </is>
      </c>
      <c r="N32" s="2" t="inlineStr">
        <is>
          <t>ข้อ 2 (PLE_CC1_Practice_Exam.md)</t>
        </is>
      </c>
      <c r="O32" s="2" t="inlineStr">
        <is>
          <t>Mock</t>
        </is>
      </c>
      <c r="P32" s="2" t="inlineStr">
        <is>
          <t>Mock สภาเภสัชฯ Practice</t>
        </is>
      </c>
    </row>
    <row r="33" ht="13.2" customHeight="1" s="49">
      <c r="A33" s="2" t="n">
        <v>31</v>
      </c>
      <c r="B33" s="2" t="inlineStr">
        <is>
          <t>Bioavailability</t>
        </is>
      </c>
      <c r="C33" s="2" t="n"/>
      <c r="D33" s="2" t="inlineStr">
        <is>
          <t>BCS Class IV (Low Solubility, Low Permeability)</t>
        </is>
      </c>
      <c r="E33" s="2" t="inlineStr">
        <is>
          <t>In Vitro Dissolution Apparatus 1 (Basket, 100 rpm)</t>
        </is>
      </c>
      <c r="F33" s="2" t="inlineStr">
        <is>
          <t>In Vitro Dissolution Apparatus 2 (Paddle, 50 rpm)</t>
        </is>
      </c>
      <c r="G33" s="2" t="inlineStr">
        <is>
          <t>Higuchi Matrix Release Kinetic model</t>
        </is>
      </c>
      <c r="H33" s="2" t="inlineStr">
        <is>
          <t>First-Order Drug Release Kinetics</t>
        </is>
      </c>
      <c r="I33" s="2" t="n">
        <v>1</v>
      </c>
      <c r="J33" s="2"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Dissolution testing</t>
        </is>
      </c>
      <c r="M33" s="2" t="inlineStr">
        <is>
          <t>Product</t>
        </is>
      </c>
      <c r="N33" s="2" t="inlineStr">
        <is>
          <t>ข้อ 3 (PLE_CC1_Key_Rx20_UBU.md)</t>
        </is>
      </c>
      <c r="O33" s="2" t="inlineStr">
        <is>
          <t>Mock</t>
        </is>
      </c>
      <c r="P33" s="2" t="inlineStr">
        <is>
          <t>Mock Rx20 UBU</t>
        </is>
      </c>
    </row>
    <row r="34" ht="13.2" customHeight="1" s="49">
      <c r="A34" s="2" t="n">
        <v>32</v>
      </c>
      <c r="B34" s="2"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2" t="n"/>
      <c r="D34" s="2" t="inlineStr">
        <is>
          <t>Higuchi Matrix Release Kinetic model</t>
        </is>
      </c>
      <c r="E34" s="2" t="inlineStr">
        <is>
          <t>First-Order Drug Release Kinetics</t>
        </is>
      </c>
      <c r="F34" s="2" t="inlineStr">
        <is>
          <t>Zero-Order Sustained Release Kinetics</t>
        </is>
      </c>
      <c r="G34" s="2" t="inlineStr">
        <is>
          <t>Fickian Diffusion Concentration Gradient</t>
        </is>
      </c>
      <c r="H34" s="2" t="inlineStr">
        <is>
          <t>BCS Class I (High Solubility, High Permeability)</t>
        </is>
      </c>
      <c r="I34" s="2" t="n">
        <v>1</v>
      </c>
      <c r="J3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BCS Classification</t>
        </is>
      </c>
      <c r="M34" s="2" t="inlineStr">
        <is>
          <t>Product</t>
        </is>
      </c>
      <c r="N34" s="2" t="inlineStr">
        <is>
          <t>ข้อ 2 (PLE_CC1_Key_Rx20_UBU.md)</t>
        </is>
      </c>
      <c r="O34" s="2" t="inlineStr">
        <is>
          <t>Mock</t>
        </is>
      </c>
      <c r="P34" s="2" t="inlineStr">
        <is>
          <t>Mock Rx20 UBU</t>
        </is>
      </c>
    </row>
    <row r="35" ht="13.2" customHeight="1" s="49">
      <c r="A35" s="2" t="n">
        <v>33</v>
      </c>
      <c r="B35" s="2" t="inlineStr">
        <is>
          <t>เพิ่มการละลายน้ำ</t>
        </is>
      </c>
      <c r="C35" s="2" t="n"/>
      <c r="D35" s="2" t="inlineStr">
        <is>
          <t>Fickian Diffusion Concentration Gradient</t>
        </is>
      </c>
      <c r="E35" s="2" t="inlineStr">
        <is>
          <t>BCS Class I (High Solubility, High Permeability)</t>
        </is>
      </c>
      <c r="F35" s="2" t="inlineStr">
        <is>
          <t>BCS Class II (Low Solubility, High Permeability)</t>
        </is>
      </c>
      <c r="G35" s="2" t="inlineStr">
        <is>
          <t>BCS Class III (High Solubility, Low Permeability)</t>
        </is>
      </c>
      <c r="H35" s="2" t="inlineStr">
        <is>
          <t>BCS Class IV (Low Solubility, Low Permeability)</t>
        </is>
      </c>
      <c r="I35" s="2" t="n">
        <v>1</v>
      </c>
      <c r="J35" s="2"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Dissolution testing</t>
        </is>
      </c>
      <c r="M35" s="2" t="inlineStr">
        <is>
          <t>Product</t>
        </is>
      </c>
      <c r="N35" s="2" t="inlineStr">
        <is>
          <t>ข้อ 3 (PLE_CC1_Key_Rx20_UBU.md)</t>
        </is>
      </c>
      <c r="O35" s="2" t="inlineStr">
        <is>
          <t>Mock</t>
        </is>
      </c>
      <c r="P35" s="2" t="inlineStr">
        <is>
          <t>Mock Rx20 UBU</t>
        </is>
      </c>
    </row>
    <row r="36" ht="13.2" customHeight="1" s="49">
      <c r="A36" s="2" t="n">
        <v>34</v>
      </c>
      <c r="B36" s="2" t="inlineStr">
        <is>
          <t>เพิ่มการละลายใน medium</t>
        </is>
      </c>
      <c r="C36" s="2" t="n"/>
      <c r="D36" s="2" t="inlineStr">
        <is>
          <t>BCS Class III (High Solubility, Low Permeability)</t>
        </is>
      </c>
      <c r="E36" s="2" t="inlineStr">
        <is>
          <t>BCS Class IV (Low Solubility, Low Permeability)</t>
        </is>
      </c>
      <c r="F36" s="2" t="inlineStr">
        <is>
          <t>In Vitro Dissolution Apparatus 1 (Basket, 100 rpm)</t>
        </is>
      </c>
      <c r="G36" s="2" t="inlineStr">
        <is>
          <t>In Vitro Dissolution Apparatus 2 (Paddle, 50 rpm)</t>
        </is>
      </c>
      <c r="H36" s="2" t="inlineStr">
        <is>
          <t>Higuchi Matrix Release Kinetic model</t>
        </is>
      </c>
      <c r="I36" s="2" t="n">
        <v>1</v>
      </c>
      <c r="J3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Dissolution testing</t>
        </is>
      </c>
      <c r="M36" s="2" t="inlineStr">
        <is>
          <t>Product</t>
        </is>
      </c>
      <c r="N36" s="2" t="inlineStr">
        <is>
          <t>ข้อ 2 (PLE_CC1_Key_Rx20_UBU.md)</t>
        </is>
      </c>
      <c r="O36" s="2" t="inlineStr">
        <is>
          <t>Mock</t>
        </is>
      </c>
      <c r="P36" s="2" t="inlineStr">
        <is>
          <t>Mock Rx20 UBU</t>
        </is>
      </c>
    </row>
    <row r="37" ht="13.2" customHeight="1" s="49">
      <c r="A37" s="2" t="n">
        <v>35</v>
      </c>
      <c r="B37" s="2"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2" t="n"/>
      <c r="D37" s="2" t="inlineStr">
        <is>
          <t>In Vitro Dissolution Apparatus 2 (Paddle, 50 rpm)</t>
        </is>
      </c>
      <c r="E37" s="2" t="inlineStr">
        <is>
          <t>Higuchi Matrix Release Kinetic model</t>
        </is>
      </c>
      <c r="F37" s="2" t="inlineStr">
        <is>
          <t>First-Order Drug Release Kinetics</t>
        </is>
      </c>
      <c r="G37" s="2" t="inlineStr">
        <is>
          <t>Zero-Order Sustained Release Kinetics</t>
        </is>
      </c>
      <c r="H37" s="2" t="inlineStr">
        <is>
          <t>Fickian Diffusion Concentration Gradient</t>
        </is>
      </c>
      <c r="I37" s="2" t="n">
        <v>1</v>
      </c>
      <c r="J37" s="2"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Dissolution testing</t>
        </is>
      </c>
      <c r="M37" s="2" t="inlineStr">
        <is>
          <t>Product</t>
        </is>
      </c>
      <c r="N37" s="2" t="inlineStr">
        <is>
          <t>ข้อ 51 (PLE_CC1_Key_Rx20_UBU.md)</t>
        </is>
      </c>
      <c r="O37" s="2" t="inlineStr">
        <is>
          <t>Mock</t>
        </is>
      </c>
      <c r="P37" s="2" t="inlineStr">
        <is>
          <t>Mock Rx20 UBU</t>
        </is>
      </c>
    </row>
    <row r="38" ht="13.2" customHeight="1" s="49">
      <c r="A38" s="2" t="n">
        <v>36</v>
      </c>
      <c r="B38" s="2" t="inlineStr">
        <is>
          <t>ยา pyrazinamide มีการละลายต่ำควรเติมสารใดเพิ่มในตำรับเพื่อแก$ไขป[ญหานี้</t>
        </is>
      </c>
      <c r="C38" s="2" t="n"/>
      <c r="D38" s="2" t="inlineStr">
        <is>
          <t>Lactose</t>
        </is>
      </c>
      <c r="E38" s="2" t="inlineStr">
        <is>
          <t>SLS</t>
        </is>
      </c>
      <c r="F38" s="2" t="inlineStr">
        <is>
          <t>Sodium starch glycolate</t>
        </is>
      </c>
      <c r="G38" s="2" t="inlineStr">
        <is>
          <t>Magnesium stearate</t>
        </is>
      </c>
      <c r="H38" s="2" t="inlineStr">
        <is>
          <t>Calcium dihydrogen phosphate</t>
        </is>
      </c>
      <c r="I38" s="2" t="n">
        <v>2</v>
      </c>
      <c r="J38" s="2"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Dissolution testing</t>
        </is>
      </c>
      <c r="M38" s="2" t="inlineStr">
        <is>
          <t>Product</t>
        </is>
      </c>
      <c r="N38" s="2" t="inlineStr">
        <is>
          <t>ข้อ 17 (PLE_CC1_Key_Rx20_UBU.md)</t>
        </is>
      </c>
      <c r="O38" s="2" t="inlineStr">
        <is>
          <t>Mock</t>
        </is>
      </c>
      <c r="P38" s="2" t="inlineStr">
        <is>
          <t>Mock Rx20 UBU</t>
        </is>
      </c>
    </row>
    <row r="39" ht="13.2" customHeight="1" s="49">
      <c r="A39" s="2" t="n">
        <v>37</v>
      </c>
      <c r="B39" s="2" t="inlineStr">
        <is>
          <t>การละลายและการดูดซึมมีผลตGอการระยะเวลาการออกฤทธิ์ที่นานขึ้นของตัวยา</t>
        </is>
      </c>
      <c r="C39" s="2" t="n"/>
      <c r="D39" s="2" t="inlineStr">
        <is>
          <t>BCS Class II (Low Solubility, High Permeability)</t>
        </is>
      </c>
      <c r="E39" s="2" t="inlineStr">
        <is>
          <t>BCS Class III (High Solubility, Low Permeability)</t>
        </is>
      </c>
      <c r="F39" s="2" t="inlineStr">
        <is>
          <t>BCS Class IV (Low Solubility, Low Permeability)</t>
        </is>
      </c>
      <c r="G39" s="2" t="inlineStr">
        <is>
          <t>In Vitro Dissolution Apparatus 1 (Basket, 100 rpm)</t>
        </is>
      </c>
      <c r="H39" s="2" t="inlineStr">
        <is>
          <t>In Vitro Dissolution Apparatus 2 (Paddle, 50 rpm)</t>
        </is>
      </c>
      <c r="I39" s="2" t="n">
        <v>1</v>
      </c>
      <c r="J3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Dissolution testing</t>
        </is>
      </c>
      <c r="M39" s="2" t="inlineStr">
        <is>
          <t>Product</t>
        </is>
      </c>
      <c r="N39" s="2" t="inlineStr">
        <is>
          <t>ข้อ 4 (PLE_CC1_Key_Rx20_UBU.md)</t>
        </is>
      </c>
      <c r="O39" s="2" t="inlineStr">
        <is>
          <t>Mock</t>
        </is>
      </c>
      <c r="P39" s="2" t="inlineStr">
        <is>
          <t>Mock Rx20 UBU</t>
        </is>
      </c>
    </row>
    <row r="40" ht="13.2" customHeight="1" s="49">
      <c r="A40" s="2" t="n">
        <v>38</v>
      </c>
      <c r="B40" s="2" t="inlineStr">
        <is>
          <t>passive diffusion</t>
        </is>
      </c>
      <c r="C40" s="2" t="n"/>
      <c r="D40" s="2" t="inlineStr">
        <is>
          <t>In Vitro Dissolution Apparatus 1 (Basket, 100 rpm)</t>
        </is>
      </c>
      <c r="E40" s="2" t="inlineStr">
        <is>
          <t>In Vitro Dissolution Apparatus 2 (Paddle, 50 rpm)</t>
        </is>
      </c>
      <c r="F40" s="2" t="inlineStr">
        <is>
          <t>Higuchi Matrix Release Kinetic model</t>
        </is>
      </c>
      <c r="G40" s="2" t="inlineStr">
        <is>
          <t>First-Order Drug Release Kinetics</t>
        </is>
      </c>
      <c r="H40" s="2" t="inlineStr">
        <is>
          <t>Zero-Order Sustained Release Kinetics</t>
        </is>
      </c>
      <c r="I40" s="2" t="n">
        <v>1</v>
      </c>
      <c r="J4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Diffusion &amp; Fick's laws</t>
        </is>
      </c>
      <c r="M40" s="2" t="inlineStr">
        <is>
          <t>Product</t>
        </is>
      </c>
      <c r="N40" s="2" t="inlineStr">
        <is>
          <t>ข้อ 2 (PLE_CC1_Key_Rx20_UBU.md)</t>
        </is>
      </c>
      <c r="O40" s="2" t="inlineStr">
        <is>
          <t>Mock</t>
        </is>
      </c>
      <c r="P40" s="2" t="inlineStr">
        <is>
          <t>Mock Rx20 UBU</t>
        </is>
      </c>
    </row>
    <row r="41" ht="13.2" customHeight="1" s="49">
      <c r="A41" s="2" t="n">
        <v>39</v>
      </c>
      <c r="B41" s="2" t="inlineStr">
        <is>
          <t>ผ่าน Dissolution</t>
        </is>
      </c>
      <c r="C41" s="2" t="n"/>
      <c r="D41" s="2" t="inlineStr">
        <is>
          <t>First-Order Drug Release Kinetics</t>
        </is>
      </c>
      <c r="E41" s="2" t="inlineStr">
        <is>
          <t>Zero-Order Sustained Release Kinetics</t>
        </is>
      </c>
      <c r="F41" s="2" t="inlineStr">
        <is>
          <t>Fickian Diffusion Concentration Gradient</t>
        </is>
      </c>
      <c r="G41" s="2" t="inlineStr">
        <is>
          <t>BCS Class I (High Solubility, High Permeability)</t>
        </is>
      </c>
      <c r="H41" s="2" t="inlineStr">
        <is>
          <t>BCS Class II (Low Solubility, High Permeability)</t>
        </is>
      </c>
      <c r="I41" s="2" t="n">
        <v>1</v>
      </c>
      <c r="J4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Dissolution testing</t>
        </is>
      </c>
      <c r="M41" s="2" t="inlineStr">
        <is>
          <t>Product</t>
        </is>
      </c>
      <c r="N41" s="2" t="inlineStr">
        <is>
          <t>ข้อ 1 (PLE_CC1_Key_Rx20_UBU.md)</t>
        </is>
      </c>
      <c r="O41" s="2" t="inlineStr">
        <is>
          <t>Mock</t>
        </is>
      </c>
      <c r="P41" s="2" t="inlineStr">
        <is>
          <t>Mock Rx20 UBU</t>
        </is>
      </c>
    </row>
    <row r="42" ht="13.2" customHeight="1" s="49">
      <c r="A42" s="2" t="n">
        <v>40</v>
      </c>
      <c r="B42" s="2"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2" t="n"/>
      <c r="D42" s="2" t="inlineStr">
        <is>
          <t>BCS Class I (High Solubility, High Permeability)</t>
        </is>
      </c>
      <c r="E42" s="2" t="inlineStr">
        <is>
          <t>BCS Class II (Low Solubility, High Permeability)</t>
        </is>
      </c>
      <c r="F42" s="2" t="inlineStr">
        <is>
          <t>BCS Class III (High Solubility, Low Permeability)</t>
        </is>
      </c>
      <c r="G42" s="2" t="inlineStr">
        <is>
          <t>BCS Class IV (Low Solubility, Low Permeability)</t>
        </is>
      </c>
      <c r="H42" s="2" t="inlineStr">
        <is>
          <t>In Vitro Dissolution Apparatus 1 (Basket, 100 rpm)</t>
        </is>
      </c>
      <c r="I42" s="2" t="n">
        <v>1</v>
      </c>
      <c r="J4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Dissolution testing</t>
        </is>
      </c>
      <c r="M42" s="2" t="inlineStr">
        <is>
          <t>Product</t>
        </is>
      </c>
      <c r="N42" s="2" t="inlineStr">
        <is>
          <t>ข้อ 2 (PLE_CC1_Key_Rx20_UBU.md)</t>
        </is>
      </c>
      <c r="O42" s="2" t="inlineStr">
        <is>
          <t>Mock</t>
        </is>
      </c>
      <c r="P42" s="2" t="inlineStr">
        <is>
          <t>Mock Rx20 UBU</t>
        </is>
      </c>
    </row>
    <row r="43" ht="13.2" customHeight="1" s="49">
      <c r="A43" s="2" t="n">
        <v>41</v>
      </c>
      <c r="B43" s="2" t="inlineStr">
        <is>
          <t>จาก USP (การทำ Dissolution test ของ Paracetamol) ข้อใดถูกต้อง</t>
        </is>
      </c>
      <c r="C43" s="2" t="n"/>
      <c r="D43" s="2" t="inlineStr">
        <is>
          <t>Apparatus ใช้ Basket</t>
        </is>
      </c>
      <c r="E43" s="2" t="inlineStr">
        <is>
          <t>ใช้ Phosphate buffer pH 5.8 ± 2.0</t>
        </is>
      </c>
      <c r="F43" s="2" t="inlineStr">
        <is>
          <t>ยาจะละลายเสร็จภายใน 60 นาที</t>
        </is>
      </c>
      <c r="G43" s="2" t="inlineStr">
        <is>
          <t>ใช้ Liquid chromatography ในการวิเคราะห์</t>
        </is>
      </c>
      <c r="H43" s="2" t="inlineStr">
        <is>
          <t>หากผลการวิเคราะห์พบว่า ยา 6 เม็ด แตกตัวภายใน 15 นาที โดยมีตัวยามากกว่า 425 mg ทุกเม็ดแสดงว่าผ่านการวิเคราะห์</t>
        </is>
      </c>
      <c r="I43" s="2" t="n">
        <v>2</v>
      </c>
      <c r="J43" s="2"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Dissolution testing</t>
        </is>
      </c>
      <c r="M43" s="2" t="inlineStr">
        <is>
          <t>Product</t>
        </is>
      </c>
      <c r="N43" s="2" t="inlineStr">
        <is>
          <t>ข้อ 35 (PLE_CC1_Key_Rx20_UBU.md)</t>
        </is>
      </c>
      <c r="O43" s="2" t="inlineStr">
        <is>
          <t>Mock</t>
        </is>
      </c>
      <c r="P43" s="2" t="inlineStr">
        <is>
          <t>Mock Rx20 UBU</t>
        </is>
      </c>
    </row>
    <row r="44" ht="409.6" customHeight="1" s="49">
      <c r="A44" s="35" t="n">
        <v>42</v>
      </c>
      <c r="B44" s="34" t="inlineStr">
        <is>
          <t>ตำรับ hard gelatin capsule ไม่ต้องทำการทดสอบอะไร</t>
        </is>
      </c>
      <c r="C44" s="35" t="n"/>
      <c r="D44" s="34" t="inlineStr">
        <is>
          <t>Dissolution</t>
        </is>
      </c>
      <c r="E44" s="34" t="inlineStr">
        <is>
          <t>Friability</t>
        </is>
      </c>
      <c r="F44" s="34" t="inlineStr">
        <is>
          <t>Microbial enumeration test</t>
        </is>
      </c>
      <c r="G44" s="34" t="inlineStr">
        <is>
          <t>Uniformity of dosage units</t>
        </is>
      </c>
      <c r="H44" s="34" t="inlineStr">
        <is>
          <t>Disintegration</t>
        </is>
      </c>
      <c r="I44" s="35" t="n">
        <v>1</v>
      </c>
      <c r="J44" s="34" t="inlineStr">
        <is>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4" s="35" t="n"/>
      <c r="L44" s="34" t="inlineStr">
        <is>
          <t>Biopharmaceutics &amp; Dissolution</t>
        </is>
      </c>
      <c r="M44" s="35" t="inlineStr">
        <is>
          <t>Product</t>
        </is>
      </c>
      <c r="N44" s="34" t="inlineStr">
        <is>
          <t>ข้อสอบจริง Product ปี 2567 ข้อ 14</t>
        </is>
      </c>
      <c r="O44" s="35" t="inlineStr">
        <is>
          <t>ข้อสอบจริง</t>
        </is>
      </c>
      <c r="P44" s="35" t="inlineStr">
        <is>
          <t>ปี 2567</t>
        </is>
      </c>
    </row>
    <row r="45" ht="409.6" customHeight="1" s="49">
      <c r="A45" s="35" t="n">
        <v>43</v>
      </c>
      <c r="B45" s="34" t="inlineStr">
        <is>
          <t>การทดอบข้อใดต่อไปนี้ ไม่ได้มีข้อกำหนดเกณฑ์ผ่านที่ชัดเจนใน USP</t>
        </is>
      </c>
      <c r="C45" s="35" t="n"/>
      <c r="D45" s="34" t="inlineStr">
        <is>
          <t>Hardness</t>
        </is>
      </c>
      <c r="E45" s="34" t="inlineStr">
        <is>
          <t>friability</t>
        </is>
      </c>
      <c r="F45" s="34" t="inlineStr">
        <is>
          <t>uniformity of dosage units</t>
        </is>
      </c>
      <c r="G45" s="34" t="inlineStr">
        <is>
          <t>Assay</t>
        </is>
      </c>
      <c r="H45" s="34" t="inlineStr">
        <is>
          <t>dissolution</t>
        </is>
      </c>
      <c r="I45" s="35" t="n">
        <v>1</v>
      </c>
      <c r="J45" s="34" t="inlineStr">
        <is>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5" s="35" t="n"/>
      <c r="L45" s="34" t="inlineStr">
        <is>
          <t>Biopharmaceutics &amp; Dissolution</t>
        </is>
      </c>
      <c r="M45" s="35" t="inlineStr">
        <is>
          <t>Product</t>
        </is>
      </c>
      <c r="N45" s="34" t="inlineStr">
        <is>
          <t>ข้อสอบจริง Product ปี 2567 ข้อ 31</t>
        </is>
      </c>
      <c r="O45" s="35" t="inlineStr">
        <is>
          <t>ข้อสอบจริง</t>
        </is>
      </c>
      <c r="P45" s="35" t="inlineStr">
        <is>
          <t>ปี 2567</t>
        </is>
      </c>
    </row>
    <row r="46" ht="409.6" customHeight="1" s="49">
      <c r="A46" s="35" t="n">
        <v>44</v>
      </c>
      <c r="B46" s="34" t="inlineStr">
        <is>
          <t>(ปี 2566, Day 1 ข้อ 34\) (เรื่อง: สารเคลือบฟิล์ม Enteric-coated) ⚠️ สารที่ใช้ทำ film เคลือบยา enteric-coated คือข้อใด</t>
        </is>
      </c>
      <c r="C46" s="35" t="n"/>
      <c r="D46" s="34" t="inlineStr">
        <is>
          <t>Ethyl cellulose</t>
        </is>
      </c>
      <c r="E46" s="34" t="n"/>
      <c r="F46" s="34" t="n"/>
      <c r="G46" s="34" t="inlineStr">
        <is>
          <t>Enteric-coated tablet ละลายที่ลำไส้เล็ก</t>
        </is>
      </c>
      <c r="H46" s="34" t="n"/>
      <c r="I46" s="35" t="n">
        <v>2</v>
      </c>
      <c r="J46" s="34" t="inlineStr">
        <is>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6" s="35" t="n"/>
      <c r="L46" s="34" t="inlineStr">
        <is>
          <t>Biopharmaceutics &amp; Dissolution</t>
        </is>
      </c>
      <c r="M46" s="35" t="inlineStr">
        <is>
          <t>Product</t>
        </is>
      </c>
      <c r="N46" s="34" t="inlineStr">
        <is>
          <t>ข้อสอบจริง Product ปี 2566 ข้อ 6</t>
        </is>
      </c>
      <c r="O46" s="35" t="inlineStr">
        <is>
          <t>ข้อสอบจริง</t>
        </is>
      </c>
      <c r="P46" s="35" t="inlineStr">
        <is>
          <t>ปี 2566</t>
        </is>
      </c>
    </row>
    <row r="47" ht="409.6" customHeight="1" s="49">
      <c r="A47" s="35" t="n">
        <v>45</v>
      </c>
      <c r="B47" s="34" t="inlineStr">
        <is>
          <t>(ปี 2566, Day 1 ข้อ 46\) (เรื่อง: การทดสอบยาเม็ดเคลือบน้ำตาล - Sugar-coated) ยาสักอย่าง เป็น sugar-coated ไม่ต้องทดสอบอะไร</t>
        </is>
      </c>
      <c r="C47" s="35" t="n"/>
      <c r="D47" s="34" t="inlineStr">
        <is>
          <t>dissolution</t>
        </is>
      </c>
      <c r="E47" s="34" t="inlineStr">
        <is>
          <t>disintegration</t>
        </is>
      </c>
      <c r="F47" s="34" t="inlineStr">
        <is>
          <t>weight variation</t>
        </is>
      </c>
      <c r="G47" s="34" t="inlineStr">
        <is>
          <t>-</t>
        </is>
      </c>
      <c r="H47" s="34" t="n"/>
      <c r="I47" s="35" t="n">
        <v>1</v>
      </c>
      <c r="J47" s="34" t="inlineStr">
        <is>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7" s="35" t="n"/>
      <c r="L47" s="34" t="inlineStr">
        <is>
          <t>Biopharmaceutics &amp; Dissolution</t>
        </is>
      </c>
      <c r="M47" s="35" t="inlineStr">
        <is>
          <t>Product</t>
        </is>
      </c>
      <c r="N47" s="34" t="inlineStr">
        <is>
          <t>ข้อสอบจริง Product ปี 2566 ข้อ 8</t>
        </is>
      </c>
      <c r="O47" s="35" t="inlineStr">
        <is>
          <t>ข้อสอบจริง</t>
        </is>
      </c>
      <c r="P47" s="35" t="inlineStr">
        <is>
          <t>ปี 2566</t>
        </is>
      </c>
    </row>
    <row r="48" ht="409.6" customHeight="1" s="49">
      <c r="A48" s="35" t="n">
        <v>46</v>
      </c>
      <c r="B48" s="34" t="inlineStr">
        <is>
          <t>(ปี 2566, Day 2 ข้อ 89\) (เรื่อง: Dissolution S1 Acceptance - Acetaminophen) Performance test ของ Acetaminophen tablet (ไม่ใช่ chewable) ขั้น S1 acceptance criteria คือเท่าไหร่</t>
        </is>
      </c>
      <c r="C48" s="35" t="n"/>
      <c r="D48" s="34" t="inlineStr">
        <is>
          <t>75%</t>
        </is>
      </c>
      <c r="E48" s="34" t="inlineStr">
        <is>
          <t>80%</t>
        </is>
      </c>
      <c r="F48" s="34" t="inlineStr">
        <is>
          <t>85%</t>
        </is>
      </c>
      <c r="G48" s="34" t="inlineStr">
        <is>
          <t>90%</t>
        </is>
      </c>
      <c r="H48" s="34" t="n"/>
      <c r="I48" s="35" t="n">
        <v>1</v>
      </c>
      <c r="J48" s="34" t="inlineStr">
        <is>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8" s="35" t="n"/>
      <c r="L48" s="34" t="inlineStr">
        <is>
          <t>Biopharmaceutics &amp; Dissolution</t>
        </is>
      </c>
      <c r="M48" s="35" t="inlineStr">
        <is>
          <t>Product</t>
        </is>
      </c>
      <c r="N48" s="34" t="inlineStr">
        <is>
          <t>ข้อสอบจริง Product ปี 2566 ข้อ 35</t>
        </is>
      </c>
      <c r="O48" s="35" t="inlineStr">
        <is>
          <t>ข้อสอบจริง</t>
        </is>
      </c>
      <c r="P48" s="35" t="inlineStr">
        <is>
          <t>ปี 2566</t>
        </is>
      </c>
    </row>
    <row r="49" ht="409.6" customHeight="1" s="49">
      <c r="A49" s="35" t="n">
        <v>47</v>
      </c>
      <c r="B49" s="34" t="inlineStr">
        <is>
          <t>ISDN Sublingual ไม่ต้องทดสอบเรื่องอะไร</t>
        </is>
      </c>
      <c r="C49" s="35" t="n"/>
      <c r="D49" s="34" t="inlineStr">
        <is>
          <t>friability</t>
        </is>
      </c>
      <c r="E49" s="34" t="inlineStr">
        <is>
          <t>Disintegration</t>
        </is>
      </c>
      <c r="F49" s="34" t="inlineStr">
        <is>
          <t>Dissolution time</t>
        </is>
      </c>
      <c r="G49" s="34" t="inlineStr">
        <is>
          <t>Thickness</t>
        </is>
      </c>
      <c r="H49" s="34" t="inlineStr">
        <is>
          <t>Content uniformity</t>
        </is>
      </c>
      <c r="I49" s="35" t="n">
        <v>1</v>
      </c>
      <c r="J49" s="34" t="inlineStr">
        <is>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9" s="35" t="n"/>
      <c r="L49" s="34" t="inlineStr">
        <is>
          <t>Biopharmaceutics &amp; Dissolution</t>
        </is>
      </c>
      <c r="M49" s="35" t="inlineStr">
        <is>
          <t>Product</t>
        </is>
      </c>
      <c r="N49" s="34" t="inlineStr">
        <is>
          <t>ข้อสอบจริง Product ปี 2565 ข้อ 4</t>
        </is>
      </c>
      <c r="O49" s="35" t="inlineStr">
        <is>
          <t>ข้อสอบจริง</t>
        </is>
      </c>
      <c r="P49" s="35" t="inlineStr">
        <is>
          <t>ปี 2565</t>
        </is>
      </c>
    </row>
    <row r="50" ht="409.6" customHeight="1" s="49">
      <c r="A50" s="35" t="n">
        <v>48</v>
      </c>
      <c r="B50" s="34" t="inlineStr">
        <is>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t>
        </is>
      </c>
      <c r="C50" s="35" t="n"/>
      <c r="D50" s="34" t="inlineStr">
        <is>
          <t>dissolution</t>
        </is>
      </c>
      <c r="E50" s="34" t="inlineStr">
        <is>
          <t>hardness</t>
        </is>
      </c>
      <c r="F50" s="34" t="inlineStr">
        <is>
          <t>microbial limit</t>
        </is>
      </c>
      <c r="G50" s="34" t="inlineStr">
        <is>
          <t>particle size กรณีที่ 2 ผู้ป่วยชาย 50 ปีสูบบุหรี่ 25 มวนต่อวัน ติดต่อกัน 20 ปี</t>
        </is>
      </c>
      <c r="H50" s="34" t="n"/>
      <c r="I50" s="35" t="n">
        <v>1</v>
      </c>
      <c r="J50" s="34" t="inlineStr">
        <is>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0" s="35" t="n"/>
      <c r="L50" s="34" t="inlineStr">
        <is>
          <t>Biopharmaceutics &amp; Dissolution</t>
        </is>
      </c>
      <c r="M50" s="35" t="inlineStr">
        <is>
          <t>Product</t>
        </is>
      </c>
      <c r="N50" s="34" t="inlineStr">
        <is>
          <t>ข้อสอบจริง Product ปี 2565 ข้อ 5</t>
        </is>
      </c>
      <c r="O50" s="35" t="inlineStr">
        <is>
          <t>ข้อสอบจริง</t>
        </is>
      </c>
      <c r="P50" s="35" t="inlineStr">
        <is>
          <t>ปี 2565</t>
        </is>
      </c>
    </row>
    <row r="51" ht="409.6" customHeight="1" s="49">
      <c r="A51" s="35" t="n">
        <v>49</v>
      </c>
      <c r="B51" s="34" t="inlineStr">
        <is>
          <t>ข้อใดเป็นเกณฑ์ dissolution ของ enteric coated tablet ที acid stage 1</t>
        </is>
      </c>
      <c r="C51" s="35" t="n"/>
      <c r="D51" s="34" t="inlineStr">
        <is>
          <t>ยาแต่ละเม็ดต้องละลายไม่เกิน 10%</t>
        </is>
      </c>
      <c r="E51" s="34" t="inlineStr">
        <is>
          <t>ยาแต่ละเม็ดละลายไม่น้อยกว่า Q+5</t>
        </is>
      </c>
      <c r="F51" s="34" t="inlineStr">
        <is>
          <t>ยาแต่ละเม็ดละลายไม่น้อยกว่า Q ???</t>
        </is>
      </c>
      <c r="G51" s="34" t="inlineStr">
        <is>
          <t>[NEED_REVIEW]</t>
        </is>
      </c>
      <c r="H51" s="34" t="inlineStr">
        <is>
          <t>[NEED_REVIEW]</t>
        </is>
      </c>
      <c r="I51" s="35" t="n">
        <v>1</v>
      </c>
      <c r="J51" s="34" t="inlineStr">
        <is>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1" s="35" t="n"/>
      <c r="L51" s="34" t="inlineStr">
        <is>
          <t>Biopharmaceutics &amp; Dissolution</t>
        </is>
      </c>
      <c r="M51" s="35" t="inlineStr">
        <is>
          <t>Product</t>
        </is>
      </c>
      <c r="N51" s="34" t="inlineStr">
        <is>
          <t>ข้อสอบจริง Product ปี 2565 ข้อ 76</t>
        </is>
      </c>
      <c r="O51" s="35" t="inlineStr">
        <is>
          <t>ข้อสอบจริง</t>
        </is>
      </c>
      <c r="P51" s="35" t="inlineStr">
        <is>
          <t>ปี 2565</t>
        </is>
      </c>
    </row>
    <row r="52" ht="409.6" customHeight="1" s="49">
      <c r="A52" s="35" t="n">
        <v>50</v>
      </c>
      <c r="B52" s="34" t="inlineStr">
        <is>
          <t>ยา A เป็นยา BCS class 2 ข้อใดกล่าวถูกต้องเกี่ยวกับคุณสมบัติของยา A</t>
        </is>
      </c>
      <c r="C52" s="35" t="n"/>
      <c r="D52" s="34" t="inlineStr">
        <is>
          <t>การละลายสูง การซึมผ่านสูง</t>
        </is>
      </c>
      <c r="E52" s="34" t="inlineStr">
        <is>
          <t>การละลายสูง การแตกตัวสูง</t>
        </is>
      </c>
      <c r="F52" s="34" t="inlineStr">
        <is>
          <t>การละลายต่ำ การซึมผ่านต่ำ</t>
        </is>
      </c>
      <c r="G52" s="34" t="inlineStr">
        <is>
          <t>การละลายต่ำ แต่การซึมผ่านสูง</t>
        </is>
      </c>
      <c r="H52" s="34" t="inlineStr">
        <is>
          <t>[NEED_REVIEW]</t>
        </is>
      </c>
      <c r="I52" s="35" t="n">
        <v>1</v>
      </c>
      <c r="J52" s="34" t="inlineStr">
        <is>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2" s="35" t="n"/>
      <c r="L52" s="34" t="inlineStr">
        <is>
          <t>Biopharmaceutics &amp; Dissolution</t>
        </is>
      </c>
      <c r="M52" s="35" t="inlineStr">
        <is>
          <t>Product</t>
        </is>
      </c>
      <c r="N52" s="34" t="inlineStr">
        <is>
          <t>ข้อสอบจริง Product ปี 2565 ข้อ 80</t>
        </is>
      </c>
      <c r="O52" s="35" t="inlineStr">
        <is>
          <t>ข้อสอบจริง</t>
        </is>
      </c>
      <c r="P52" s="35" t="inlineStr">
        <is>
          <t>ปี 2565</t>
        </is>
      </c>
    </row>
    <row r="53" ht="409.6" customHeight="1" s="49">
      <c r="A53" s="35" t="n">
        <v>51</v>
      </c>
      <c r="B53" s="34" t="inlineStr">
        <is>
          <t>ทําการทดสอบ Bioequivalence (BE) ของ Naproxen tablet ต้องทดสอบอะไร</t>
        </is>
      </c>
      <c r="C53" s="35" t="n"/>
      <c r="D53" s="34" t="inlineStr">
        <is>
          <t>Cmax และ AUC</t>
        </is>
      </c>
      <c r="E53" s="34" t="inlineStr">
        <is>
          <t>Vd และ Half-life  เป็นค่าทางเภสัชจลนศาสตร์ ไม่ใช่เกณฑ์หลักของ BE</t>
        </is>
      </c>
      <c r="F53" s="34" t="inlineStr">
        <is>
          <t>Clearance และ AUC  Clearance ไม่ใช้เป็นเกณฑ์เปรียบเทียบ BE</t>
        </is>
      </c>
      <c r="G53" s="34" t="inlineStr">
        <is>
          <t>Clearance และ Cmax  Clearance ไม่ใช่ตัวชี้วัด BE</t>
        </is>
      </c>
      <c r="H53" s="34" t="inlineStr">
        <is>
          <t>Vd และ AUC  Vd ไม่ใช่เกณฑ์ของ BE</t>
        </is>
      </c>
      <c r="I53" s="35" t="n">
        <v>1</v>
      </c>
      <c r="J53" s="34" t="inlineStr">
        <is>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3" s="35" t="n"/>
      <c r="L53" s="34" t="inlineStr">
        <is>
          <t>Biopharmaceutics &amp; Dissolution</t>
        </is>
      </c>
      <c r="M53" s="35" t="inlineStr">
        <is>
          <t>Product</t>
        </is>
      </c>
      <c r="N53" s="34" t="inlineStr">
        <is>
          <t>ข้อสอบจริง Product ปี 2564 ข้อ 15</t>
        </is>
      </c>
      <c r="O53" s="35" t="inlineStr">
        <is>
          <t>ข้อสอบจริง</t>
        </is>
      </c>
      <c r="P53" s="35" t="inlineStr">
        <is>
          <t>ปี 2564</t>
        </is>
      </c>
    </row>
    <row r="54" ht="409.6" customHeight="1" s="49">
      <c r="A54" s="35" t="n">
        <v>52</v>
      </c>
      <c r="B54" s="34" t="inlineStr">
        <is>
          <t>ข้อมูลด้านประสิทธิภาพและประสิทธิผลใด จําเป็นต้องใช้ในการขึ้นทะเบียนตํารับยา orlistat capsule</t>
        </is>
      </c>
      <c r="C54" s="35" t="n"/>
      <c r="D54" s="34" t="inlineStr">
        <is>
          <t>Assay  เป็นการทดสอบปริมาณตัวยา (Quality control)</t>
        </is>
      </c>
      <c r="E54" s="34" t="inlineStr">
        <is>
          <t>Uniformity of dosage  เป็นการทดสอบความสม่ำเสมอของปริมาณยา</t>
        </is>
      </c>
      <c r="F54" s="34" t="inlineStr">
        <is>
          <t>Comparative dissolution  ใช้สนับสนุนหรือบางกรณีใช้ขอ Biowaiver แต่ไม่ใช่หลักฐานประสิทธิภาพหลักของ BE</t>
        </is>
      </c>
      <c r="G54" s="34" t="inlineStr">
        <is>
          <t>95%CI ของ AUC และ Cmax ของการทดสอบชีวสมมูล</t>
        </is>
      </c>
      <c r="H54" s="34" t="inlineStr">
        <is>
          <t>รายงานอาการไม่พึงประสงค์ เป็นข้อมูลด้านความปลอดภัย ไม่ใช่หลักฐานการแสดงชีวสมมูล</t>
        </is>
      </c>
      <c r="I54" s="35" t="n">
        <v>1</v>
      </c>
      <c r="J54" s="34" t="inlineStr">
        <is>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4" s="35" t="n"/>
      <c r="L54" s="34" t="inlineStr">
        <is>
          <t>Biopharmaceutics &amp; Dissolution</t>
        </is>
      </c>
      <c r="M54" s="35" t="inlineStr">
        <is>
          <t>Product</t>
        </is>
      </c>
      <c r="N54" s="34" t="inlineStr">
        <is>
          <t>ข้อสอบจริง Product ปี 2564 ข้อ 22</t>
        </is>
      </c>
      <c r="O54" s="35" t="inlineStr">
        <is>
          <t>ข้อสอบจริง</t>
        </is>
      </c>
      <c r="P54" s="35" t="inlineStr">
        <is>
          <t>ปี 2564</t>
        </is>
      </c>
    </row>
    <row r="55" ht="409.6" customHeight="1" s="49">
      <c r="A55" s="35" t="n">
        <v>53</v>
      </c>
      <c r="B55" s="34" t="inlineStr">
        <is>
          <t>ข้อกำหนดยา A ในหัวข้อ dissolution กำหนดไว้วา “not less than 80% (Q) of labeled amount of A is dissolved in 30 minutes” ข้อใดถือว่าผ่านเกณฑ์</t>
        </is>
      </c>
      <c r="C55" s="35" t="inlineStr">
        <is>
          <t>[แนบรูป: ข้อสอบ Product ปี 2564 รหัสรูปภาพ image75]</t>
        </is>
      </c>
      <c r="D55" s="34" t="inlineStr">
        <is>
          <t>ค่าเฉลี่ยของการละลายทั้ง 6 เม็ด มากกวาหรือเท่ากับ 80% labeled amount ภายใน 30 นาที</t>
        </is>
      </c>
      <c r="E55" s="34" t="inlineStr">
        <is>
          <t>ค่าเฉลี่ยของการละลายทั้ง 6 เม็ด มากกวาหรือเท่ากับ 85% labeled amount ภายใน 30 นาที</t>
        </is>
      </c>
      <c r="F55" s="34" t="inlineStr">
        <is>
          <t>ค่าละลายของยาแต่ละเม็ด มากกวาหรือเท่ากับ 80% labeled amount ภายใน 30 นาที</t>
        </is>
      </c>
      <c r="G55" s="34" t="inlineStr">
        <is>
          <t>ค่าละลายของยาแต่ละเม็ด มากกวาหรือเท่ากับ 85% labeled amount ภายใน 30 นาที</t>
        </is>
      </c>
      <c r="H55" s="34" t="inlineStr">
        <is>
          <t>ค่าละลายของยาแต่ละเม็ด และค่าเฉลี่ยของการละลายทั้ง 6 เม็ด มากกว่าหรือเทากับ 80% labeled amount ภายใน 30 นาที</t>
        </is>
      </c>
      <c r="I55" s="35" t="n">
        <v>1</v>
      </c>
      <c r="J55" s="34" t="inlineStr">
        <is>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5" s="35" t="n"/>
      <c r="L55" s="34" t="inlineStr">
        <is>
          <t>Biopharmaceutics &amp; Dissolution</t>
        </is>
      </c>
      <c r="M55" s="35" t="inlineStr">
        <is>
          <t>Product</t>
        </is>
      </c>
      <c r="N55" s="34" t="inlineStr">
        <is>
          <t>ข้อสอบจริง Product ปี 2564 ข้อ 38</t>
        </is>
      </c>
      <c r="O55" s="35" t="inlineStr">
        <is>
          <t>ข้อสอบจริง</t>
        </is>
      </c>
      <c r="P55" s="35" t="inlineStr">
        <is>
          <t>ปี 2564</t>
        </is>
      </c>
    </row>
    <row r="56" ht="409.6" customHeight="1" s="49">
      <c r="A56" s="35" t="n">
        <v>54</v>
      </c>
      <c r="B56" s="34" t="inlineStr">
        <is>
          <t>ไม่ต้องทดสอบคุณภาพ CPM Tablets</t>
        </is>
      </c>
      <c r="C56" s="35" t="n"/>
      <c r="D56" s="34" t="inlineStr">
        <is>
          <t>friability</t>
        </is>
      </c>
      <c r="E56" s="34" t="inlineStr">
        <is>
          <t>hardness</t>
        </is>
      </c>
      <c r="F56" s="34" t="inlineStr">
        <is>
          <t>%label amount</t>
        </is>
      </c>
      <c r="G56" s="34" t="inlineStr">
        <is>
          <t>%moisture content</t>
        </is>
      </c>
      <c r="H56" s="34" t="n"/>
      <c r="I56" s="35" t="n">
        <v>1</v>
      </c>
      <c r="J56" s="34" t="inlineStr">
        <is>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6" s="35" t="n"/>
      <c r="L56" s="34" t="inlineStr">
        <is>
          <t>Biopharmaceutics &amp; Dissolution</t>
        </is>
      </c>
      <c r="M56" s="35" t="inlineStr">
        <is>
          <t>Product</t>
        </is>
      </c>
      <c r="N56" s="34" t="inlineStr">
        <is>
          <t>ข้อสอบจริง Product ปี 2564 ข้อ 49</t>
        </is>
      </c>
      <c r="O56" s="35" t="inlineStr">
        <is>
          <t>ข้อสอบจริง</t>
        </is>
      </c>
      <c r="P56" s="35" t="inlineStr">
        <is>
          <t>ปี 2564</t>
        </is>
      </c>
    </row>
    <row r="57" ht="409.6" customHeight="1" s="49">
      <c r="A57" s="35" t="n">
        <v>55</v>
      </c>
      <c r="B57" s="34" t="inlineStr">
        <is>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is>
      </c>
      <c r="C57" s="35" t="n"/>
      <c r="D57" s="34" t="inlineStr">
        <is>
          <t>1 ปี</t>
        </is>
      </c>
      <c r="E57" s="34" t="inlineStr">
        <is>
          <t>2 ปี</t>
        </is>
      </c>
      <c r="F57" s="34" t="inlineStr">
        <is>
          <t>3 ปี</t>
        </is>
      </c>
      <c r="G57" s="34" t="inlineStr">
        <is>
          <t>4 ปี</t>
        </is>
      </c>
      <c r="H57" s="34" t="inlineStr">
        <is>
          <t>5 ปี</t>
        </is>
      </c>
      <c r="I57" s="35" t="n">
        <v>1</v>
      </c>
      <c r="J57" s="34" t="inlineStr">
        <is>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7" s="35" t="n"/>
      <c r="L57" s="34" t="inlineStr">
        <is>
          <t>Biopharmaceutics &amp; Dissolution</t>
        </is>
      </c>
      <c r="M57" s="35" t="inlineStr">
        <is>
          <t>Product</t>
        </is>
      </c>
      <c r="N57" s="34" t="inlineStr">
        <is>
          <t>ข้อสอบจริง Product ปี 2564 ข้อ 103</t>
        </is>
      </c>
      <c r="O57" s="35" t="inlineStr">
        <is>
          <t>ข้อสอบจริง</t>
        </is>
      </c>
      <c r="P57" s="35" t="inlineStr">
        <is>
          <t>ปี 2564</t>
        </is>
      </c>
    </row>
    <row r="58" ht="409.6" customHeight="1" s="49">
      <c r="A58" s="35" t="n">
        <v>56</v>
      </c>
      <c r="B58" s="34" t="inlineStr">
        <is>
          <t>หากต้องการเปิดหนังสือเพื่อค้นคว้า เรื่อง bioequivalence ควรเปิดหนังสือเล่มใด</t>
        </is>
      </c>
      <c r="C58" s="35" t="n"/>
      <c r="D58" s="34" t="inlineStr">
        <is>
          <t>USP</t>
        </is>
      </c>
      <c r="E58" s="34" t="inlineStr">
        <is>
          <t>Drug fact and comparison</t>
        </is>
      </c>
      <c r="F58" s="34" t="inlineStr">
        <is>
          <t>Drug information handbook</t>
        </is>
      </c>
      <c r="G58" s="34" t="inlineStr">
        <is>
          <t>Drug interaction fact</t>
        </is>
      </c>
      <c r="H58" s="34" t="inlineStr">
        <is>
          <t>Pharmacotherapy</t>
        </is>
      </c>
      <c r="I58" s="35" t="n">
        <v>1</v>
      </c>
      <c r="J58" s="34" t="inlineStr">
        <is>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8" s="35" t="n"/>
      <c r="L58" s="34" t="inlineStr">
        <is>
          <t>Biopharmaceutics &amp; Dissolution</t>
        </is>
      </c>
      <c r="M58" s="35" t="inlineStr">
        <is>
          <t>Product</t>
        </is>
      </c>
      <c r="N58" s="34" t="inlineStr">
        <is>
          <t>ข้อสอบจริง Product ปี 2564 ข้อ 121</t>
        </is>
      </c>
      <c r="O58" s="35" t="inlineStr">
        <is>
          <t>ข้อสอบจริง</t>
        </is>
      </c>
      <c r="P58" s="35" t="inlineStr">
        <is>
          <t>ปี 2564</t>
        </is>
      </c>
    </row>
    <row r="59" ht="409.6" customHeight="1" s="49">
      <c r="A59" s="35" t="n">
        <v>57</v>
      </c>
      <c r="B59" s="34" t="inlineStr">
        <is>
          <t>ยา B มีคุณสมบัติละลายน้ำไม่ดี หากต้องการเตรียมเป็นยา capsule ควรเลือก diluent แบบใด</t>
        </is>
      </c>
      <c r="C59" s="35" t="n"/>
      <c r="D59" s="34" t="inlineStr">
        <is>
          <t>ยาผ่าน การวิเคราะห์ ในทุกหัวข้อ</t>
        </is>
      </c>
      <c r="E59" s="34" t="inlineStr">
        <is>
          <t>การแตกตัวไม่ผ่าน เพราะได้น้อยกว่า 15 นาที</t>
        </is>
      </c>
      <c r="F59" s="34" t="inlineStr">
        <is>
          <t>Weight variation ไม่ผ่าน ได้น้อยกว่า 75%</t>
        </is>
      </c>
      <c r="G59" s="34" t="inlineStr">
        <is>
          <t>dissolution ไม่ผ่าน ได้น้อยกว่า 85% ต้องทดสอบเพิ่ม</t>
        </is>
      </c>
      <c r="H59" s="34" t="inlineStr">
        <is>
          <t>การวิเคราะห์ตัวยาสำคัญไม่ผ่าน เพราะได้เป็น กว่า 90%</t>
        </is>
      </c>
      <c r="I59" s="35" t="n">
        <v>1</v>
      </c>
      <c r="J59" s="34" t="inlineStr">
        <is>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9" s="35" t="n"/>
      <c r="L59" s="34" t="inlineStr">
        <is>
          <t>Biopharmaceutics &amp; Dissolution</t>
        </is>
      </c>
      <c r="M59" s="35" t="inlineStr">
        <is>
          <t>Product</t>
        </is>
      </c>
      <c r="N59" s="34" t="inlineStr">
        <is>
          <t>ข้อสอบจริง Product ปี 2564 ข้อ 134</t>
        </is>
      </c>
      <c r="O59" s="35" t="inlineStr">
        <is>
          <t>ข้อสอบจริง</t>
        </is>
      </c>
      <c r="P59" s="35" t="inlineStr">
        <is>
          <t>ปี 2564</t>
        </is>
      </c>
    </row>
    <row r="60" ht="409.6" customHeight="1" s="49">
      <c r="A60" s="35" t="n">
        <v>58</v>
      </c>
      <c r="B60" s="34" t="inlineStr">
        <is>
          <t>สารใดใช้สำหรับการเตรียม matrix sustained release tablets</t>
        </is>
      </c>
      <c r="C60" s="35" t="n"/>
      <c r="D60" s="34" t="inlineStr">
        <is>
          <t>PEG 400</t>
        </is>
      </c>
      <c r="E60" s="34" t="inlineStr">
        <is>
          <t>Lactose</t>
        </is>
      </c>
      <c r="F60" s="34" t="inlineStr">
        <is>
          <t>Sucralose</t>
        </is>
      </c>
      <c r="G60" s="34" t="inlineStr">
        <is>
          <t>Polysorbate</t>
        </is>
      </c>
      <c r="H60" s="34" t="inlineStr">
        <is>
          <t>Hypromellose</t>
        </is>
      </c>
      <c r="I60" s="35" t="n">
        <v>1</v>
      </c>
      <c r="J60" s="34" t="inlineStr">
        <is>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0" s="35" t="n"/>
      <c r="L60" s="34" t="inlineStr">
        <is>
          <t>Biopharmaceutics &amp; Dissolution</t>
        </is>
      </c>
      <c r="M60" s="35" t="inlineStr">
        <is>
          <t>Product</t>
        </is>
      </c>
      <c r="N60" s="34" t="inlineStr">
        <is>
          <t>ข้อสอบจริง Product ปี 2564 ข้อ 156</t>
        </is>
      </c>
      <c r="O60" s="35" t="inlineStr">
        <is>
          <t>ข้อสอบจริง</t>
        </is>
      </c>
      <c r="P60" s="35" t="inlineStr">
        <is>
          <t>ปี 2564</t>
        </is>
      </c>
    </row>
    <row r="61" ht="409.6" customHeight="1" s="49">
      <c r="A61" s="35" t="n">
        <v>59</v>
      </c>
      <c r="B61" s="34" t="inlineStr">
        <is>
          <t>ชีวสมมูลเปรียบเทียบยาต้นแบบกับยาใหม่ที่ขับออกทางไตคือข้อใด</t>
        </is>
      </c>
      <c r="C61" s="35" t="n"/>
      <c r="D61" s="34" t="inlineStr">
        <is>
          <t>T1/2 ❌ เป็นพารามิเตอร์การกำจัดยา ไม่ใช่ตัวหลักในการเปรียบเทียบ BE</t>
        </is>
      </c>
      <c r="E61" s="34" t="inlineStr">
        <is>
          <t>Urine excretion ✅ ใช้ได้เมื่อยาถูกขับออกทางไตเป็นหลัก</t>
        </is>
      </c>
      <c r="F61" s="34" t="inlineStr">
        <is>
          <t>AUC vs time curve ❌ เป็นวิธีหลักของ BE ทั่วไป แต่ใช้จาก plasma concentration ไม่ใช่ urine ในกรณีนี้</t>
        </is>
      </c>
      <c r="G61" s="34" t="inlineStr">
        <is>
          <t>Drug plasma concentration ❌ ใช้บ่อยที่สุด แต่โจทย์ระบุ "ขับออกทางไต" → ใช้ urine ได้</t>
        </is>
      </c>
      <c r="H61" s="34" t="inlineStr">
        <is>
          <t>Time to peak drug concentration (Tmax) ❌ บอกอัตราการดูดซึม ไม่ใช่ปริมาณยาเข้าสู่ร่างกาย</t>
        </is>
      </c>
      <c r="I61" s="35" t="n">
        <v>1</v>
      </c>
      <c r="J61" s="34" t="inlineStr">
        <is>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1" s="35" t="n"/>
      <c r="L61" s="34" t="inlineStr">
        <is>
          <t>Biopharmaceutics &amp; Dissolution</t>
        </is>
      </c>
      <c r="M61" s="35" t="inlineStr">
        <is>
          <t>Product</t>
        </is>
      </c>
      <c r="N61" s="34" t="inlineStr">
        <is>
          <t>ข้อสอบจริง Product ปี 2564 ข้อ 165</t>
        </is>
      </c>
      <c r="O61" s="35" t="inlineStr">
        <is>
          <t>ข้อสอบจริง</t>
        </is>
      </c>
      <c r="P61" s="35" t="inlineStr">
        <is>
          <t>ปี 2564</t>
        </is>
      </c>
    </row>
    <row r="62" ht="409.6" customHeight="1" s="49">
      <c r="A62" s="35" t="n">
        <v>60</v>
      </c>
      <c r="B62" s="34" t="inlineStr">
        <is>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is>
      </c>
      <c r="C62" s="35" t="n"/>
      <c r="D62" s="34" t="inlineStr">
        <is>
          <t>1 ปี</t>
        </is>
      </c>
      <c r="E62" s="34" t="inlineStr">
        <is>
          <t>2 ปี</t>
        </is>
      </c>
      <c r="F62" s="34" t="inlineStr">
        <is>
          <t>3 ปี</t>
        </is>
      </c>
      <c r="G62" s="34" t="inlineStr">
        <is>
          <t>4 ปี</t>
        </is>
      </c>
      <c r="H62" s="34" t="inlineStr">
        <is>
          <t>5 ปี</t>
        </is>
      </c>
      <c r="I62" s="35" t="n">
        <v>5</v>
      </c>
      <c r="J62" s="34" t="inlineStr">
        <is>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2" s="35" t="n"/>
      <c r="L62" s="34" t="inlineStr">
        <is>
          <t>Biopharmaceutics &amp; Dissolution</t>
        </is>
      </c>
      <c r="M62" s="35" t="inlineStr">
        <is>
          <t>Product</t>
        </is>
      </c>
      <c r="N62" s="34" t="inlineStr">
        <is>
          <t>ข้อสอบจริง Product ปี 2563 ข้อ 14</t>
        </is>
      </c>
      <c r="O62" s="35" t="inlineStr">
        <is>
          <t>ข้อสอบจริง</t>
        </is>
      </c>
      <c r="P62" s="35" t="inlineStr">
        <is>
          <t>ปี 2563</t>
        </is>
      </c>
    </row>
    <row r="63" ht="409.6" customHeight="1" s="49">
      <c r="A63" s="35" t="n">
        <v>61</v>
      </c>
      <c r="B63" s="34" t="inlineStr">
        <is>
          <t>ตามเภสัชตำรับ celecoxib 200 mg ไม่ต้องทดสอบอะไร ต้นฉบับ: Day 1 ข้อ 4</t>
        </is>
      </c>
      <c r="C63" s="35" t="n"/>
      <c r="D63" s="34" t="inlineStr">
        <is>
          <t>Particle size distribution</t>
        </is>
      </c>
      <c r="E63" s="34" t="inlineStr">
        <is>
          <t>Dissolution</t>
        </is>
      </c>
      <c r="F63" s="34" t="inlineStr">
        <is>
          <t>Disintegration</t>
        </is>
      </c>
      <c r="G63" s="34" t="inlineStr">
        <is>
          <t>Weight variation</t>
        </is>
      </c>
      <c r="H63" s="34" t="inlineStr">
        <is>
          <t>Assay | คำตอบที่ข้อสอบน่าจะต้องการ: c) Disintegration เมื่อกำหนดการทดสอบ dissolution แล้ว มักไม่จำเป็นต้องทดสอบ disintegration แยกอีก</t>
        </is>
      </c>
      <c r="I63" s="35" t="n">
        <v>1</v>
      </c>
      <c r="J63" s="34" t="inlineStr">
        <is>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3" s="35" t="n"/>
      <c r="L63" s="34" t="inlineStr">
        <is>
          <t>Biopharmaceutics &amp; Dissolution</t>
        </is>
      </c>
      <c r="M63" s="35" t="inlineStr">
        <is>
          <t>Product</t>
        </is>
      </c>
      <c r="N63" s="34" t="inlineStr">
        <is>
          <t>ข้อสอบจริง Product ปี 2563 ข้อ 16</t>
        </is>
      </c>
      <c r="O63" s="35" t="inlineStr">
        <is>
          <t>ข้อสอบจริง</t>
        </is>
      </c>
      <c r="P63" s="35" t="inlineStr">
        <is>
          <t>ปี 2563</t>
        </is>
      </c>
    </row>
    <row r="64" ht="409.6" customHeight="1" s="49">
      <c r="A64" s="35" t="n">
        <v>62</v>
      </c>
      <c r="B64" s="34" t="inlineStr">
        <is>
          <t>ข้อใดถูกต้อง ต้นฉบับ: Day 1 ข้อ 45</t>
        </is>
      </c>
      <c r="C64" s="35" t="n"/>
      <c r="D64" s="34" t="inlineStr">
        <is>
          <t>ทำเป็น granule ใส่ในแคปซูลแบบนิ่มได้</t>
        </is>
      </c>
      <c r="E64" s="34" t="inlineStr">
        <is>
          <t>แคปซูลเบอร์ใหญ่จะขนาดใหญ่</t>
        </is>
      </c>
      <c r="F64" s="34" t="inlineStr">
        <is>
          <t>แคปซูล bioavailability น้อยกว่ายาเม็ด</t>
        </is>
      </c>
      <c r="G64" s="34" t="inlineStr">
        <is>
          <t>แคปซูลเป็น solid dosage form จะมียาสารสำคัญมากกว่า1 ตัวขึ้นไป</t>
        </is>
      </c>
      <c r="H64" s="34" t="inlineStr">
        <is>
          <t>แคปซูลแบบนิ่มสามารถใส่ของแข็งได้</t>
        </is>
      </c>
      <c r="I64" s="35" t="n">
        <v>5</v>
      </c>
      <c r="J64" s="34" t="inlineStr">
        <is>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4" s="35" t="n"/>
      <c r="L64" s="34" t="inlineStr">
        <is>
          <t>Biopharmaceutics &amp; Dissolution</t>
        </is>
      </c>
      <c r="M64" s="35" t="inlineStr">
        <is>
          <t>Product</t>
        </is>
      </c>
      <c r="N64" s="34" t="inlineStr">
        <is>
          <t>ข้อสอบจริง Product ปี 2563 ข้อ 23</t>
        </is>
      </c>
      <c r="O64" s="35" t="inlineStr">
        <is>
          <t>ข้อสอบจริง</t>
        </is>
      </c>
      <c r="P64" s="35" t="inlineStr">
        <is>
          <t>ปี 2563</t>
        </is>
      </c>
    </row>
    <row r="65" ht="409.6" customHeight="1" s="49">
      <c r="A65" s="35" t="n">
        <v>63</v>
      </c>
      <c r="B65" s="34" t="inlineStr">
        <is>
          <t>ตัวยา Isosorbide dinitrate รูปแบบใดออกฤทธิ์เร็วที่สุดในการบรรเทาอาการเจ็บหน้าอก ต้นฉบับ: Day 2 ข้อ 24</t>
        </is>
      </c>
      <c r="C65" s="35" t="n"/>
      <c r="D65" s="34" t="inlineStr">
        <is>
          <t>Sublingual tablets</t>
        </is>
      </c>
      <c r="E65" s="34" t="inlineStr">
        <is>
          <t>Immediate release tablets</t>
        </is>
      </c>
      <c r="F65" s="34" t="inlineStr">
        <is>
          <t>Sustained release tablets</t>
        </is>
      </c>
      <c r="G65" s="34" t="inlineStr">
        <is>
          <t>Enteric coated tablets</t>
        </is>
      </c>
      <c r="H65" s="34" t="inlineStr">
        <is>
          <t>Transdermal patches</t>
        </is>
      </c>
      <c r="I65" s="35" t="n">
        <v>1</v>
      </c>
      <c r="J65" s="34" t="inlineStr">
        <is>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5" s="35" t="n"/>
      <c r="L65" s="34" t="inlineStr">
        <is>
          <t>Biopharmaceutics &amp; Dissolution</t>
        </is>
      </c>
      <c r="M65" s="35" t="inlineStr">
        <is>
          <t>Product</t>
        </is>
      </c>
      <c r="N65" s="34" t="inlineStr">
        <is>
          <t>ข้อสอบจริง Product ปี 2563 ข้อ 29</t>
        </is>
      </c>
      <c r="O65" s="35" t="inlineStr">
        <is>
          <t>ข้อสอบจริง</t>
        </is>
      </c>
      <c r="P65" s="35" t="inlineStr">
        <is>
          <t>ปี 2563</t>
        </is>
      </c>
    </row>
    <row r="66" ht="409.6" customHeight="1" s="49">
      <c r="A66" s="35" t="n">
        <v>64</v>
      </c>
      <c r="B66" s="34" t="inlineStr">
        <is>
          <t>จากตำรับแคปซูล celecoxib ไม่ต้องทำการทดสอบอะไร ต้นฉบับ: Day 2 ข้อ 113 (ซ้ำกับข้อ 16\)</t>
        </is>
      </c>
      <c r="C66" s="35" t="n"/>
      <c r="D66" s="34" t="inlineStr">
        <is>
          <t>Particle size distribution</t>
        </is>
      </c>
      <c r="E66" s="34" t="inlineStr">
        <is>
          <t>Dissolution</t>
        </is>
      </c>
      <c r="F66" s="34" t="inlineStr">
        <is>
          <t>Disintegration</t>
        </is>
      </c>
      <c r="G66" s="34" t="inlineStr">
        <is>
          <t>Percent label amount</t>
        </is>
      </c>
      <c r="H66" s="34" t="inlineStr">
        <is>
          <t>Weight variation | คำตอบที่ข้อสอบน่าจะต้องการ: c) Disintegration เมื่อมีเกณฑ์ dissolution อยู่แล้ว มักไม่จำเป็นต้องกำหนด disintegration แยก</t>
        </is>
      </c>
      <c r="I66" s="35" t="n">
        <v>1</v>
      </c>
      <c r="J66" s="34" t="inlineStr">
        <is>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6" s="35" t="n"/>
      <c r="L66" s="34" t="inlineStr">
        <is>
          <t>Biopharmaceutics &amp; Dissolution</t>
        </is>
      </c>
      <c r="M66" s="35" t="inlineStr">
        <is>
          <t>Product</t>
        </is>
      </c>
      <c r="N66" s="34" t="inlineStr">
        <is>
          <t>ข้อสอบจริง Product ปี 2563 ข้อ 38</t>
        </is>
      </c>
      <c r="O66" s="35" t="inlineStr">
        <is>
          <t>ข้อสอบจริง</t>
        </is>
      </c>
      <c r="P66" s="35" t="inlineStr">
        <is>
          <t>ปี 2563</t>
        </is>
      </c>
    </row>
    <row r="67" ht="409.6" customHeight="1" s="49">
      <c r="A67" s="35" t="n">
        <v>65</v>
      </c>
      <c r="B67" s="34" t="inlineStr">
        <is>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is>
      </c>
      <c r="C67" s="35" t="n"/>
      <c r="D67" s="34" t="inlineStr">
        <is>
          <t>Chipping</t>
        </is>
      </c>
      <c r="E67" s="34" t="inlineStr">
        <is>
          <t>Mottling</t>
        </is>
      </c>
      <c r="F67" s="34" t="inlineStr">
        <is>
          <t>Picking</t>
        </is>
      </c>
      <c r="G67" s="34" t="inlineStr">
        <is>
          <t>Sticking</t>
        </is>
      </c>
      <c r="H67" s="34" t="inlineStr">
        <is>
          <t>Orange peel |</t>
        </is>
      </c>
      <c r="I67" s="35" t="n">
        <v>1</v>
      </c>
      <c r="J67" s="34" t="inlineStr">
        <is>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7" s="35" t="n"/>
      <c r="L67" s="34" t="inlineStr">
        <is>
          <t>Biopharmaceutics &amp; Dissolution</t>
        </is>
      </c>
      <c r="M67" s="35" t="inlineStr">
        <is>
          <t>Product</t>
        </is>
      </c>
      <c r="N67" s="34" t="inlineStr">
        <is>
          <t>ข้อสอบจริง Product ปี 2562 ข้อ 2</t>
        </is>
      </c>
      <c r="O67" s="35" t="inlineStr">
        <is>
          <t>ข้อสอบจริง</t>
        </is>
      </c>
      <c r="P67" s="35" t="inlineStr">
        <is>
          <t>ปี 2562</t>
        </is>
      </c>
    </row>
    <row r="68" ht="409.6" customHeight="1" s="49">
      <c r="A68" s="35" t="n">
        <v>66</v>
      </c>
      <c r="B68" s="34" t="inlineStr">
        <is>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is>
      </c>
      <c r="C68" s="35" t="n"/>
      <c r="D68" s="34" t="inlineStr">
        <is>
          <t>Croscamellose sodium</t>
        </is>
      </c>
      <c r="E68" s="34" t="inlineStr">
        <is>
          <t>Colloidal silicon dioxide</t>
        </is>
      </c>
      <c r="F68" s="34" t="inlineStr">
        <is>
          <t>Sodium lauryl sulfate</t>
        </is>
      </c>
      <c r="G68" s="34" t="inlineStr">
        <is>
          <t>Microcrystalline cellulose</t>
        </is>
      </c>
      <c r="H68" s="34" t="inlineStr">
        <is>
          <t>Sodium starch glycolate |</t>
        </is>
      </c>
      <c r="I68" s="35" t="n">
        <v>1</v>
      </c>
      <c r="J68" s="34" t="inlineStr">
        <is>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8" s="35" t="n"/>
      <c r="L68" s="34" t="inlineStr">
        <is>
          <t>Biopharmaceutics &amp; Dissolution</t>
        </is>
      </c>
      <c r="M68" s="35" t="inlineStr">
        <is>
          <t>Product</t>
        </is>
      </c>
      <c r="N68" s="34" t="inlineStr">
        <is>
          <t>ข้อสอบจริง Product ปี 2562 ข้อ 4</t>
        </is>
      </c>
      <c r="O68" s="35" t="inlineStr">
        <is>
          <t>ข้อสอบจริง</t>
        </is>
      </c>
      <c r="P68" s="35" t="inlineStr">
        <is>
          <t>ปี 2562</t>
        </is>
      </c>
    </row>
    <row r="69" ht="409.6" customHeight="1" s="49">
      <c r="A69" s="35" t="n">
        <v>67</v>
      </c>
      <c r="B69" s="34" t="inlineStr">
        <is>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is>
      </c>
      <c r="C69" s="35" t="n"/>
      <c r="D69" s="34" t="inlineStr">
        <is>
          <t>Uniformity of dosage unit</t>
        </is>
      </c>
      <c r="E69" s="34" t="inlineStr">
        <is>
          <t>Disintegrant</t>
        </is>
      </c>
      <c r="F69" s="34" t="inlineStr">
        <is>
          <t>Dissolutions</t>
        </is>
      </c>
      <c r="G69" s="34" t="inlineStr">
        <is>
          <t>Assay</t>
        </is>
      </c>
      <c r="H69" s="34" t="inlineStr">
        <is>
          <t>Friability |</t>
        </is>
      </c>
      <c r="I69" s="35" t="n">
        <v>1</v>
      </c>
      <c r="J69" s="34" t="inlineStr">
        <is>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9" s="35" t="n"/>
      <c r="L69" s="34" t="inlineStr">
        <is>
          <t>Biopharmaceutics &amp; Dissolution</t>
        </is>
      </c>
      <c r="M69" s="35" t="inlineStr">
        <is>
          <t>Product</t>
        </is>
      </c>
      <c r="N69" s="34" t="inlineStr">
        <is>
          <t>ข้อสอบจริง Product ปี 2562 ข้อ 3</t>
        </is>
      </c>
      <c r="O69" s="35" t="inlineStr">
        <is>
          <t>ข้อสอบจริง</t>
        </is>
      </c>
      <c r="P69" s="35" t="inlineStr">
        <is>
          <t>ปี 2562</t>
        </is>
      </c>
    </row>
    <row r="70" ht="409.6" customHeight="1" s="49">
      <c r="A70" s="35" t="n">
        <v>68</v>
      </c>
      <c r="B70" s="34" t="inlineStr">
        <is>
          <t>จาก monograph ของยา carvedilol ข้อใดคือเครื่องมือที่ใช้ในการทดสอบหัวข้อการละลาย [แนบรูป: ข้อสอบ Product ปี 2561 รหัสรูปภาพ image102]</t>
        </is>
      </c>
      <c r="C70" s="35" t="inlineStr">
        <is>
          <t>[แนบรูป: ข้อสอบ Product ปี 2561 รหัสรูปภาพ image102]</t>
        </is>
      </c>
      <c r="D70" s="34" t="inlineStr">
        <is>
          <t>Reciprocating cylinder</t>
        </is>
      </c>
      <c r="E70" s="34" t="inlineStr">
        <is>
          <t>Paddle apparatus</t>
        </is>
      </c>
      <c r="F70" s="34" t="inlineStr">
        <is>
          <t>Basket apparatus</t>
        </is>
      </c>
      <c r="G70" s="34" t="inlineStr">
        <is>
          <t>Flow-through cell</t>
        </is>
      </c>
      <c r="H70" s="34" t="inlineStr">
        <is>
          <t>Cell cylinder apparatus</t>
        </is>
      </c>
      <c r="I70" s="35" t="n">
        <v>1</v>
      </c>
      <c r="J70" s="34" t="inlineStr">
        <is>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0" s="35" t="n"/>
      <c r="L70" s="34" t="inlineStr">
        <is>
          <t>Biopharmaceutics &amp; Dissolution</t>
        </is>
      </c>
      <c r="M70" s="35" t="inlineStr">
        <is>
          <t>Product</t>
        </is>
      </c>
      <c r="N70" s="34" t="inlineStr">
        <is>
          <t>ข้อสอบจริง Product ปี 2561 ข้อ 1</t>
        </is>
      </c>
      <c r="O70" s="35" t="inlineStr">
        <is>
          <t>ข้อสอบจริง</t>
        </is>
      </c>
      <c r="P70" s="35" t="inlineStr">
        <is>
          <t>ปี 2561</t>
        </is>
      </c>
    </row>
    <row r="71" ht="409.6" customHeight="1" s="49">
      <c r="A71" s="35" t="n">
        <v>69</v>
      </c>
      <c r="B71" s="34" t="inlineStr">
        <is>
          <t>จากข้อ 9 dissolution medium ควรจะมีอุณหภูมิเท่าใด</t>
        </is>
      </c>
      <c r="C71" s="35" t="n"/>
      <c r="D71" s="34" t="inlineStr">
        <is>
          <t>20°C ± 0.5</t>
        </is>
      </c>
      <c r="E71" s="34" t="inlineStr">
        <is>
          <t>20°C ± 2.0</t>
        </is>
      </c>
      <c r="F71" s="34" t="inlineStr">
        <is>
          <t>25°C ± 0.5</t>
        </is>
      </c>
      <c r="G71" s="34" t="inlineStr">
        <is>
          <t>25°C ± 2.0</t>
        </is>
      </c>
      <c r="H71" s="34" t="inlineStr">
        <is>
          <t>37°C ± 0.5</t>
        </is>
      </c>
      <c r="I71" s="35" t="n">
        <v>1</v>
      </c>
      <c r="J71" s="34" t="inlineStr">
        <is>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1" s="35" t="n"/>
      <c r="L71" s="34" t="inlineStr">
        <is>
          <t>Biopharmaceutics &amp; Dissolution</t>
        </is>
      </c>
      <c r="M71" s="35" t="inlineStr">
        <is>
          <t>Product</t>
        </is>
      </c>
      <c r="N71" s="34" t="inlineStr">
        <is>
          <t>ข้อสอบจริง Product ปี 2561 ข้อ 2</t>
        </is>
      </c>
      <c r="O71" s="35" t="inlineStr">
        <is>
          <t>ข้อสอบจริง</t>
        </is>
      </c>
      <c r="P71" s="35" t="inlineStr">
        <is>
          <t>ปี 2561</t>
        </is>
      </c>
    </row>
    <row r="72" ht="409.6" customHeight="1" s="49">
      <c r="A72" s="35" t="n">
        <v>70</v>
      </c>
      <c r="B72" s="34" t="inlineStr">
        <is>
          <t>จากใบ COA ของยา cloxacillin ข้อใดถูก [แนบรูป: ข้อสอบ Product ปี 2561 รหัสรูปภาพ image108]</t>
        </is>
      </c>
      <c r="C72" s="35" t="inlineStr">
        <is>
          <t>[แนบรูป: ข้อสอบ Product ปี 2561 รหัสรูปภาพ image108]</t>
        </is>
      </c>
      <c r="D72" s="34" t="inlineStr">
        <is>
          <t>ยาผ่านการวิเคราะห์ในทุกหัวข้อ</t>
        </is>
      </c>
      <c r="E72" s="34" t="inlineStr">
        <is>
          <t>การแตกตัวไม่ผ่าน เพราะได้น้อยกว่า 15 นาที</t>
        </is>
      </c>
      <c r="F72" s="34" t="inlineStr">
        <is>
          <t>Weight variation ไม่ผ่าน ได้น้อยกว่า 15 นาที</t>
        </is>
      </c>
      <c r="G72" s="34" t="inlineStr">
        <is>
          <t>การวิเคราะห์ตัวยาสำคัญไม่ผ่าน เพราะได้เกิน 90%</t>
        </is>
      </c>
      <c r="H72" s="34" t="inlineStr">
        <is>
          <t>Dissolution ไม่ผ่าน เพราะได้น้อยกว่า 85% ต้องทดสอบเพิ่ม</t>
        </is>
      </c>
      <c r="I72" s="35" t="n">
        <v>1</v>
      </c>
      <c r="J72" s="34" t="inlineStr">
        <is>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2" s="35" t="n"/>
      <c r="L72" s="34" t="inlineStr">
        <is>
          <t>Biopharmaceutics &amp; Dissolution</t>
        </is>
      </c>
      <c r="M72" s="35" t="inlineStr">
        <is>
          <t>Product</t>
        </is>
      </c>
      <c r="N72" s="34" t="inlineStr">
        <is>
          <t>ข้อสอบจริง Product ปี 2561 ข้อ 35</t>
        </is>
      </c>
      <c r="O72" s="35" t="inlineStr">
        <is>
          <t>ข้อสอบจริง</t>
        </is>
      </c>
      <c r="P72" s="35" t="inlineStr">
        <is>
          <t>ปี 2561</t>
        </is>
      </c>
    </row>
    <row r="73" ht="409.6" customHeight="1" s="49">
      <c r="A73" s="35" t="n">
        <v>71</v>
      </c>
      <c r="B73" s="34" t="inlineStr">
        <is>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is>
      </c>
      <c r="C73" s="35" t="n"/>
      <c r="D73" s="34" t="inlineStr">
        <is>
          <t>ตำรับ A ผ่าน stage 1</t>
        </is>
      </c>
      <c r="E73" s="34" t="inlineStr">
        <is>
          <t>ตำรับ B ผ่าน stage 1</t>
        </is>
      </c>
      <c r="F73" s="34" t="inlineStr">
        <is>
          <t>ตำรับ C ผ่าน stage 1</t>
        </is>
      </c>
      <c r="G73" s="34" t="inlineStr">
        <is>
          <t>ตำรับ D ไม่ผ่าน stage 1 รอทดสอบ stage 2</t>
        </is>
      </c>
      <c r="H73" s="34" t="inlineStr">
        <is>
          <t>ตำรับ E ไม่ผ่าน stage 2 รอทดสอบ stage 3</t>
        </is>
      </c>
      <c r="I73" s="35" t="n">
        <v>1</v>
      </c>
      <c r="J73" s="34" t="inlineStr">
        <is>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3" s="35" t="n"/>
      <c r="L73" s="34" t="inlineStr">
        <is>
          <t>Biopharmaceutics &amp; Dissolution</t>
        </is>
      </c>
      <c r="M73" s="35" t="inlineStr">
        <is>
          <t>Product</t>
        </is>
      </c>
      <c r="N73" s="34" t="inlineStr">
        <is>
          <t>ข้อสอบจริง Product ปี 2561 ข้อ 52</t>
        </is>
      </c>
      <c r="O73" s="35" t="inlineStr">
        <is>
          <t>ข้อสอบจริง</t>
        </is>
      </c>
      <c r="P73" s="35" t="inlineStr">
        <is>
          <t>ปี 2561</t>
        </is>
      </c>
    </row>
    <row r="74" ht="409.6" customHeight="1" s="49">
      <c r="A74" s="35" t="n">
        <v>72</v>
      </c>
      <c r="B74" s="34" t="inlineStr">
        <is>
          <t>Phenytoin capsule ไม่ต้องทดสอบอะไร</t>
        </is>
      </c>
      <c r="C74" s="35" t="n"/>
      <c r="D74" s="34" t="inlineStr">
        <is>
          <t>Microbial test</t>
        </is>
      </c>
      <c r="E74" s="34" t="inlineStr">
        <is>
          <t>Identification</t>
        </is>
      </c>
      <c r="F74" s="34" t="inlineStr">
        <is>
          <t>Loss and dying</t>
        </is>
      </c>
      <c r="G74" s="34" t="inlineStr">
        <is>
          <t>Dissolution test</t>
        </is>
      </c>
      <c r="H74" s="34" t="inlineStr">
        <is>
          <t>Uniformity content</t>
        </is>
      </c>
      <c r="I74" s="35" t="n">
        <v>1</v>
      </c>
      <c r="J74" s="34" t="inlineStr">
        <is>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4" s="35" t="n"/>
      <c r="L74" s="34" t="inlineStr">
        <is>
          <t>Biopharmaceutics &amp; Dissolution</t>
        </is>
      </c>
      <c r="M74" s="35" t="inlineStr">
        <is>
          <t>Product</t>
        </is>
      </c>
      <c r="N74" s="34" t="inlineStr">
        <is>
          <t>ข้อสอบจริง Product ปี 2561 ข้อ 53</t>
        </is>
      </c>
      <c r="O74" s="35" t="inlineStr">
        <is>
          <t>ข้อสอบจริง</t>
        </is>
      </c>
      <c r="P74" s="35" t="inlineStr">
        <is>
          <t>ปี 2561</t>
        </is>
      </c>
    </row>
    <row r="75" ht="409.6" customHeight="1" s="49">
      <c r="A75" s="35" t="n">
        <v>73</v>
      </c>
      <c r="B75" s="34" t="inlineStr">
        <is>
          <t>Venlafaxine XR capsule ต้องทำ in vitro dissolution test ด้วยวิธีอะไร</t>
        </is>
      </c>
      <c r="C75" s="35" t="n"/>
      <c r="D75" s="34" t="inlineStr">
        <is>
          <t>Apparatus I basket</t>
        </is>
      </c>
      <c r="E75" s="34" t="inlineStr">
        <is>
          <t>Apparatus III cylinder</t>
        </is>
      </c>
      <c r="F75" s="34" t="inlineStr">
        <is>
          <t>Apparatus IV flow trough cell</t>
        </is>
      </c>
      <c r="G75" s="34" t="inlineStr">
        <is>
          <t>Apparatus V Paddle over disk</t>
        </is>
      </c>
      <c r="H75" s="34" t="inlineStr">
        <is>
          <t>Apparatus VII Reciprocating holder</t>
        </is>
      </c>
      <c r="I75" s="35" t="n">
        <v>1</v>
      </c>
      <c r="J75" s="34" t="inlineStr">
        <is>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5" s="35" t="n"/>
      <c r="L75" s="34" t="inlineStr">
        <is>
          <t>Biopharmaceutics &amp; Dissolution</t>
        </is>
      </c>
      <c r="M75" s="35" t="inlineStr">
        <is>
          <t>Product</t>
        </is>
      </c>
      <c r="N75" s="34" t="inlineStr">
        <is>
          <t>ข้อสอบจริง Product ปี 2561 ข้อ 71</t>
        </is>
      </c>
      <c r="O75" s="35" t="inlineStr">
        <is>
          <t>ข้อสอบจริง</t>
        </is>
      </c>
      <c r="P75" s="35" t="inlineStr">
        <is>
          <t>ปี 2561</t>
        </is>
      </c>
    </row>
    <row r="76" ht="409.6" customHeight="1" s="49">
      <c r="A76" s="35" t="n">
        <v>74</v>
      </c>
      <c r="B76" s="34" t="inlineStr">
        <is>
          <t>เพราะเหตุใด phenytoin จึงต้องทำ bioavailability &amp; equivalent test</t>
        </is>
      </c>
      <c r="C76" s="35" t="n"/>
      <c r="D76" s="34" t="inlineStr">
        <is>
          <t>ไม่มียาในรูปแบบที่ละลายได้เร็วในปาก</t>
        </is>
      </c>
      <c r="E76" s="34" t="inlineStr">
        <is>
          <t>มีส่วนประกอบในตำรับที่ไม่มีผลต่อการดูดซึมหรือออกฤทธิ์</t>
        </is>
      </c>
      <c r="F76" s="34" t="inlineStr">
        <is>
          <t>ยาละลายเร็ว rapid solubility และ very rapid dissolution</t>
        </is>
      </c>
      <c r="G76" s="34" t="inlineStr">
        <is>
          <t>เพราะมีคุณสมบัติเป็น BCS class I เนื่องจาก high solubility high</t>
        </is>
      </c>
      <c r="H76" s="34" t="inlineStr">
        <is>
          <t>มีอัตราส่วน minimum toxic concentration (MTC) ต่อ minimum effective</t>
        </is>
      </c>
      <c r="I76" s="35" t="n">
        <v>1</v>
      </c>
      <c r="J76" s="34" t="inlineStr">
        <is>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6" s="35" t="n"/>
      <c r="L76" s="34" t="inlineStr">
        <is>
          <t>Biopharmaceutics &amp; Dissolution</t>
        </is>
      </c>
      <c r="M76" s="35" t="inlineStr">
        <is>
          <t>Product</t>
        </is>
      </c>
      <c r="N76" s="34" t="inlineStr">
        <is>
          <t>ข้อสอบจริง Product ปี 2561 ข้อ 72</t>
        </is>
      </c>
      <c r="O76" s="35" t="inlineStr">
        <is>
          <t>ข้อสอบจริง</t>
        </is>
      </c>
      <c r="P76" s="35" t="inlineStr">
        <is>
          <t>ปี 2561</t>
        </is>
      </c>
    </row>
    <row r="77" ht="409.6" customHeight="1" s="49">
      <c r="A77" s="35" t="n">
        <v>75</v>
      </c>
      <c r="B77" s="34" t="inlineStr">
        <is>
          <t>Phenytoin 100 mg. capsule ไม่ต้องทดสอบในหัวข้อใด</t>
        </is>
      </c>
      <c r="C77" s="35" t="n"/>
      <c r="D77" s="34" t="inlineStr">
        <is>
          <t>Assay</t>
        </is>
      </c>
      <c r="E77" s="34" t="inlineStr">
        <is>
          <t>Dissolution</t>
        </is>
      </c>
      <c r="F77" s="34" t="inlineStr">
        <is>
          <t>Identification</t>
        </is>
      </c>
      <c r="G77" s="34" t="inlineStr">
        <is>
          <t>Disintegration</t>
        </is>
      </c>
      <c r="H77" s="34" t="inlineStr">
        <is>
          <t>Content uniformity</t>
        </is>
      </c>
      <c r="I77" s="35" t="n">
        <v>1</v>
      </c>
      <c r="J77" s="34" t="inlineStr">
        <is>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7" s="35" t="n"/>
      <c r="L77" s="34" t="inlineStr">
        <is>
          <t>Biopharmaceutics &amp; Dissolution</t>
        </is>
      </c>
      <c r="M77" s="35" t="inlineStr">
        <is>
          <t>Product</t>
        </is>
      </c>
      <c r="N77" s="34" t="inlineStr">
        <is>
          <t>ข้อสอบจริง Product ปี 2561 ข้อ 73</t>
        </is>
      </c>
      <c r="O77" s="35" t="inlineStr">
        <is>
          <t>ข้อสอบจริง</t>
        </is>
      </c>
      <c r="P77" s="35" t="inlineStr">
        <is>
          <t>ปี 2561</t>
        </is>
      </c>
    </row>
    <row r="78" ht="409.6" customHeight="1" s="49">
      <c r="A78" s="35" t="n">
        <v>76</v>
      </c>
      <c r="B78" s="34" t="inlineStr">
        <is>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is>
      </c>
      <c r="C78" s="35" t="n"/>
      <c r="D78" s="34" t="inlineStr">
        <is>
          <t>100</t>
        </is>
      </c>
      <c r="E78" s="34" t="inlineStr">
        <is>
          <t>120</t>
        </is>
      </c>
      <c r="F78" s="34" t="inlineStr">
        <is>
          <t>125</t>
        </is>
      </c>
      <c r="G78" s="34" t="inlineStr">
        <is>
          <t>130</t>
        </is>
      </c>
      <c r="H78" s="34" t="inlineStr">
        <is>
          <t>140</t>
        </is>
      </c>
      <c r="I78" s="35" t="n">
        <v>1</v>
      </c>
      <c r="J78" s="34" t="inlineStr">
        <is>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8" s="35" t="n"/>
      <c r="L78" s="34" t="inlineStr">
        <is>
          <t>Biopharmaceutics &amp; Dissolution</t>
        </is>
      </c>
      <c r="M78" s="35" t="inlineStr">
        <is>
          <t>Product</t>
        </is>
      </c>
      <c r="N78" s="34" t="inlineStr">
        <is>
          <t>ข้อสอบจริง Product ปี 2561 ข้อ 83</t>
        </is>
      </c>
      <c r="O78" s="35" t="inlineStr">
        <is>
          <t>ข้อสอบจริง</t>
        </is>
      </c>
      <c r="P78" s="35" t="inlineStr">
        <is>
          <t>ปี 2561</t>
        </is>
      </c>
    </row>
    <row r="79" ht="409.6" customHeight="1" s="49">
      <c r="A79" s="35" t="n">
        <v>77</v>
      </c>
      <c r="B79" s="34"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is>
      </c>
      <c r="C79" s="35" t="n"/>
      <c r="D79" s="34" t="inlineStr">
        <is>
          <t>A</t>
        </is>
      </c>
      <c r="E79" s="34" t="inlineStr">
        <is>
          <t>B</t>
        </is>
      </c>
      <c r="F79" s="34" t="inlineStr">
        <is>
          <t>C</t>
        </is>
      </c>
      <c r="G79" s="34" t="inlineStr">
        <is>
          <t>D</t>
        </is>
      </c>
      <c r="H79" s="34" t="inlineStr">
        <is>
          <t>C+D</t>
        </is>
      </c>
      <c r="I79" s="35" t="n">
        <v>1</v>
      </c>
      <c r="J79" s="34" t="inlineStr">
        <is>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9" s="35" t="n"/>
      <c r="L79" s="34" t="inlineStr">
        <is>
          <t>Biopharmaceutics &amp; Dissolution</t>
        </is>
      </c>
      <c r="M79" s="35" t="inlineStr">
        <is>
          <t>Product</t>
        </is>
      </c>
      <c r="N79" s="34" t="inlineStr">
        <is>
          <t>ข้อสอบจริง Product ปี 2559 ข้อ 13</t>
        </is>
      </c>
      <c r="O79" s="35" t="inlineStr">
        <is>
          <t>ข้อสอบจริง</t>
        </is>
      </c>
      <c r="P79" s="35" t="inlineStr">
        <is>
          <t>ปี 2559</t>
        </is>
      </c>
    </row>
    <row r="80" ht="409.6" customHeight="1" s="49">
      <c r="A80" s="35" t="n">
        <v>78</v>
      </c>
      <c r="B80" s="34" t="inlineStr">
        <is>
          <t>ข้อใดไม่จำเป็นใน certificate of analysis ของยา amoxicillin</t>
        </is>
      </c>
      <c r="C80" s="35" t="n"/>
      <c r="D80" s="34" t="inlineStr">
        <is>
          <t>Label amount</t>
        </is>
      </c>
      <c r="E80" s="34" t="inlineStr">
        <is>
          <t>Dissolution</t>
        </is>
      </c>
      <c r="F80" s="34" t="inlineStr">
        <is>
          <t>Uniformity of dosage</t>
        </is>
      </c>
      <c r="G80" s="34" t="inlineStr">
        <is>
          <t>Description</t>
        </is>
      </c>
      <c r="H80" s="34" t="inlineStr">
        <is>
          <t>Bioequivalent</t>
        </is>
      </c>
      <c r="I80" s="35" t="n">
        <v>1</v>
      </c>
      <c r="J80" s="34" t="inlineStr">
        <is>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0" s="35" t="n"/>
      <c r="L80" s="34" t="inlineStr">
        <is>
          <t>Biopharmaceutics &amp; Dissolution</t>
        </is>
      </c>
      <c r="M80" s="35" t="inlineStr">
        <is>
          <t>Product</t>
        </is>
      </c>
      <c r="N80" s="34" t="inlineStr">
        <is>
          <t>ข้อสอบจริง Product ปี 2559 ข้อ 21</t>
        </is>
      </c>
      <c r="O80" s="35" t="inlineStr">
        <is>
          <t>ข้อสอบจริง</t>
        </is>
      </c>
      <c r="P80" s="35" t="inlineStr">
        <is>
          <t>ปี 2559</t>
        </is>
      </c>
    </row>
    <row r="81" ht="409.6" customHeight="1" s="49">
      <c r="A81" s="35" t="n">
        <v>79</v>
      </c>
      <c r="B81" s="34" t="inlineStr">
        <is>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is>
      </c>
      <c r="C81" s="35" t="n"/>
      <c r="D81" s="34" t="inlineStr">
        <is>
          <t>F1</t>
        </is>
      </c>
      <c r="E81" s="34" t="inlineStr">
        <is>
          <t>F2</t>
        </is>
      </c>
      <c r="F81" s="34" t="inlineStr">
        <is>
          <t>F3</t>
        </is>
      </c>
      <c r="G81" s="34" t="inlineStr">
        <is>
          <t>F4</t>
        </is>
      </c>
      <c r="H81" s="34" t="inlineStr">
        <is>
          <t>F5</t>
        </is>
      </c>
      <c r="I81" s="35" t="n">
        <v>1</v>
      </c>
      <c r="J81" s="34" t="inlineStr">
        <is>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1" s="35" t="n"/>
      <c r="L81" s="34" t="inlineStr">
        <is>
          <t>Biopharmaceutics &amp; Dissolution</t>
        </is>
      </c>
      <c r="M81" s="35" t="inlineStr">
        <is>
          <t>Product</t>
        </is>
      </c>
      <c r="N81" s="34" t="inlineStr">
        <is>
          <t>ข้อสอบจริง Product ปี 2559 ข้อ 24</t>
        </is>
      </c>
      <c r="O81" s="35" t="inlineStr">
        <is>
          <t>ข้อสอบจริง</t>
        </is>
      </c>
      <c r="P81" s="35" t="inlineStr">
        <is>
          <t>ปี 2559</t>
        </is>
      </c>
    </row>
    <row r="82" ht="409.6" customHeight="1" s="49">
      <c r="A82" s="35" t="n">
        <v>80</v>
      </c>
      <c r="B82" s="34"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is>
      </c>
      <c r="C82" s="35" t="n"/>
      <c r="D82" s="34" t="inlineStr">
        <is>
          <t>A</t>
        </is>
      </c>
      <c r="E82" s="34" t="inlineStr">
        <is>
          <t>B</t>
        </is>
      </c>
      <c r="F82" s="34" t="inlineStr">
        <is>
          <t>C</t>
        </is>
      </c>
      <c r="G82" s="34" t="inlineStr">
        <is>
          <t>D</t>
        </is>
      </c>
      <c r="H82" s="34" t="inlineStr">
        <is>
          <t>C และ D</t>
        </is>
      </c>
      <c r="I82" s="35" t="n">
        <v>1</v>
      </c>
      <c r="J82" s="34" t="inlineStr">
        <is>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2" s="35" t="n"/>
      <c r="L82" s="34" t="inlineStr">
        <is>
          <t>Biopharmaceutics &amp; Dissolution</t>
        </is>
      </c>
      <c r="M82" s="35" t="inlineStr">
        <is>
          <t>Product</t>
        </is>
      </c>
      <c r="N82" s="34" t="inlineStr">
        <is>
          <t>ข้อสอบจริง Product ปี 2559 ข้อ 11</t>
        </is>
      </c>
      <c r="O82" s="35" t="inlineStr">
        <is>
          <t>ข้อสอบจริง</t>
        </is>
      </c>
      <c r="P82" s="35" t="inlineStr">
        <is>
          <t>ปี 2559</t>
        </is>
      </c>
    </row>
    <row r="83" ht="409.6" customHeight="1" s="49">
      <c r="A83" s="35" t="n">
        <v>81</v>
      </c>
      <c r="B83" s="34" t="inlineStr">
        <is>
          <t>ข้อใดไม่ได้อยู่ในการทดสอบมาตรฐานตาม USP</t>
        </is>
      </c>
      <c r="C83" s="35" t="n"/>
      <c r="D83" s="34" t="inlineStr">
        <is>
          <t>Disintegrations</t>
        </is>
      </c>
      <c r="E83" s="34" t="inlineStr">
        <is>
          <t>Dissolutions</t>
        </is>
      </c>
      <c r="F83" s="34" t="inlineStr">
        <is>
          <t>Hardness and Friability</t>
        </is>
      </c>
      <c r="G83" s="34" t="inlineStr">
        <is>
          <t>content uniformity</t>
        </is>
      </c>
      <c r="H83" s="34" t="inlineStr">
        <is>
          <t>Weight variations</t>
        </is>
      </c>
      <c r="I83" s="35" t="n">
        <v>1</v>
      </c>
      <c r="J83" s="34" t="inlineStr">
        <is>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3" s="35" t="n"/>
      <c r="L83" s="34" t="inlineStr">
        <is>
          <t>Biopharmaceutics &amp; Dissolution</t>
        </is>
      </c>
      <c r="M83" s="35" t="inlineStr">
        <is>
          <t>Product</t>
        </is>
      </c>
      <c r="N83" s="34" t="inlineStr">
        <is>
          <t>ข้อสอบจริง Product ปี 2559 ข้อ 2</t>
        </is>
      </c>
      <c r="O83" s="35" t="inlineStr">
        <is>
          <t>ข้อสอบจริง</t>
        </is>
      </c>
      <c r="P83" s="35" t="inlineStr">
        <is>
          <t>ปี 2559</t>
        </is>
      </c>
    </row>
    <row r="84" ht="409.6" customHeight="1" s="49">
      <c r="A84" s="35" t="n">
        <v>82</v>
      </c>
      <c r="B84" s="34"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84" s="35" t="n"/>
      <c r="D84" s="34" t="inlineStr">
        <is>
          <t>ยาสูตรผสม Combination ให้ผลการรักษาโรคและป้องกันอวัยวะข้างเคียงได้ดีกว่าการใช้ยาเดี่ยวอย่างมีนัยสำคัญ</t>
        </is>
      </c>
      <c r="E84" s="34" t="inlineStr">
        <is>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is>
      </c>
      <c r="F84" s="34" t="inlineStr">
        <is>
          <t>ยา Telmisartan ป้องกันการเกิดโรคไตเสื่อมได้ดีกว่า Ramipril อย่างมีนัยสำคัญ</t>
        </is>
      </c>
      <c r="G84" s="34" t="inlineStr">
        <is>
          <t>ยา Ramipril ช่วยเพิ่มระดับอัตราการอยู่รอดของหัวใจได้ดีกว่า Telmisartan อย่างเห็นได้ชัด</t>
        </is>
      </c>
      <c r="H84" s="34" t="inlineStr">
        <is>
          <t>ยาสูตรผสมช่วยลดอัตราการเกิดโรคหัวใจเฉียบพลันได้ดีและมีผลข้างเคียงต่ำสุด</t>
        </is>
      </c>
      <c r="I84" s="35" t="n">
        <v>1</v>
      </c>
      <c r="J84" s="34" t="inlineStr">
        <is>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4" s="35" t="n"/>
      <c r="L84" s="34" t="inlineStr">
        <is>
          <t>Biopharmaceutics &amp; Dissolution</t>
        </is>
      </c>
      <c r="M84" s="35" t="inlineStr">
        <is>
          <t>Product</t>
        </is>
      </c>
      <c r="N84" s="34" t="inlineStr">
        <is>
          <t>ข้อสอบจริง Product ปี 2558 ข้อ 30</t>
        </is>
      </c>
      <c r="O84" s="35" t="inlineStr">
        <is>
          <t>ข้อสอบจริง</t>
        </is>
      </c>
      <c r="P84" s="35" t="inlineStr">
        <is>
          <t>ปี 2558</t>
        </is>
      </c>
    </row>
    <row r="85" ht="409.6" customHeight="1" s="49">
      <c r="A85" s="35" t="n">
        <v>83</v>
      </c>
      <c r="B85" s="34" t="inlineStr">
        <is>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85" s="35" t="n"/>
      <c r="D85" s="34" t="inlineStr">
        <is>
          <t>การชะลอเวลาบีบตัวของกระเพาะอาหารลงสู่ลำไส้เล็ก (Increase gastric emptying time)</t>
        </is>
      </c>
      <c r="E85" s="34" t="inlineStr">
        <is>
          <t>การเร่งส่งยาลงสู่ลำไส้เล็กให้เร็วขึ้น (Decrease gastric emptying time)</t>
        </is>
      </c>
      <c r="F85" s="34" t="inlineStr">
        <is>
          <t>การเพิ่มเวลาที่ยาอยู่ในลำไส้เล็ก (Increase intestinal transit time)</t>
        </is>
      </c>
      <c r="G85" s="34" t="inlineStr">
        <is>
          <t>การลดเวลาที่ยาอยู่ในลำไส้เล็ก (Decrease intestinal transit time)</t>
        </is>
      </c>
      <c r="H85" s="34" t="inlineStr">
        <is>
          <t>อัตราการบีบตัวของทางเดินอาหารไม่มีผลต่อการดูดซึมของยากลุ่มนี้</t>
        </is>
      </c>
      <c r="I85" s="35" t="n">
        <v>1</v>
      </c>
      <c r="J85" s="34" t="inlineStr">
        <is>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5" s="35" t="n"/>
      <c r="L85" s="34" t="inlineStr">
        <is>
          <t>Biopharmaceutics &amp; Dissolution</t>
        </is>
      </c>
      <c r="M85" s="35" t="inlineStr">
        <is>
          <t>Product</t>
        </is>
      </c>
      <c r="N85" s="34" t="inlineStr">
        <is>
          <t>ข้อสอบจริง Product ปี 2558 ข้อ 34</t>
        </is>
      </c>
      <c r="O85" s="35" t="inlineStr">
        <is>
          <t>ข้อสอบจริง</t>
        </is>
      </c>
      <c r="P85" s="35" t="inlineStr">
        <is>
          <t>ปี 2558</t>
        </is>
      </c>
    </row>
    <row r="86" ht="409.6" customHeight="1" s="49">
      <c r="A86" s="35" t="n">
        <v>84</v>
      </c>
      <c r="B86" s="34" t="inlineStr">
        <is>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is>
      </c>
      <c r="C86" s="35" t="inlineStr">
        <is>
          <t>[แนบรูป: ข้อสอบ Product ปี 2558 รหัสรูปภาพ image124]</t>
        </is>
      </c>
      <c r="D86" s="34"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86" s="34"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86" s="34"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is>
      </c>
      <c r="G86" s="34"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86" s="34" t="inlineStr">
        <is>
          <t>ผลการทดสอบ Identification ถือเป็นผลการทดสอบเชิงคุณภาพที่ไม่จำเป็นต้องสรุปผลในใบรายงาน COA ก่อนการปล่อยผ่านยา (Batch Release) ##</t>
        </is>
      </c>
      <c r="I86" s="35" t="n">
        <v>1</v>
      </c>
      <c r="J86" s="34" t="inlineStr">
        <is>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6" s="35" t="n"/>
      <c r="L86" s="34" t="inlineStr">
        <is>
          <t>Biopharmaceutics &amp; Dissolution</t>
        </is>
      </c>
      <c r="M86" s="35" t="inlineStr">
        <is>
          <t>Product</t>
        </is>
      </c>
      <c r="N86" s="34" t="inlineStr">
        <is>
          <t>ข้อสอบจริง Product ปี 2558 ข้อ 40</t>
        </is>
      </c>
      <c r="O86" s="35" t="inlineStr">
        <is>
          <t>ข้อสอบจริง</t>
        </is>
      </c>
      <c r="P86" s="35" t="inlineStr">
        <is>
          <t>ปี 2558</t>
        </is>
      </c>
    </row>
    <row r="87" ht="13.2" customHeight="1" s="49">
      <c r="A87" t="n">
        <v>85</v>
      </c>
      <c r="B87" t="inlineStr">
        <is>
          <t>ถ้าระดับ Albumin ในเลือดลดลง กระบวนการใดที่ไม่ได้รับผลกระทบจากการเปลี่ยนแปลงนี้</t>
        </is>
      </c>
      <c r="D87" t="inlineStr">
        <is>
          <t>Absorption</t>
        </is>
      </c>
      <c r="E87" t="inlineStr">
        <is>
          <t>Distribution</t>
        </is>
      </c>
      <c r="F87" t="inlineStr">
        <is>
          <t>Metabolism</t>
        </is>
      </c>
      <c r="G87" t="inlineStr">
        <is>
          <t>Elimination</t>
        </is>
      </c>
      <c r="H87" t="inlineStr">
        <is>
          <t>Biotransformation</t>
        </is>
      </c>
      <c r="I87" t="inlineStr">
        <is>
          <t>1</t>
        </is>
      </c>
      <c r="J87"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7" t="inlineStr">
        <is>
          <t>Hypertension</t>
        </is>
      </c>
      <c r="M87" t="inlineStr">
        <is>
          <t>Clinic</t>
        </is>
      </c>
      <c r="N87" t="inlineStr">
        <is>
          <t>ข้อ 11 (PLE_CC1_Practice_Exam.md)</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85"/>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8" t="inlineStr">
        <is>
          <t>2</t>
        </is>
      </c>
      <c r="B3" s="2" t="inlineStr">
        <is>
          <t>กระบวนการ sterilization ที่เหมาะสมกับผลิตภัณฑ์สำเร็จรูป insulin injection ได้แก่ข้อใด</t>
        </is>
      </c>
      <c r="C3" s="2" t="n"/>
      <c r="D3" s="2" t="inlineStr">
        <is>
          <t>Dry heat sterilization</t>
        </is>
      </c>
      <c r="E3" s="2" t="inlineStr">
        <is>
          <t>Sterile filtration</t>
        </is>
      </c>
      <c r="F3" s="2" t="inlineStr">
        <is>
          <t>Steam sterilization</t>
        </is>
      </c>
      <c r="G3" s="2" t="inlineStr">
        <is>
          <t>Ethylene oxide gas sterilization</t>
        </is>
      </c>
      <c r="H3" s="2" t="inlineStr">
        <is>
          <t>Gamma radiation sterilization</t>
        </is>
      </c>
      <c r="I3" s="8" t="inlineStr">
        <is>
          <t>1</t>
        </is>
      </c>
      <c r="J3" s="2"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2" t="n"/>
      <c r="L3" s="2" t="inlineStr">
        <is>
          <t>Autoclave &amp; Sterilization</t>
        </is>
      </c>
      <c r="M3" s="2" t="inlineStr">
        <is>
          <t>Sterile Products</t>
        </is>
      </c>
      <c r="N3" s="2" t="inlineStr">
        <is>
          <t>Mock PLE-CC 1 ข้อ 32</t>
        </is>
      </c>
      <c r="O3" s="2" t="inlineStr">
        <is>
          <t>Mock</t>
        </is>
      </c>
      <c r="P3" s="2" t="inlineStr">
        <is>
          <t>Mock RxCU83</t>
        </is>
      </c>
      <c r="Q3" s="2" t="n"/>
    </row>
    <row r="4" ht="13.2" customHeight="1" s="49">
      <c r="A4" s="8" t="inlineStr">
        <is>
          <t>3</t>
        </is>
      </c>
      <c r="B4" s="2" t="inlineStr">
        <is>
          <t>COA ของ insulin biosimilar glargine อะไรไม่จำเป็นต้องมี</t>
        </is>
      </c>
      <c r="C4" s="2" t="n"/>
      <c r="D4" s="2" t="inlineStr">
        <is>
          <t>Assay</t>
        </is>
      </c>
      <c r="E4" s="2" t="inlineStr">
        <is>
          <t>Identification</t>
        </is>
      </c>
      <c r="F4" s="2" t="inlineStr">
        <is>
          <t>Bacterial endotoxin</t>
        </is>
      </c>
      <c r="G4" s="2" t="inlineStr">
        <is>
          <t>Impurity</t>
        </is>
      </c>
      <c r="H4" s="2" t="inlineStr">
        <is>
          <t>Dissolution</t>
        </is>
      </c>
      <c r="I4" s="8" t="inlineStr">
        <is>
          <t>1</t>
        </is>
      </c>
      <c r="J4" s="2"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Parenterals &amp; Ophthalmic</t>
        </is>
      </c>
      <c r="M4" s="2" t="inlineStr">
        <is>
          <t>Sterile Products</t>
        </is>
      </c>
      <c r="N4" s="2" t="inlineStr">
        <is>
          <t>Mock PLE-CC 1 ข้อ 34</t>
        </is>
      </c>
      <c r="O4" s="2" t="inlineStr">
        <is>
          <t>Mock</t>
        </is>
      </c>
      <c r="P4" s="2" t="inlineStr">
        <is>
          <t>Mock RxCU83</t>
        </is>
      </c>
      <c r="Q4" s="2" t="n"/>
    </row>
    <row r="5" ht="13.2" customHeight="1" s="49">
      <c r="A5" s="8" t="inlineStr">
        <is>
          <t>4</t>
        </is>
      </c>
      <c r="B5" s="2" t="inlineStr">
        <is>
          <t>เหตุผลหลักในการตรวจ Bacterial endotoxin ใน Paclitaxel injection</t>
        </is>
      </c>
      <c r="C5" s="2" t="n"/>
      <c r="D5" s="2" t="inlineStr">
        <is>
          <t>เพื่อให้มั่นใจว่าไม่มีเชื้อราเจริญเติบโตในยา</t>
        </is>
      </c>
      <c r="E5" s="2" t="inlineStr">
        <is>
          <t>เพื่อป้องกันการเกิด Pyrogenic reaction</t>
        </is>
      </c>
      <c r="F5" s="2" t="inlineStr">
        <is>
          <t>เพื่อวัดความเข้มข้นของสารกันเสีย</t>
        </is>
      </c>
      <c r="G5" s="2" t="inlineStr">
        <is>
          <t>เพื่อประเมินความคงตัวของยาที่อุณหภูมิสูง</t>
        </is>
      </c>
      <c r="H5" s="2" t="inlineStr">
        <is>
          <t>เพื่อวัดความแรงในการออกฤทธิ์ต้านมะเร็ง</t>
        </is>
      </c>
      <c r="I5" s="8" t="inlineStr">
        <is>
          <t>1</t>
        </is>
      </c>
      <c r="J5" s="2" t="inlineStr">
        <is>
          <t>✅ คำตอบที่ถูกต้อง: ข้อ ก. เพื่อให้มั่นใจว่าไม่มีเชื้อราเจริญเติบโตในยา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2" t="n"/>
      <c r="L5" s="2" t="inlineStr">
        <is>
          <t>Sterility &amp; Pyrogen testing</t>
        </is>
      </c>
      <c r="M5" s="2" t="inlineStr">
        <is>
          <t>Sterile Products</t>
        </is>
      </c>
      <c r="N5" s="2" t="inlineStr">
        <is>
          <t>Mock PLE-CC 1 ข้อ 75</t>
        </is>
      </c>
      <c r="O5" s="2" t="inlineStr">
        <is>
          <t>Mock</t>
        </is>
      </c>
      <c r="P5" s="2" t="inlineStr">
        <is>
          <t>Mock RxCU83</t>
        </is>
      </c>
      <c r="Q5" s="2" t="n"/>
    </row>
    <row r="6" ht="13.2" customHeight="1" s="49">
      <c r="A6" s="8" t="inlineStr">
        <is>
          <t>5</t>
        </is>
      </c>
      <c r="B6" s="2" t="inlineStr">
        <is>
          <t>ในการผลิต mAB ใน bioreactor ปัจจัยใดที่ต้องควบคุมเพื่อให้เซลล์เจริญเติบโตได้ดี
และมีการสร้างโปรตีนอย่างมีประสิทธิภาพ</t>
        </is>
      </c>
      <c r="C6" s="2" t="n"/>
      <c r="D6" s="2" t="inlineStr">
        <is>
          <t>ควบคุม pH อุณหภูมิ และระดับ O2</t>
        </is>
      </c>
      <c r="E6" s="2" t="inlineStr">
        <is>
          <t>ใส่ตัวทำละลายอินทรีย์ เพื่อเร่งให้โปรตีนเกิดการพับตัว</t>
        </is>
      </c>
      <c r="F6" s="2" t="inlineStr">
        <is>
          <t>ใส่ reducing agent เพื่อป้องกันการเกิด disulfide bond formation</t>
        </is>
      </c>
      <c r="G6" s="2" t="inlineStr">
        <is>
          <t>Sterile ด้วยไรสักอย่างเพื่อไม่ให้เกิดการปนเปื้อน</t>
        </is>
      </c>
      <c r="H6" s="2" t="inlineStr">
        <is>
          <t>ใส่ protease เพื่อเร่งให้เกิดการเสื่อมสลายของโปรตีนที่ไม่ได้เกิดการพับ</t>
        </is>
      </c>
      <c r="I6" s="8" t="inlineStr">
        <is>
          <t>1</t>
        </is>
      </c>
      <c r="J6" s="2" t="inlineStr">
        <is>
          <t>✅ คำตอบที่ถูกต้อง: ข้อ ก. ควบคุม pH อุณหภูมิ และระดับ O2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[NEED_REVIEW]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Parenterals &amp; Ophthalmic</t>
        </is>
      </c>
      <c r="M6" s="2" t="inlineStr">
        <is>
          <t>Sterile Products</t>
        </is>
      </c>
      <c r="N6" s="2" t="inlineStr">
        <is>
          <t>Mock PLE-CC 1 ข้อ 79</t>
        </is>
      </c>
      <c r="O6" s="2" t="inlineStr">
        <is>
          <t>Mock</t>
        </is>
      </c>
      <c r="P6" s="2" t="inlineStr">
        <is>
          <t>Mock RxCU83</t>
        </is>
      </c>
      <c r="Q6" s="2" t="n"/>
    </row>
    <row r="7" ht="13.2" customHeight="1" s="49">
      <c r="A7" s="8" t="inlineStr">
        <is>
          <t>6</t>
        </is>
      </c>
      <c r="B7" s="2"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2" t="n"/>
      <c r="D7" s="2" t="inlineStr">
        <is>
          <t>ผ่าน เพราะต ่ากว่า limit</t>
        </is>
      </c>
      <c r="E7" s="2" t="inlineStr">
        <is>
          <t>ไม่ผ่าน เพราะเกิน limit</t>
        </is>
      </c>
      <c r="F7" s="2" t="inlineStr">
        <is>
          <t>ผ่านได้ถ้าเจือจางเพิ่ม</t>
        </is>
      </c>
      <c r="G7" s="2" t="inlineStr">
        <is>
          <t>ไม่ผ่าน ต้องมีการทดสอบ sterility test ใหม่</t>
        </is>
      </c>
      <c r="H7" s="2" t="inlineStr">
        <is>
          <t>ไม่ผ่านซักขวด</t>
        </is>
      </c>
      <c r="I7" s="8" t="inlineStr">
        <is>
          <t>1</t>
        </is>
      </c>
      <c r="J7" s="2"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2" t="n"/>
      <c r="L7" s="2" t="inlineStr">
        <is>
          <t>Sterility &amp; Pyrogen testing</t>
        </is>
      </c>
      <c r="M7" s="2" t="inlineStr">
        <is>
          <t>Sterile Products</t>
        </is>
      </c>
      <c r="N7" s="2" t="inlineStr">
        <is>
          <t>Mock PLE-CC 1 ข้อ 105</t>
        </is>
      </c>
      <c r="O7" s="2" t="inlineStr">
        <is>
          <t>Mock</t>
        </is>
      </c>
      <c r="P7" s="2" t="inlineStr">
        <is>
          <t>Mock RxCU83</t>
        </is>
      </c>
      <c r="Q7" s="2" t="n"/>
    </row>
    <row r="8" ht="13.2" customHeight="1" s="49">
      <c r="A8" s="8" t="inlineStr">
        <is>
          <t>7</t>
        </is>
      </c>
      <c r="B8" s="2" t="inlineStr">
        <is>
          <t>ผลิตภัณฑ์ยาหยอดตาที่มีการทำ filtration sterilization ข้อใดไม่ถูกต้อง</t>
        </is>
      </c>
      <c r="C8" s="2" t="n"/>
      <c r="D8" s="2" t="inlineStr">
        <is>
          <t>ต้องทำใน clean room และใช้ aseptic techniques</t>
        </is>
      </c>
      <c r="E8" s="2" t="inlineStr">
        <is>
          <t>เป็น terminal (finish) process</t>
        </is>
      </c>
      <c r="F8" s="2" t="inlineStr">
        <is>
          <t>ใช้ 0.22 ไมครอน ในการกรองจุลินทรีย์</t>
        </is>
      </c>
      <c r="G8" s="2" t="inlineStr">
        <is>
          <t>ยาที่กรองแล้วต้องใส่ภาชนะที่ทำ sterilization แล้ว</t>
        </is>
      </c>
      <c r="H8" s="2" t="inlineStr">
        <is>
          <t>เหมาะกับยาที่ทนความร้อนไม่ได้</t>
        </is>
      </c>
      <c r="I8" s="8" t="inlineStr">
        <is>
          <t>1</t>
        </is>
      </c>
      <c r="J8" s="2" t="inlineStr">
        <is>
          <t>✅ คำตอบที่ถูกต้อง: ข้อ ก. ต้องทำใน clean room และใช้ aseptic techniques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ต้องทำใน clean room และใช้ aseptic techniques ไม่ตรงกับข้อบ่งใช้หรือกลไกการออกฤทธิ์ที่ถูกต้องตาม USP &lt;797&gt; / PIC/S PE 010 Sterile Manufacturing GMP
• ข้อ ค. (เป็น terminal (finish) process): เป็น terminal (finish) process ไม่ตรงกับข้อบ่งใช้หรือกลไกการออกฤทธิ์ที่ถูกต้องตาม USP &lt;797&gt; / PIC/S PE 010 Sterile Manufacturing GMP
• ข้อ ง. (ใช้ 0.22 ไมครอน ในการกรองจุลินทรีย์): ใช้ 0.22 ไมครอน ในการกรองจุลินทรีย์ ไม่ตรงกับข้อบ่งใช้หรือกลไกการออกฤทธิ์ที่ถูกต้องตาม USP &lt;797&gt; / PIC/S PE 010 Sterile Manufacturing GMP
• ข้อ จ. (ยาที่กรองแล้วต้องใส่ภาชนะที่ทำ sterilization แล้ว): ยาที่กรองแล้วต้องใส่ภาชนะที่ทำ sterilization แล้ว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2" t="n"/>
      <c r="L8" s="2" t="inlineStr">
        <is>
          <t>Autoclave &amp; Sterilization</t>
        </is>
      </c>
      <c r="M8" s="2" t="inlineStr">
        <is>
          <t>Sterile Products</t>
        </is>
      </c>
      <c r="N8" s="2" t="inlineStr">
        <is>
          <t>PLE_CC1_2567_Key ข้อ 17</t>
        </is>
      </c>
      <c r="O8" s="2" t="inlineStr">
        <is>
          <t>ข้อสอบจริง</t>
        </is>
      </c>
      <c r="P8" s="2" t="inlineStr">
        <is>
          <t>ปี 2567</t>
        </is>
      </c>
      <c r="Q8" s="2" t="n"/>
    </row>
    <row r="9" ht="13.2" customHeight="1" s="49">
      <c r="A9" s="8" t="inlineStr">
        <is>
          <t>8</t>
        </is>
      </c>
      <c r="B9" s="2" t="inlineStr">
        <is>
          <t>อะไรใน sterile IV mixture set ที่เกิดปกญหามากที่สุดกับ nitroglycerin</t>
        </is>
      </c>
      <c r="C9" s="2" t="n"/>
      <c r="D9" s="2" t="inlineStr">
        <is>
          <t>Polyethylene</t>
        </is>
      </c>
      <c r="E9" s="2" t="inlineStr">
        <is>
          <t>Polypropylene</t>
        </is>
      </c>
      <c r="F9" s="2" t="inlineStr">
        <is>
          <t>Teflon</t>
        </is>
      </c>
      <c r="G9" s="2" t="inlineStr">
        <is>
          <t>PVC</t>
        </is>
      </c>
      <c r="H9" s="2" t="inlineStr">
        <is>
          <t>Polystyrene</t>
        </is>
      </c>
      <c r="I9" s="8" t="inlineStr">
        <is>
          <t>1</t>
        </is>
      </c>
      <c r="J9" s="2" t="inlineStr">
        <is>
          <t>✅ คำตอบที่ถูกต้อง: ข้อ ก. Polyethylene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Polyethylene ไม่ตรงกับข้อบ่งใช้หรือกลไกการออกฤทธิ์ที่ถูกต้องตาม USP &lt;797&gt; / PIC/S PE 010 Sterile Manufacturing GMP
• ข้อ ค. (Polypropylene): Polypropylene ไม่ตรงกับข้อบ่งใช้หรือกลไกการออกฤทธิ์ที่ถูกต้องตาม USP &lt;797&gt; / PIC/S PE 010 Sterile Manufacturing GMP
• ข้อ ง. (Teflon): Teflon ไม่ตรงกับข้อบ่งใช้หรือกลไกการออกฤทธิ์ที่ถูกต้องตาม USP &lt;797&gt; / PIC/S PE 010 Sterile Manufacturing GMP
• ข้อ จ. (PVC): PVC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2" t="n"/>
      <c r="L9" s="2" t="inlineStr">
        <is>
          <t>Parenterals &amp; Ophthalmic</t>
        </is>
      </c>
      <c r="M9" s="2" t="inlineStr">
        <is>
          <t>Sterile Products</t>
        </is>
      </c>
      <c r="N9" s="2" t="inlineStr">
        <is>
          <t>PLE_CC1_2565_Day2_Key ข้อ 27</t>
        </is>
      </c>
      <c r="O9" s="2" t="inlineStr">
        <is>
          <t>ข้อสอบจริง</t>
        </is>
      </c>
      <c r="P9" s="2" t="inlineStr">
        <is>
          <t>ปี 2565</t>
        </is>
      </c>
      <c r="Q9" s="2" t="n"/>
    </row>
    <row r="10" ht="13.2" customHeight="1" s="49">
      <c r="A10" s="8" t="inlineStr">
        <is>
          <t>9</t>
        </is>
      </c>
      <c r="B10" s="2"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2" t="n"/>
      <c r="D10" s="2" t="inlineStr">
        <is>
          <t>Buffering agent</t>
        </is>
      </c>
      <c r="E10" s="2" t="inlineStr">
        <is>
          <t>Viscosity enhancer</t>
        </is>
      </c>
      <c r="F10" s="2" t="inlineStr">
        <is>
          <t>surface active agent</t>
        </is>
      </c>
      <c r="G10" s="2" t="inlineStr">
        <is>
          <t>isotonic agent</t>
        </is>
      </c>
      <c r="H10" s="2" t="inlineStr">
        <is>
          <t>stabilizer</t>
        </is>
      </c>
      <c r="I10" s="8" t="inlineStr">
        <is>
          <t>1</t>
        </is>
      </c>
      <c r="J10" s="2"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Buffering agent ไม่ตรงกับข้อบ่งใช้หรือกลไกการออกฤทธิ์ที่ถูกต้องตาม USP &lt;797&gt; / PIC/S PE 010 Sterile Manufacturing GMP
• ข้อ ค. (Viscosity enhancer): Viscosity enhancer ไม่ตรงกับข้อบ่งใช้หรือกลไกการออกฤทธิ์ที่ถูกต้องตาม USP &lt;797&gt; / PIC/S PE 010 Sterile Manufacturing GMP
• ข้อ ง. (surface active agent): surface active agent ไม่ตรงกับข้อบ่งใช้หรือกลไกการออกฤทธิ์ที่ถูกต้องตาม USP &lt;797&gt; / PIC/S PE 010 Sterile Manufacturing GMP
• ข้อ จ. (isotonic agent): isotonic agent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2" t="n"/>
      <c r="L10" s="2" t="inlineStr">
        <is>
          <t>Parenterals &amp; Ophthalmic</t>
        </is>
      </c>
      <c r="M10" s="2" t="inlineStr">
        <is>
          <t>Sterile Products</t>
        </is>
      </c>
      <c r="N10" s="2" t="inlineStr">
        <is>
          <t>PLE_CC1_2565_Day2_Key ข้อ 43</t>
        </is>
      </c>
      <c r="O10" s="2" t="inlineStr">
        <is>
          <t>ข้อสอบจริง</t>
        </is>
      </c>
      <c r="P10" s="2" t="inlineStr">
        <is>
          <t>ปี 2565</t>
        </is>
      </c>
      <c r="Q10" s="2" t="n"/>
    </row>
    <row r="11" ht="13.2" customHeight="1" s="49">
      <c r="A11" s="2" t="n">
        <v>9</v>
      </c>
      <c r="B11" s="2" t="inlineStr">
        <is>
          <t>ข้อใดถูกต้องเกี่ยวกับยา steroid ฉีดเข้าข้อ X &amp;o preservative&amp;</t>
        </is>
      </c>
      <c r="C11" s="2" t="n"/>
      <c r="D11" s="2" t="inlineStr">
        <is>
          <t>ห้ามใส่สารกันเสีย</t>
        </is>
      </c>
      <c r="E11" s="2" t="inlineStr">
        <is>
          <t>ฉีดเข้าข้อเท่านั้น ห้ามฉีดเข้ากล้ามเนื้อ</t>
        </is>
      </c>
      <c r="F11" s="2" t="inlineStr">
        <is>
          <t>ฉีดเข้าข้อได้มากกว่า 100 มิลลิลิตร</t>
        </is>
      </c>
      <c r="G11" s="2" t="inlineStr">
        <is>
          <t>ทำเป็นยารูปแบบแขวนตะกอนได้</t>
        </is>
      </c>
      <c r="H11" s="2" t="inlineStr">
        <is>
          <t>Sterile ด้วย autoclave</t>
        </is>
      </c>
      <c r="I11" s="2" t="n">
        <v>1</v>
      </c>
      <c r="J11" s="2"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Parenterals &amp; Ophthalmic</t>
        </is>
      </c>
      <c r="M11" s="2" t="inlineStr">
        <is>
          <t>Product</t>
        </is>
      </c>
      <c r="N11" s="2" t="inlineStr">
        <is>
          <t>ข้อ 30 (PLE_CC1_2562_Key.md)</t>
        </is>
      </c>
      <c r="O11" s="2" t="inlineStr">
        <is>
          <t>ข้อสอบจริง</t>
        </is>
      </c>
      <c r="P11" s="2" t="inlineStr">
        <is>
          <t>ปี 2562</t>
        </is>
      </c>
    </row>
    <row r="12" ht="13.2" customHeight="1" s="49">
      <c r="A12" s="2" t="n">
        <v>10</v>
      </c>
      <c r="B12" s="2" t="inlineStr">
        <is>
          <t>หลังเกิด hepatitis จากยา IRZE ยาใดเหมาะสมที่สุดในการให้แทนยา 1st line X ิ areisinterna nurser. hepatitis an IRZO "EOS</t>
        </is>
      </c>
      <c r="C12" s="2" t="n"/>
      <c r="D12" s="2" t="inlineStr">
        <is>
          <t>PAS</t>
        </is>
      </c>
      <c r="E12" s="2" t="inlineStr">
        <is>
          <t>Streptomycin</t>
        </is>
      </c>
      <c r="F12" s="2" t="inlineStr">
        <is>
          <t>Thalidomide</t>
        </is>
      </c>
      <c r="G12" s="2" t="inlineStr">
        <is>
          <t>Ethioamide</t>
        </is>
      </c>
      <c r="H12" s="2" t="inlineStr">
        <is>
          <t>Linezolid</t>
        </is>
      </c>
      <c r="I12" s="2" t="n">
        <v>1</v>
      </c>
      <c r="J12" s="2"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Sterile Cleanroom specs</t>
        </is>
      </c>
      <c r="M12" s="2" t="inlineStr">
        <is>
          <t>Product</t>
        </is>
      </c>
      <c r="N12" s="2" t="inlineStr">
        <is>
          <t>ข้อ 12 (PLE_CC1_2562_Key.md)</t>
        </is>
      </c>
      <c r="O12" s="2" t="inlineStr">
        <is>
          <t>ข้อสอบจริง</t>
        </is>
      </c>
      <c r="P12" s="2" t="inlineStr">
        <is>
          <t>ปี 2562</t>
        </is>
      </c>
    </row>
    <row r="13" ht="13.2" customHeight="1" s="49">
      <c r="A13" s="2" t="n">
        <v>11</v>
      </c>
      <c r="B13" s="2" t="inlineStr">
        <is>
          <t>ข้อใดไม.ใช.การทดสอบเพื่อควบคุมคุณภาพยาฉีด</t>
        </is>
      </c>
      <c r="C13" s="2" t="n"/>
      <c r="D13" s="2" t="inlineStr">
        <is>
          <t>Safety test</t>
        </is>
      </c>
      <c r="E13" s="2" t="inlineStr">
        <is>
          <t>Sterility test</t>
        </is>
      </c>
      <c r="F13" s="2" t="inlineStr">
        <is>
          <t>Pyrogen test</t>
        </is>
      </c>
      <c r="G13" s="2" t="inlineStr">
        <is>
          <t>Particulate matter test</t>
        </is>
      </c>
      <c r="H13" s="2" t="inlineStr">
        <is>
          <t>Microbial test</t>
        </is>
      </c>
      <c r="I13" s="2" t="n">
        <v>1</v>
      </c>
      <c r="J13" s="2"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Parenterals &amp; Ophthalmic</t>
        </is>
      </c>
      <c r="M13" s="2" t="inlineStr">
        <is>
          <t>Product</t>
        </is>
      </c>
      <c r="N13" s="2" t="inlineStr">
        <is>
          <t>ข้อ 124 (PLE_CC1_2561_Key.md)</t>
        </is>
      </c>
      <c r="O13" s="2" t="inlineStr">
        <is>
          <t>ข้อสอบจริง</t>
        </is>
      </c>
      <c r="P13" s="2" t="inlineStr">
        <is>
          <t>ปี 2561</t>
        </is>
      </c>
    </row>
    <row r="14" ht="13.2" customHeight="1" s="49">
      <c r="A14" s="2" t="n">
        <v>12</v>
      </c>
      <c r="B14" s="2" t="inlineStr">
        <is>
          <t>วิธีการทำปราศจากเชื้อวัคซีน</t>
        </is>
      </c>
      <c r="C14" s="2" t="n"/>
      <c r="D14" s="2" t="inlineStr">
        <is>
          <t>Aseptic technique</t>
        </is>
      </c>
      <c r="E14" s="2" t="inlineStr">
        <is>
          <t>Autoclave</t>
        </is>
      </c>
      <c r="F14" s="2" t="inlineStr">
        <is>
          <t>Hot air oven</t>
        </is>
      </c>
      <c r="G14" s="2" t="inlineStr">
        <is>
          <t>Gamma radiation</t>
        </is>
      </c>
      <c r="H14" s="2" t="inlineStr">
        <is>
          <t>Ethylene oxide</t>
        </is>
      </c>
      <c r="I14" s="2" t="n">
        <v>1</v>
      </c>
      <c r="J14" s="2"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Autoclave ไม่ตรงกับข้อบ่งใช้หรือกลไกการออกฤทธิ์ที่ถูกต้องตาม USP &lt;797&gt; / PIC/S PE 010 Sterile Manufacturing GMP
• ข้อ ค. (Hot air oven): IR (Infrared) spectroscopy วิเคราะห์ functional groups จาก stretching/bending vibrations C=O ~1700 cm-1, O-H ~3200-3550 cm-1
• ข้อ ง. (Gamma radiation): Gamma radiation ไม่ตรงกับข้อบ่งใช้หรือกลไกการออกฤทธิ์ที่ถูกต้องตาม USP &lt;797&gt; / PIC/S PE 010 Sterile Manufacturing GMP
• ข้อ จ. (Ethylene oxide): Ethylene oxide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Parenterals &amp; Ophthalmic</t>
        </is>
      </c>
      <c r="M14" s="2" t="inlineStr">
        <is>
          <t>Product</t>
        </is>
      </c>
      <c r="N14" s="2" t="inlineStr">
        <is>
          <t>ข้อ 40 (PLE_CC1_2558_Key.md)</t>
        </is>
      </c>
      <c r="O14" s="2" t="inlineStr">
        <is>
          <t>ข้อสอบจริง</t>
        </is>
      </c>
      <c r="P14" s="2" t="inlineStr">
        <is>
          <t>ปี 2558</t>
        </is>
      </c>
    </row>
    <row r="15" ht="13.2" customHeight="1" s="49">
      <c r="A15" s="2" t="n">
        <v>13</v>
      </c>
      <c r="B15" s="2" t="inlineStr">
        <is>
          <t>ผู้ป่วยได้รับการวินิจฉัยว่ามีภาวะ hepatic encephalopathy ยาในข้อใดที_x001E_ผู้ป่วยรายนี%ไม่ควรได้รับ (1) Lorazepam (2) Flumazenil (3) Zinc sulfate (4) Lactulose (5) Rifaximin</t>
        </is>
      </c>
      <c r="C15" s="2" t="n"/>
      <c r="D15" s="2" t="inlineStr">
        <is>
          <t>Isotonic Sodium Chloride 0.9% Osmotic Adjustment</t>
        </is>
      </c>
      <c r="E15" s="2" t="inlineStr">
        <is>
          <t>Moist Heat Steam Sterilization (Autoclave 121 C, 15 psi, 15 min)</t>
        </is>
      </c>
      <c r="F15" s="2" t="inlineStr">
        <is>
          <t>Dry Heat Sterilization (Hot Air Oven 160-170 C, 2 hours)</t>
        </is>
      </c>
      <c r="G15" s="2" t="inlineStr">
        <is>
          <t>Membrane Filtration Sterilization (0.22 micron pore size)</t>
        </is>
      </c>
      <c r="H15" s="2" t="inlineStr">
        <is>
          <t>Ethylene Oxide Gas Sterilization (ETO)</t>
        </is>
      </c>
      <c r="I15" s="2" t="n">
        <v>1</v>
      </c>
      <c r="J1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Sterile Cleanroom specs</t>
        </is>
      </c>
      <c r="M15" s="2" t="inlineStr">
        <is>
          <t>Product</t>
        </is>
      </c>
      <c r="N15" s="2" t="inlineStr">
        <is>
          <t>ข้อ 57 (PLE_CC1_2557.md)</t>
        </is>
      </c>
      <c r="O15" s="2" t="inlineStr">
        <is>
          <t>ข้อสอบจริง</t>
        </is>
      </c>
      <c r="P15" s="2" t="inlineStr">
        <is>
          <t>ปี 2557</t>
        </is>
      </c>
    </row>
    <row r="16" ht="13.2" customHeight="1" s="49">
      <c r="A16" s="2" t="n">
        <v>14</v>
      </c>
      <c r="B16" s="2"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2" t="n"/>
      <c r="D16" s="2" t="inlineStr">
        <is>
          <t>Membrane Filtration Sterilization (0.22 micron pore size)</t>
        </is>
      </c>
      <c r="E16" s="2" t="inlineStr">
        <is>
          <t>Ethylene Oxide Gas Sterilization (ETO)</t>
        </is>
      </c>
      <c r="F16" s="2" t="inlineStr">
        <is>
          <t>LAL Test (Limulus Amebocyte Lysate Bacterial Endotoxin)</t>
        </is>
      </c>
      <c r="G16" s="2" t="inlineStr">
        <is>
          <t>Rabbit Pyrogen Test in vivo</t>
        </is>
      </c>
      <c r="H16" s="2" t="inlineStr">
        <is>
          <t>ISO Class 5 (Grade A) Laminar Airflow Workstation</t>
        </is>
      </c>
      <c r="I16" s="2" t="n">
        <v>1</v>
      </c>
      <c r="J1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Sterility &amp; Pyrogen testing</t>
        </is>
      </c>
      <c r="M16" s="2" t="inlineStr">
        <is>
          <t>Product</t>
        </is>
      </c>
      <c r="N16" s="2" t="inlineStr">
        <is>
          <t>ข้อ 80 (PLE_CC1_2557.md)</t>
        </is>
      </c>
      <c r="O16" s="2" t="inlineStr">
        <is>
          <t>ข้อสอบจริง</t>
        </is>
      </c>
      <c r="P16" s="2" t="inlineStr">
        <is>
          <t>ปี 2557</t>
        </is>
      </c>
    </row>
    <row r="17" ht="13.2" customHeight="1" s="49">
      <c r="A17" s="2" t="n">
        <v>15</v>
      </c>
      <c r="B17" s="2" t="inlineStr">
        <is>
          <t>การทดสอบโดยการฉีดเข้าไปในหูกระต่ายแล้ววัดอุณหภูมิของกระต่ายที่สูงขึ้น เป็นการทดสอบอะไร</t>
        </is>
      </c>
      <c r="C17" s="2" t="n"/>
      <c r="D17" s="2" t="inlineStr">
        <is>
          <t>Clarity test</t>
        </is>
      </c>
      <c r="E17" s="2" t="inlineStr">
        <is>
          <t>Sterility test</t>
        </is>
      </c>
      <c r="F17" s="2" t="inlineStr">
        <is>
          <t>Purity test</t>
        </is>
      </c>
      <c r="G17" s="2" t="inlineStr">
        <is>
          <t>Pyrogen test</t>
        </is>
      </c>
      <c r="H17" s="2" t="inlineStr">
        <is>
          <t>Toxicity test</t>
        </is>
      </c>
      <c r="I17" s="2" t="n">
        <v>1</v>
      </c>
      <c r="J17" s="2"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Parenterals &amp; Ophthalmic</t>
        </is>
      </c>
      <c r="M17" s="2" t="inlineStr">
        <is>
          <t>Product</t>
        </is>
      </c>
      <c r="N17" s="2" t="inlineStr">
        <is>
          <t>ข้อ 18 (PLE_CC1_2555 Day 1.md)</t>
        </is>
      </c>
      <c r="O17" s="2" t="inlineStr">
        <is>
          <t>ข้อสอบจริง</t>
        </is>
      </c>
      <c r="P17" s="2" t="inlineStr">
        <is>
          <t>ปี 2555</t>
        </is>
      </c>
    </row>
    <row r="18" ht="13.2" customHeight="1" s="49">
      <c r="A18" s="2" t="n">
        <v>16</v>
      </c>
      <c r="B18" s="2" t="inlineStr">
        <is>
          <t>Cholestasis hepatitis</t>
        </is>
      </c>
      <c r="C18" s="2" t="n"/>
      <c r="D18" s="2" t="inlineStr">
        <is>
          <t>Dry Powder Inhaler (DPI) with Carrier Lactose</t>
        </is>
      </c>
      <c r="E18" s="2" t="inlineStr">
        <is>
          <t>Isotonic Sodium Chloride 0.9% Osmotic Adjustment</t>
        </is>
      </c>
      <c r="F18" s="2" t="inlineStr">
        <is>
          <t>Moist Heat Steam Sterilization (Autoclave 121 C, 15 psi, 15 min)</t>
        </is>
      </c>
      <c r="G18" s="2" t="inlineStr">
        <is>
          <t>Dry Heat Sterilization (Hot Air Oven 160-170 C, 2 hours)</t>
        </is>
      </c>
      <c r="H18" s="2" t="inlineStr">
        <is>
          <t>Membrane Filtration Sterilization (0.22 micron pore size)</t>
        </is>
      </c>
      <c r="I18" s="2" t="n">
        <v>1</v>
      </c>
      <c r="J18" s="2"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Sterile Cleanroom specs</t>
        </is>
      </c>
      <c r="M18" s="2" t="inlineStr">
        <is>
          <t>Product</t>
        </is>
      </c>
      <c r="N18" s="2" t="inlineStr">
        <is>
          <t>ข้อ 1 (PLE_CC1_2555 Day 2.md)</t>
        </is>
      </c>
      <c r="O18" s="2" t="inlineStr">
        <is>
          <t>ข้อสอบจริง</t>
        </is>
      </c>
      <c r="P18" s="2" t="inlineStr">
        <is>
          <t>ปี 2555</t>
        </is>
      </c>
    </row>
    <row r="19" ht="13.2" customHeight="1" s="49">
      <c r="A19" s="2" t="n">
        <v>17</v>
      </c>
      <c r="B19" s="2" t="inlineStr">
        <is>
          <t>Hepatitic fibrosis</t>
        </is>
      </c>
      <c r="C19" s="2" t="n"/>
      <c r="D19" s="2" t="inlineStr">
        <is>
          <t>Dry Heat Sterilization (Hot Air Oven 160-170 C, 2 hours)</t>
        </is>
      </c>
      <c r="E19" s="2" t="inlineStr">
        <is>
          <t>Membrane Filtration Sterilization (0.22 micron pore size)</t>
        </is>
      </c>
      <c r="F19" s="2" t="inlineStr">
        <is>
          <t>Ethylene Oxide Gas Sterilization (ETO)</t>
        </is>
      </c>
      <c r="G19" s="2" t="inlineStr">
        <is>
          <t>LAL Test (Limulus Amebocyte Lysate Bacterial Endotoxin)</t>
        </is>
      </c>
      <c r="H19" s="2" t="inlineStr">
        <is>
          <t>Rabbit Pyrogen Test in vivo</t>
        </is>
      </c>
      <c r="I19" s="2" t="n">
        <v>1</v>
      </c>
      <c r="J1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Sterile Cleanroom specs</t>
        </is>
      </c>
      <c r="M19" s="2" t="inlineStr">
        <is>
          <t>Product</t>
        </is>
      </c>
      <c r="N19" s="2" t="inlineStr">
        <is>
          <t>ข้อ 2 (PLE_CC1_2555 Day 2.md)</t>
        </is>
      </c>
      <c r="O19" s="2" t="inlineStr">
        <is>
          <t>ข้อสอบจริง</t>
        </is>
      </c>
      <c r="P19" s="2" t="inlineStr">
        <is>
          <t>ปี 2555</t>
        </is>
      </c>
    </row>
    <row r="20" ht="13.2" customHeight="1" s="49">
      <c r="A20" s="2" t="n">
        <v>18</v>
      </c>
      <c r="B20" s="2" t="inlineStr">
        <is>
          <t>Hepatocellular hepatitis</t>
        </is>
      </c>
      <c r="C20" s="2" t="n"/>
      <c r="D20" s="2" t="inlineStr">
        <is>
          <t>LAL Test (Limulus Amebocyte Lysate Bacterial Endotoxin)</t>
        </is>
      </c>
      <c r="E20" s="2" t="inlineStr">
        <is>
          <t>Rabbit Pyrogen Test in vivo</t>
        </is>
      </c>
      <c r="F20" s="2" t="inlineStr">
        <is>
          <t>ISO Class 5 (Grade A) Laminar Airflow Workstation</t>
        </is>
      </c>
      <c r="G20" s="2" t="inlineStr">
        <is>
          <t>Metered Dose Inhaler (MDI) with HFA propellant</t>
        </is>
      </c>
      <c r="H20" s="2" t="inlineStr">
        <is>
          <t>Dry Powder Inhaler (DPI) with Carrier Lactose</t>
        </is>
      </c>
      <c r="I20" s="2" t="n">
        <v>1</v>
      </c>
      <c r="J2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Sterile Cleanroom specs</t>
        </is>
      </c>
      <c r="M20" s="2" t="inlineStr">
        <is>
          <t>Product</t>
        </is>
      </c>
      <c r="N20" s="2" t="inlineStr">
        <is>
          <t>ข้อ 3 (PLE_CC1_2555 Day 2.md)</t>
        </is>
      </c>
      <c r="O20" s="2" t="inlineStr">
        <is>
          <t>ข้อสอบจริง</t>
        </is>
      </c>
      <c r="P20" s="2" t="inlineStr">
        <is>
          <t>ปี 2555</t>
        </is>
      </c>
    </row>
    <row r="21" ht="13.2" customHeight="1" s="49">
      <c r="A21" s="2" t="n">
        <v>19</v>
      </c>
      <c r="B21" s="2" t="inlineStr">
        <is>
          <t>Granulomatous hepatitis</t>
        </is>
      </c>
      <c r="C21" s="2" t="n"/>
      <c r="D21" s="2" t="inlineStr">
        <is>
          <t>Metered Dose Inhaler (MDI) with HFA propellant</t>
        </is>
      </c>
      <c r="E21" s="2" t="inlineStr">
        <is>
          <t>Dry Powder Inhaler (DPI) with Carrier Lactose</t>
        </is>
      </c>
      <c r="F21" s="2" t="inlineStr">
        <is>
          <t>Isotonic Sodium Chloride 0.9% Osmotic Adjustment</t>
        </is>
      </c>
      <c r="G21" s="2" t="inlineStr">
        <is>
          <t>Moist Heat Steam Sterilization (Autoclave 121 C, 15 psi, 15 min)</t>
        </is>
      </c>
      <c r="H21" s="2" t="inlineStr">
        <is>
          <t>Dry Heat Sterilization (Hot Air Oven 160-170 C, 2 hours)</t>
        </is>
      </c>
      <c r="I21" s="2" t="n">
        <v>1</v>
      </c>
      <c r="J2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Sterile Cleanroom specs</t>
        </is>
      </c>
      <c r="M21" s="2" t="inlineStr">
        <is>
          <t>Product</t>
        </is>
      </c>
      <c r="N21" s="2" t="inlineStr">
        <is>
          <t>ข้อ 4 (PLE_CC1_2555 Day 2.md)</t>
        </is>
      </c>
      <c r="O21" s="2" t="inlineStr">
        <is>
          <t>ข้อสอบจริง</t>
        </is>
      </c>
      <c r="P21" s="2" t="inlineStr">
        <is>
          <t>ปี 2555</t>
        </is>
      </c>
    </row>
    <row r="22" ht="13.2" customHeight="1" s="49">
      <c r="A22" s="2" t="n">
        <v>20</v>
      </c>
      <c r="B22" s="2" t="inlineStr">
        <is>
          <t>Elevated hepatic transaminase</t>
        </is>
      </c>
      <c r="C22" s="2" t="n"/>
      <c r="D22" s="2" t="inlineStr">
        <is>
          <t>Moist Heat Steam Sterilization (Autoclave 121 C, 15 psi, 15 min)</t>
        </is>
      </c>
      <c r="E22" s="2" t="inlineStr">
        <is>
          <t>Dry Heat Sterilization (Hot Air Oven 160-170 C, 2 hours)</t>
        </is>
      </c>
      <c r="F22" s="2" t="inlineStr">
        <is>
          <t>Membrane Filtration Sterilization (0.22 micron pore size)</t>
        </is>
      </c>
      <c r="G22" s="2" t="inlineStr">
        <is>
          <t>Ethylene Oxide Gas Sterilization (ETO)</t>
        </is>
      </c>
      <c r="H22" s="2" t="inlineStr">
        <is>
          <t>LAL Test (Limulus Amebocyte Lysate Bacterial Endotoxin)</t>
        </is>
      </c>
      <c r="I22" s="2" t="n">
        <v>1</v>
      </c>
      <c r="J2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Sterile Cleanroom specs</t>
        </is>
      </c>
      <c r="M22" s="2" t="inlineStr">
        <is>
          <t>Product</t>
        </is>
      </c>
      <c r="N22" s="2" t="inlineStr">
        <is>
          <t>ข้อ 1 (PLE_CC1_2554 SET2.md)</t>
        </is>
      </c>
      <c r="O22" s="2" t="inlineStr">
        <is>
          <t>ข้อสอบจริง</t>
        </is>
      </c>
      <c r="P22" s="2" t="inlineStr">
        <is>
          <t>ปี 2554</t>
        </is>
      </c>
    </row>
    <row r="23" ht="13.2" customHeight="1" s="49">
      <c r="A23" s="2" t="n">
        <v>21</v>
      </c>
      <c r="B23" s="2" t="inlineStr">
        <is>
          <t>อะไรคือสิ่งที่สำคัญที่สุดในการทำยาหยอดตา</t>
        </is>
      </c>
      <c r="C23" s="2" t="n"/>
      <c r="D23" s="2" t="inlineStr">
        <is>
          <t>Tonicity</t>
        </is>
      </c>
      <c r="E23" s="2" t="inlineStr">
        <is>
          <t>Preservatives</t>
        </is>
      </c>
      <c r="F23" s="2" t="inlineStr">
        <is>
          <t>Sterity</t>
        </is>
      </c>
      <c r="G23" s="2" t="inlineStr">
        <is>
          <t>Volume</t>
        </is>
      </c>
      <c r="H23" s="2" t="inlineStr">
        <is>
          <t>pH</t>
        </is>
      </c>
      <c r="I23" s="2" t="n">
        <v>2</v>
      </c>
      <c r="J23" s="2"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Parenterals &amp; Ophthalmic</t>
        </is>
      </c>
      <c r="M23" s="2" t="inlineStr">
        <is>
          <t>Product</t>
        </is>
      </c>
      <c r="N23" s="2" t="inlineStr">
        <is>
          <t>ข้อ 7 (PLE_CC1_2554 SET2.md)</t>
        </is>
      </c>
      <c r="O23" s="2" t="inlineStr">
        <is>
          <t>ข้อสอบจริง</t>
        </is>
      </c>
      <c r="P23" s="2" t="inlineStr">
        <is>
          <t>ปี 2554</t>
        </is>
      </c>
    </row>
    <row r="24" ht="13.2" customHeight="1" s="49">
      <c r="A24" s="2" t="n">
        <v>22</v>
      </c>
      <c r="B24" s="2"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2" t="n"/>
      <c r="D24" s="2" t="inlineStr">
        <is>
          <t>ISO Class 5 (Grade A) Laminar Airflow Workstation</t>
        </is>
      </c>
      <c r="E24" s="2" t="inlineStr">
        <is>
          <t>Metered Dose Inhaler (MDI) with HFA propellant</t>
        </is>
      </c>
      <c r="F24" s="2" t="inlineStr">
        <is>
          <t>Dry Powder Inhaler (DPI) with Carrier Lactose</t>
        </is>
      </c>
      <c r="G24" s="2" t="inlineStr">
        <is>
          <t>Isotonic Sodium Chloride 0.9% Osmotic Adjustment</t>
        </is>
      </c>
      <c r="H24" s="2" t="inlineStr">
        <is>
          <t>Moist Heat Steam Sterilization (Autoclave 121 C, 15 psi, 15 min)</t>
        </is>
      </c>
      <c r="I24" s="2" t="n">
        <v>1</v>
      </c>
      <c r="J2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Sterile Cleanroom specs</t>
        </is>
      </c>
      <c r="M24" s="2" t="inlineStr">
        <is>
          <t>Product</t>
        </is>
      </c>
      <c r="N24" s="2" t="inlineStr">
        <is>
          <t>ข้อ 2 (PLE_CC1_2533.md)</t>
        </is>
      </c>
      <c r="O24" s="2" t="inlineStr">
        <is>
          <t>ข้อสอบจริง</t>
        </is>
      </c>
      <c r="P24" s="2" t="inlineStr">
        <is>
          <t>ปี 2533</t>
        </is>
      </c>
    </row>
    <row r="25" ht="13.2" customHeight="1" s="49">
      <c r="A25" s="2" t="n">
        <v>23</v>
      </c>
      <c r="B25" s="2" t="inlineStr">
        <is>
          <t>หากท่านต้องการเตรียมการผลิต แบ่งบรรจุยาเคมีบำบัด ควรเตรียมยาในห้องที่มีสภาวะแบบใด</t>
        </is>
      </c>
      <c r="C25" s="2" t="n"/>
      <c r="D25" s="2" t="inlineStr">
        <is>
          <t>Isotonic Sodium Chloride 0.9% Osmotic Adjustment</t>
        </is>
      </c>
      <c r="E25" s="2" t="inlineStr">
        <is>
          <t>Moist Heat Steam Sterilization (Autoclave 121 C, 15 psi, 15 min)</t>
        </is>
      </c>
      <c r="F25" s="2" t="inlineStr">
        <is>
          <t>Dry Heat Sterilization (Hot Air Oven 160-170 C, 2 hours)</t>
        </is>
      </c>
      <c r="G25" s="2" t="inlineStr">
        <is>
          <t>Membrane Filtration Sterilization (0.22 micron pore size)</t>
        </is>
      </c>
      <c r="H25" s="2" t="inlineStr">
        <is>
          <t>Ethylene Oxide Gas Sterilization (ETO)</t>
        </is>
      </c>
      <c r="I25" s="2" t="n">
        <v>1</v>
      </c>
      <c r="J25" s="2"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Parenterals &amp; Ophthalmic</t>
        </is>
      </c>
      <c r="M25" s="2" t="inlineStr">
        <is>
          <t>Product</t>
        </is>
      </c>
      <c r="N25" s="2" t="inlineStr">
        <is>
          <t>ข้อ 8 (PLE_CC1_2533.md)</t>
        </is>
      </c>
      <c r="O25" s="2" t="inlineStr">
        <is>
          <t>ข้อสอบจริง</t>
        </is>
      </c>
      <c r="P25" s="2" t="inlineStr">
        <is>
          <t>ปี 2533</t>
        </is>
      </c>
    </row>
    <row r="26" ht="13.2" customHeight="1" s="49">
      <c r="A26" s="2" t="n">
        <v>24</v>
      </c>
      <c r="B26" s="2"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2" t="n"/>
      <c r="D26" s="2" t="inlineStr">
        <is>
          <t>ควรเลือก Unfractionated Heparin (UFH) เนื่องจากเกิด thrombocytopenia ต่ำ</t>
        </is>
      </c>
      <c r="E26" s="2" t="inlineStr">
        <is>
          <t>ควรเลือก Unfractionated Heparin (UFH) เนื่องจากปรับขนาดยาง่าย</t>
        </is>
      </c>
      <c r="F26" s="2" t="inlineStr">
        <is>
          <t>ควรเลือก Unfractionated Heparin (UFH) เนื่องจากมี specificity สูง</t>
        </is>
      </c>
      <c r="G26" s="2" t="inlineStr">
        <is>
          <t>ควรเลือก Low molecular weight heparin (LMWH) เนื่องจากบริหารยาง่าย</t>
        </is>
      </c>
      <c r="H26" s="2" t="inlineStr">
        <is>
          <t>ควรเลือก Low molecular weight heparin (LMWH) เนื่องจากไม่ต้องปรับขนาดยาในคนไข้โรค ไต</t>
        </is>
      </c>
      <c r="I26" s="2" t="n">
        <v>1</v>
      </c>
      <c r="J26" s="2"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Sterile Cleanroom specs</t>
        </is>
      </c>
      <c r="M26" s="2" t="inlineStr">
        <is>
          <t>Product</t>
        </is>
      </c>
      <c r="N26" s="2" t="inlineStr">
        <is>
          <t>ข้อ 7 (PLE_CC1_Practice_Exam.md)</t>
        </is>
      </c>
      <c r="O26" s="2" t="inlineStr">
        <is>
          <t>Mock</t>
        </is>
      </c>
      <c r="P26" s="2" t="inlineStr">
        <is>
          <t>Mock สภาเภสัชฯ Practice</t>
        </is>
      </c>
    </row>
    <row r="27" ht="13.2" customHeight="1" s="49">
      <c r="A27" s="2" t="n">
        <v>25</v>
      </c>
      <c r="B27" s="2" t="inlineStr">
        <is>
          <t>เภสัชกรพิจารณาจ่ายยา Chloramphenicol eye drop เภสัชกรควรให้คำแนะนำในการหยอดตาอย่างไร</t>
        </is>
      </c>
      <c r="C27" s="2" t="n"/>
      <c r="D27" s="2" t="inlineStr">
        <is>
          <t>หลังเปิดใช้งานแล้วเก็บยาที่อุณหภูมิห้องหรือภายในตู้เย็น โดยยามีอายุ 14 วันหลังเปิดใช้งาน</t>
        </is>
      </c>
      <c r="E27" s="2" t="inlineStr">
        <is>
          <t>หากผู้ป่วยจำเป็นต้องใช้ยาป้ายตา ointment ร่วมด้วยควรใช้ยาป้ายตาก่อนหยอดตา Chloramphenicol eye drop</t>
        </is>
      </c>
      <c r="F27" s="2" t="inlineStr">
        <is>
          <t>การกดหัวตาเบาๆ อาจช่วยลดความรู้สึกขมคอภายหลังหยอดตาได้</t>
        </is>
      </c>
      <c r="G27" s="2"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2" t="inlineStr">
        <is>
          <t>ล้างมือให้สะอาด เปิดฝาครอบขวดยาออก คว่ำฝาชวดยาลงบนพื้น</t>
        </is>
      </c>
      <c r="I27" s="2" t="n">
        <v>1</v>
      </c>
      <c r="J27" s="2"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Parenterals &amp; Ophthalmic</t>
        </is>
      </c>
      <c r="M27" s="2" t="inlineStr">
        <is>
          <t>Product</t>
        </is>
      </c>
      <c r="N27" s="2" t="inlineStr">
        <is>
          <t>ข้อ 25 (PLE_CC1_Practice_Exam.md)</t>
        </is>
      </c>
      <c r="O27" s="2" t="inlineStr">
        <is>
          <t>Mock</t>
        </is>
      </c>
      <c r="P27" s="2" t="inlineStr">
        <is>
          <t>Mock สภาเภสัชฯ Practice</t>
        </is>
      </c>
    </row>
    <row r="28" ht="13.2" customHeight="1" s="49">
      <c r="A28" s="2" t="n">
        <v>26</v>
      </c>
      <c r="B28" s="2"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t>
        </is>
      </c>
      <c r="C28" s="2" t="n"/>
      <c r="D28" s="2" t="inlineStr">
        <is>
          <t>Metformin (มีผลข้างเคียงทำให้น้ำหนักลด) ง. Chlorpropamide จ. Sitagliptin</t>
        </is>
      </c>
      <c r="E28" s="2" t="inlineStr">
        <is>
          <t>Isotonic Sodium Chloride 0.9% Osmotic Adjustment</t>
        </is>
      </c>
      <c r="F28" s="2" t="inlineStr">
        <is>
          <t>Moist Heat Steam Sterilization (Autoclave 121 C, 15 psi, 15 min)</t>
        </is>
      </c>
      <c r="G28" s="2" t="inlineStr">
        <is>
          <t>Dry Heat Sterilization (Hot Air Oven 160-170 C, 2 hours)</t>
        </is>
      </c>
      <c r="H28" s="2" t="inlineStr">
        <is>
          <t>Membrane Filtration Sterilization (0.22 micron pore size)</t>
        </is>
      </c>
      <c r="I28" s="2" t="n">
        <v>1</v>
      </c>
      <c r="J28" s="2"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Sterile Cleanroom specs</t>
        </is>
      </c>
      <c r="M28" s="2" t="inlineStr">
        <is>
          <t>Product</t>
        </is>
      </c>
      <c r="N28" s="2" t="inlineStr">
        <is>
          <t>ข้อ 6 (PLE_CC1_Practice_Exam.md)</t>
        </is>
      </c>
      <c r="O28" s="2" t="inlineStr">
        <is>
          <t>Mock</t>
        </is>
      </c>
      <c r="P28" s="2" t="inlineStr">
        <is>
          <t>Mock สภาเภสัชฯ Practice</t>
        </is>
      </c>
    </row>
    <row r="29" ht="13.2" customHeight="1" s="49">
      <c r="A29" s="2" t="n">
        <v>27</v>
      </c>
      <c r="B29" s="2"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2" t="n"/>
      <c r="D29" s="2" t="inlineStr">
        <is>
          <t>Dry Heat Sterilization (Hot Air Oven 160-170 C, 2 hours)</t>
        </is>
      </c>
      <c r="E29" s="2" t="inlineStr">
        <is>
          <t>Membrane Filtration Sterilization (0.22 micron pore size)</t>
        </is>
      </c>
      <c r="F29" s="2" t="inlineStr">
        <is>
          <t>Ethylene Oxide Gas Sterilization (ETO)</t>
        </is>
      </c>
      <c r="G29" s="2" t="inlineStr">
        <is>
          <t>LAL Test (Limulus Amebocyte Lysate Bacterial Endotoxin)</t>
        </is>
      </c>
      <c r="H29" s="2" t="inlineStr">
        <is>
          <t>Rabbit Pyrogen Test in vivo</t>
        </is>
      </c>
      <c r="I29" s="2" t="n">
        <v>1</v>
      </c>
      <c r="J2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Sterile Cleanroom specs</t>
        </is>
      </c>
      <c r="M29" s="2" t="inlineStr">
        <is>
          <t>Product</t>
        </is>
      </c>
      <c r="N29" s="2" t="inlineStr">
        <is>
          <t>ข้อ 8 (PLE_CC1_Practice_Exam.md)</t>
        </is>
      </c>
      <c r="O29" s="2" t="inlineStr">
        <is>
          <t>Mock</t>
        </is>
      </c>
      <c r="P29" s="2" t="inlineStr">
        <is>
          <t>Mock สภาเภสัชฯ Practice</t>
        </is>
      </c>
    </row>
    <row r="30" ht="13.2" customHeight="1" s="49">
      <c r="A30" s="2" t="n">
        <v>28</v>
      </c>
      <c r="B30" s="2"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2" t="n"/>
      <c r="D30" s="2" t="inlineStr">
        <is>
          <t>LAL Test (Limulus Amebocyte Lysate Bacterial Endotoxin)</t>
        </is>
      </c>
      <c r="E30" s="2" t="inlineStr">
        <is>
          <t>Rabbit Pyrogen Test in vivo</t>
        </is>
      </c>
      <c r="F30" s="2" t="inlineStr">
        <is>
          <t>ISO Class 5 (Grade A) Laminar Airflow Workstation</t>
        </is>
      </c>
      <c r="G30" s="2" t="inlineStr">
        <is>
          <t>Metered Dose Inhaler (MDI) with HFA propellant</t>
        </is>
      </c>
      <c r="H30" s="2" t="inlineStr">
        <is>
          <t>Dry Powder Inhaler (DPI) with Carrier Lactose</t>
        </is>
      </c>
      <c r="I30" s="2" t="n">
        <v>1</v>
      </c>
      <c r="J3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Sterile Cleanroom specs</t>
        </is>
      </c>
      <c r="M30" s="2" t="inlineStr">
        <is>
          <t>Product</t>
        </is>
      </c>
      <c r="N30" s="2" t="inlineStr">
        <is>
          <t>ข้อ 10 (PLE_CC1_Practice_Exam.md)</t>
        </is>
      </c>
      <c r="O30" s="2" t="inlineStr">
        <is>
          <t>Mock</t>
        </is>
      </c>
      <c r="P30" s="2" t="inlineStr">
        <is>
          <t>Mock สภาเภสัชฯ Practice</t>
        </is>
      </c>
    </row>
    <row r="31" ht="13.2" customHeight="1" s="49">
      <c r="A31" s="2" t="n">
        <v>29</v>
      </c>
      <c r="B31" s="2"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t>
        </is>
      </c>
      <c r="C31" s="2" t="n"/>
      <c r="D31" s="2" t="inlineStr">
        <is>
          <t>Metered Dose Inhaler (MDI) with HFA propellant</t>
        </is>
      </c>
      <c r="E31" s="2" t="inlineStr">
        <is>
          <t>Dry Powder Inhaler (DPI) with Carrier Lactose</t>
        </is>
      </c>
      <c r="F31" s="2" t="inlineStr">
        <is>
          <t>Isotonic Sodium Chloride 0.9% Osmotic Adjustment</t>
        </is>
      </c>
      <c r="G31" s="2" t="inlineStr">
        <is>
          <t>Moist Heat Steam Sterilization (Autoclave 121 C, 15 psi, 15 min)</t>
        </is>
      </c>
      <c r="H31" s="2" t="inlineStr">
        <is>
          <t>Dry Heat Sterilization (Hot Air Oven 160-170 C, 2 hours)</t>
        </is>
      </c>
      <c r="I31" s="2" t="n">
        <v>1</v>
      </c>
      <c r="J3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Sterile Cleanroom specs</t>
        </is>
      </c>
      <c r="M31" s="2" t="inlineStr">
        <is>
          <t>Product</t>
        </is>
      </c>
      <c r="N31" s="2" t="inlineStr">
        <is>
          <t>ข้อ 4 (PLE_CC1_Practice_Exam.md)</t>
        </is>
      </c>
      <c r="O31" s="2" t="inlineStr">
        <is>
          <t>Mock</t>
        </is>
      </c>
      <c r="P31" s="2" t="inlineStr">
        <is>
          <t>Mock สภาเภสัชฯ Practice</t>
        </is>
      </c>
    </row>
    <row r="32" ht="13.2" customHeight="1" s="49">
      <c r="A32" s="2" t="n">
        <v>30</v>
      </c>
      <c r="B32" s="2"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t>
        </is>
      </c>
      <c r="C32" s="2" t="n"/>
      <c r="D32" s="2" t="inlineStr">
        <is>
          <t>Moist Heat Steam Sterilization (Autoclave 121 C, 15 psi, 15 min)</t>
        </is>
      </c>
      <c r="E32" s="2" t="inlineStr">
        <is>
          <t>Dry Heat Sterilization (Hot Air Oven 160-170 C, 2 hours)</t>
        </is>
      </c>
      <c r="F32" s="2" t="inlineStr">
        <is>
          <t>Membrane Filtration Sterilization (0.22 micron pore size)</t>
        </is>
      </c>
      <c r="G32" s="2" t="inlineStr">
        <is>
          <t>Ethylene Oxide Gas Sterilization (ETO)</t>
        </is>
      </c>
      <c r="H32" s="2" t="inlineStr">
        <is>
          <t>LAL Test (Limulus Amebocyte Lysate Bacterial Endotoxin)</t>
        </is>
      </c>
      <c r="I32" s="2" t="n">
        <v>1</v>
      </c>
      <c r="J3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Sterile Cleanroom specs</t>
        </is>
      </c>
      <c r="M32" s="2" t="inlineStr">
        <is>
          <t>Product</t>
        </is>
      </c>
      <c r="N32" s="2" t="inlineStr">
        <is>
          <t>ข้อ 3 (PLE_CC1_Practice_Exam.md)</t>
        </is>
      </c>
      <c r="O32" s="2" t="inlineStr">
        <is>
          <t>Mock</t>
        </is>
      </c>
      <c r="P32" s="2" t="inlineStr">
        <is>
          <t>Mock สภาเภสัชฯ Practice</t>
        </is>
      </c>
    </row>
    <row r="33" ht="13.2" customHeight="1" s="49">
      <c r="A33" s="2" t="n">
        <v>31</v>
      </c>
      <c r="B33" s="2"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2" t="n"/>
      <c r="D33" s="2" t="inlineStr">
        <is>
          <t>Ethylene Oxide Gas Sterilization (ETO)</t>
        </is>
      </c>
      <c r="E33" s="2" t="inlineStr">
        <is>
          <t>LAL Test (Limulus Amebocyte Lysate Bacterial Endotoxin)</t>
        </is>
      </c>
      <c r="F33" s="2" t="inlineStr">
        <is>
          <t>Rabbit Pyrogen Test in vivo</t>
        </is>
      </c>
      <c r="G33" s="2" t="inlineStr">
        <is>
          <t>ISO Class 5 (Grade A) Laminar Airflow Workstation</t>
        </is>
      </c>
      <c r="H33" s="2" t="inlineStr">
        <is>
          <t>Metered Dose Inhaler (MDI) with HFA propellant</t>
        </is>
      </c>
      <c r="I33" s="2" t="n">
        <v>3</v>
      </c>
      <c r="J33" s="2"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Sterile Cleanroom specs</t>
        </is>
      </c>
      <c r="M33" s="2" t="inlineStr">
        <is>
          <t>Product</t>
        </is>
      </c>
      <c r="N33" s="2" t="inlineStr">
        <is>
          <t>ข้อ 33 (PLE_CC1_Practice_Exam.md)</t>
        </is>
      </c>
      <c r="O33" s="2" t="inlineStr">
        <is>
          <t>Mock</t>
        </is>
      </c>
      <c r="P33" s="2" t="inlineStr">
        <is>
          <t>Mock สภาเภสัชฯ Practice</t>
        </is>
      </c>
    </row>
    <row r="34" ht="13.2" customHeight="1" s="49">
      <c r="A34" s="2" t="n">
        <v>32</v>
      </c>
      <c r="B34" s="2"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t>
        </is>
      </c>
      <c r="C34" s="2" t="n"/>
      <c r="D34" s="2" t="inlineStr">
        <is>
          <t>ISO Class 5 (Grade A) Laminar Airflow Workstation</t>
        </is>
      </c>
      <c r="E34" s="2" t="inlineStr">
        <is>
          <t>Metered Dose Inhaler (MDI) with HFA propellant</t>
        </is>
      </c>
      <c r="F34" s="2" t="inlineStr">
        <is>
          <t>Dry Powder Inhaler (DPI) with Carrier Lactose</t>
        </is>
      </c>
      <c r="G34" s="2" t="inlineStr">
        <is>
          <t>Isotonic Sodium Chloride 0.9% Osmotic Adjustment</t>
        </is>
      </c>
      <c r="H34" s="2" t="inlineStr">
        <is>
          <t>Moist Heat Steam Sterilization (Autoclave 121 C, 15 psi, 15 min)</t>
        </is>
      </c>
      <c r="I34" s="2" t="n">
        <v>2</v>
      </c>
      <c r="J34" s="2"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Sterile Cleanroom specs</t>
        </is>
      </c>
      <c r="M34" s="2" t="inlineStr">
        <is>
          <t>Product</t>
        </is>
      </c>
      <c r="N34" s="2" t="inlineStr">
        <is>
          <t>ข้อ 39 (PLE_CC1_Practice_Exam.md)</t>
        </is>
      </c>
      <c r="O34" s="2" t="inlineStr">
        <is>
          <t>Mock</t>
        </is>
      </c>
      <c r="P34" s="2" t="inlineStr">
        <is>
          <t>Mock สภาเภสัชฯ Practice</t>
        </is>
      </c>
    </row>
    <row r="35" ht="13.2" customHeight="1" s="49">
      <c r="A35" s="2" t="n">
        <v>33</v>
      </c>
      <c r="B35" s="2"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2" t="n"/>
      <c r="D35" s="2" t="inlineStr">
        <is>
          <t>Isotonic Sodium Chloride 0.9% Osmotic Adjustment</t>
        </is>
      </c>
      <c r="E35" s="2" t="inlineStr">
        <is>
          <t>Moist Heat Steam Sterilization (Autoclave 121 C, 15 psi, 15 min)</t>
        </is>
      </c>
      <c r="F35" s="2" t="inlineStr">
        <is>
          <t>Dry Heat Sterilization (Hot Air Oven 160-170 C, 2 hours)</t>
        </is>
      </c>
      <c r="G35" s="2" t="inlineStr">
        <is>
          <t>Membrane Filtration Sterilization (0.22 micron pore size)</t>
        </is>
      </c>
      <c r="H35" s="2" t="inlineStr">
        <is>
          <t>Ethylene Oxide Gas Sterilization (ETO)</t>
        </is>
      </c>
      <c r="I35" s="2" t="n">
        <v>1</v>
      </c>
      <c r="J3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Sterile Cleanroom specs</t>
        </is>
      </c>
      <c r="M35" s="2" t="inlineStr">
        <is>
          <t>Product</t>
        </is>
      </c>
      <c r="N35" s="2" t="inlineStr">
        <is>
          <t>ข้อ 2 (PLE_CC1_Key_Rx20_UBU.md)</t>
        </is>
      </c>
      <c r="O35" s="2" t="inlineStr">
        <is>
          <t>Mock</t>
        </is>
      </c>
      <c r="P35" s="2" t="inlineStr">
        <is>
          <t>Mock Rx20 UBU</t>
        </is>
      </c>
    </row>
    <row r="36" ht="13.2" customHeight="1" s="49">
      <c r="A36" s="2" t="n">
        <v>34</v>
      </c>
      <c r="B36" s="2" t="inlineStr">
        <is>
          <t>ระบบอากาศเป็น HEPA filter และ Pre HEPA</t>
        </is>
      </c>
      <c r="C36" s="2" t="n"/>
      <c r="D36" s="2" t="inlineStr">
        <is>
          <t>Membrane Filtration Sterilization (0.22 micron pore size)</t>
        </is>
      </c>
      <c r="E36" s="2" t="inlineStr">
        <is>
          <t>Ethylene Oxide Gas Sterilization (ETO)</t>
        </is>
      </c>
      <c r="F36" s="2" t="inlineStr">
        <is>
          <t>LAL Test (Limulus Amebocyte Lysate Bacterial Endotoxin)</t>
        </is>
      </c>
      <c r="G36" s="2" t="inlineStr">
        <is>
          <t>Rabbit Pyrogen Test in vivo</t>
        </is>
      </c>
      <c r="H36" s="2" t="inlineStr">
        <is>
          <t>ISO Class 5 (Grade A) Laminar Airflow Workstation</t>
        </is>
      </c>
      <c r="I36" s="2" t="n">
        <v>1</v>
      </c>
      <c r="J3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Sterile Cleanroom specs</t>
        </is>
      </c>
      <c r="M36" s="2" t="inlineStr">
        <is>
          <t>Product</t>
        </is>
      </c>
      <c r="N36" s="2" t="inlineStr">
        <is>
          <t>ข้อ 1 (PLE_CC1_Key_Rx20_UBU.md)</t>
        </is>
      </c>
      <c r="O36" s="2" t="inlineStr">
        <is>
          <t>Mock</t>
        </is>
      </c>
      <c r="P36" s="2" t="inlineStr">
        <is>
          <t>Mock Rx20 UBU</t>
        </is>
      </c>
    </row>
    <row r="37" ht="13.2" customHeight="1" s="49">
      <c r="A37" s="2" t="n">
        <v>35</v>
      </c>
      <c r="B37" s="2" t="inlineStr">
        <is>
          <t>Hepatitis B</t>
        </is>
      </c>
      <c r="C37" s="2" t="n"/>
      <c r="D37" s="2" t="inlineStr">
        <is>
          <t>Rabbit Pyrogen Test in vivo</t>
        </is>
      </c>
      <c r="E37" s="2" t="inlineStr">
        <is>
          <t>ISO Class 5 (Grade A) Laminar Airflow Workstation</t>
        </is>
      </c>
      <c r="F37" s="2" t="inlineStr">
        <is>
          <t>Metered Dose Inhaler (MDI) with HFA propellant</t>
        </is>
      </c>
      <c r="G37" s="2" t="inlineStr">
        <is>
          <t>Dry Powder Inhaler (DPI) with Carrier Lactose</t>
        </is>
      </c>
      <c r="H37" s="2" t="inlineStr">
        <is>
          <t>Isotonic Sodium Chloride 0.9% Osmotic Adjustment</t>
        </is>
      </c>
      <c r="I37" s="2" t="n">
        <v>1</v>
      </c>
      <c r="J3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Sterile Cleanroom specs</t>
        </is>
      </c>
      <c r="M37" s="2" t="inlineStr">
        <is>
          <t>Product</t>
        </is>
      </c>
      <c r="N37" s="2" t="inlineStr">
        <is>
          <t>ข้อ 5 (PLE_CC1_Key_Rx20_UBU.md)</t>
        </is>
      </c>
      <c r="O37" s="2" t="inlineStr">
        <is>
          <t>Mock</t>
        </is>
      </c>
      <c r="P37" s="2" t="inlineStr">
        <is>
          <t>Mock Rx20 UBU</t>
        </is>
      </c>
    </row>
    <row r="38" ht="13.2" customHeight="1" s="49">
      <c r="A38" s="2" t="n">
        <v>36</v>
      </c>
      <c r="B38" s="2"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2" t="n"/>
      <c r="D38" s="2" t="inlineStr">
        <is>
          <t>Dry Powder Inhaler (DPI) with Carrier Lactose</t>
        </is>
      </c>
      <c r="E38" s="2" t="inlineStr">
        <is>
          <t>Isotonic Sodium Chloride 0.9% Osmotic Adjustment</t>
        </is>
      </c>
      <c r="F38" s="2" t="inlineStr">
        <is>
          <t>Moist Heat Steam Sterilization (Autoclave 121 C, 15 psi, 15 min)</t>
        </is>
      </c>
      <c r="G38" s="2" t="inlineStr">
        <is>
          <t>Dry Heat Sterilization (Hot Air Oven 160-170 C, 2 hours)</t>
        </is>
      </c>
      <c r="H38" s="2" t="inlineStr">
        <is>
          <t>Membrane Filtration Sterilization (0.22 micron pore size)</t>
        </is>
      </c>
      <c r="I38" s="2" t="n">
        <v>5</v>
      </c>
      <c r="J38" s="2"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Sterility &amp; Pyrogen testing</t>
        </is>
      </c>
      <c r="M38" s="2" t="inlineStr">
        <is>
          <t>Product</t>
        </is>
      </c>
      <c r="N38" s="2" t="inlineStr">
        <is>
          <t>ข้อ 5 (PLE_CC1_Key_Rx20_UBU.md)</t>
        </is>
      </c>
      <c r="O38" s="2" t="inlineStr">
        <is>
          <t>Mock</t>
        </is>
      </c>
      <c r="P38" s="2" t="inlineStr">
        <is>
          <t>Mock Rx20 UBU</t>
        </is>
      </c>
    </row>
    <row r="39" ht="13.2" customHeight="1" s="49">
      <c r="A39" s="2" t="n">
        <v>37</v>
      </c>
      <c r="B39" s="2"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2" t="n"/>
      <c r="D39" s="2" t="inlineStr">
        <is>
          <t>Dry Heat Sterilization (Hot Air Oven 160-170 C, 2 hours)</t>
        </is>
      </c>
      <c r="E39" s="2" t="inlineStr">
        <is>
          <t>Membrane Filtration Sterilization (0.22 micron pore size)</t>
        </is>
      </c>
      <c r="F39" s="2" t="inlineStr">
        <is>
          <t>Ethylene Oxide Gas Sterilization (ETO)</t>
        </is>
      </c>
      <c r="G39" s="2" t="inlineStr">
        <is>
          <t>LAL Test (Limulus Amebocyte Lysate Bacterial Endotoxin)</t>
        </is>
      </c>
      <c r="H39" s="2" t="inlineStr">
        <is>
          <t>Rabbit Pyrogen Test in vivo</t>
        </is>
      </c>
      <c r="I39" s="2" t="n">
        <v>1</v>
      </c>
      <c r="J3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Sterile Cleanroom specs</t>
        </is>
      </c>
      <c r="M39" s="2" t="inlineStr">
        <is>
          <t>Product</t>
        </is>
      </c>
      <c r="N39" s="2" t="inlineStr">
        <is>
          <t>ข้อ 5 (PLE_CC1_Key_Rx20_UBU.md)</t>
        </is>
      </c>
      <c r="O39" s="2" t="inlineStr">
        <is>
          <t>Mock</t>
        </is>
      </c>
      <c r="P39" s="2" t="inlineStr">
        <is>
          <t>Mock Rx20 UBU</t>
        </is>
      </c>
    </row>
    <row r="40" ht="13.2" customHeight="1" s="49">
      <c r="A40" s="2" t="n">
        <v>38</v>
      </c>
      <c r="B40" s="2"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2" t="n"/>
      <c r="D40" s="2" t="inlineStr">
        <is>
          <t>LAL Test (Limulus Amebocyte Lysate Bacterial Endotoxin)</t>
        </is>
      </c>
      <c r="E40" s="2" t="inlineStr">
        <is>
          <t>Rabbit Pyrogen Test in vivo</t>
        </is>
      </c>
      <c r="F40" s="2" t="inlineStr">
        <is>
          <t>ISO Class 5 (Grade A) Laminar Airflow Workstation</t>
        </is>
      </c>
      <c r="G40" s="2" t="inlineStr">
        <is>
          <t>Metered Dose Inhaler (MDI) with HFA propellant</t>
        </is>
      </c>
      <c r="H40" s="2" t="inlineStr">
        <is>
          <t>Dry Powder Inhaler (DPI) with Carrier Lactose</t>
        </is>
      </c>
      <c r="I40" s="2" t="n">
        <v>1</v>
      </c>
      <c r="J4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Sterile Cleanroom specs</t>
        </is>
      </c>
      <c r="M40" s="2" t="inlineStr">
        <is>
          <t>Product</t>
        </is>
      </c>
      <c r="N40" s="2" t="inlineStr">
        <is>
          <t>ข้อ 57 (PLE_CC1_Key_Rx20_UBU.md)</t>
        </is>
      </c>
      <c r="O40" s="2" t="inlineStr">
        <is>
          <t>Mock</t>
        </is>
      </c>
      <c r="P40" s="2" t="inlineStr">
        <is>
          <t>Mock Rx20 UBU</t>
        </is>
      </c>
    </row>
    <row r="41" ht="13.2" customHeight="1" s="49">
      <c r="A41" s="2" t="n">
        <v>39</v>
      </c>
      <c r="B41" s="2" t="inlineStr">
        <is>
          <t>ลด hepatotoxicity</t>
        </is>
      </c>
      <c r="C41" s="2" t="n"/>
      <c r="D41" s="2" t="inlineStr">
        <is>
          <t>Metered Dose Inhaler (MDI) with HFA propellant</t>
        </is>
      </c>
      <c r="E41" s="2" t="inlineStr">
        <is>
          <t>Dry Powder Inhaler (DPI) with Carrier Lactose</t>
        </is>
      </c>
      <c r="F41" s="2" t="inlineStr">
        <is>
          <t>Isotonic Sodium Chloride 0.9% Osmotic Adjustment</t>
        </is>
      </c>
      <c r="G41" s="2" t="inlineStr">
        <is>
          <t>Moist Heat Steam Sterilization (Autoclave 121 C, 15 psi, 15 min)</t>
        </is>
      </c>
      <c r="H41" s="2" t="inlineStr">
        <is>
          <t>Dry Heat Sterilization (Hot Air Oven 160-170 C, 2 hours)</t>
        </is>
      </c>
      <c r="I41" s="2" t="n">
        <v>1</v>
      </c>
      <c r="J4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Sterile Cleanroom specs</t>
        </is>
      </c>
      <c r="M41" s="2" t="inlineStr">
        <is>
          <t>Product</t>
        </is>
      </c>
      <c r="N41" s="2" t="inlineStr">
        <is>
          <t>ข้อ 3 (PLE_CC1_Key_Rx20_UBU.md)</t>
        </is>
      </c>
      <c r="O41" s="2" t="inlineStr">
        <is>
          <t>Mock</t>
        </is>
      </c>
      <c r="P41" s="2" t="inlineStr">
        <is>
          <t>Mock Rx20 UBU</t>
        </is>
      </c>
    </row>
    <row r="42" ht="13.2" customHeight="1" s="49">
      <c r="A42" s="2" t="n">
        <v>40</v>
      </c>
      <c r="B42" s="2"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2" t="n"/>
      <c r="D42" s="2" t="inlineStr">
        <is>
          <t>ข้อเป็นสาเหตุให้เกิด ascites</t>
        </is>
      </c>
      <c r="E42" s="2" t="inlineStr">
        <is>
          <t>Dry Heat Sterilization (Hot Air Oven 160-170 C, 2 hours)</t>
        </is>
      </c>
      <c r="F42" s="2" t="inlineStr">
        <is>
          <t>Membrane Filtration Sterilization (0.22 micron pore size)</t>
        </is>
      </c>
      <c r="G42" s="2" t="inlineStr">
        <is>
          <t>Ethylene Oxide Gas Sterilization (ETO)</t>
        </is>
      </c>
      <c r="H42" s="2" t="inlineStr">
        <is>
          <t>LAL Test (Limulus Amebocyte Lysate Bacterial Endotoxin)</t>
        </is>
      </c>
      <c r="I42" s="2" t="n">
        <v>4</v>
      </c>
      <c r="J42" s="2"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Sterile Cleanroom specs</t>
        </is>
      </c>
      <c r="M42" s="2" t="inlineStr">
        <is>
          <t>Product</t>
        </is>
      </c>
      <c r="N42" s="2" t="inlineStr">
        <is>
          <t>ข้อ 5 (PLE_CC1_Key_Rx20_UBU.md)</t>
        </is>
      </c>
      <c r="O42" s="2" t="inlineStr">
        <is>
          <t>Mock</t>
        </is>
      </c>
      <c r="P42" s="2" t="inlineStr">
        <is>
          <t>Mock Rx20 UBU</t>
        </is>
      </c>
    </row>
    <row r="43" ht="13.2" customHeight="1" s="49">
      <c r="A43" s="2" t="n">
        <v>41</v>
      </c>
      <c r="B43" s="2" t="inlineStr">
        <is>
          <t>oral bactrim Avoid : AMGs เพิ่มความเสียงในการเกิด Hepatorenal syndrome Case ไหนไม่รู้</t>
        </is>
      </c>
      <c r="C43" s="2" t="n"/>
      <c r="D43" s="2" t="inlineStr">
        <is>
          <t>Ethylene Oxide Gas Sterilization (ETO)</t>
        </is>
      </c>
      <c r="E43" s="2" t="inlineStr">
        <is>
          <t>LAL Test (Limulus Amebocyte Lysate Bacterial Endotoxin)</t>
        </is>
      </c>
      <c r="F43" s="2" t="inlineStr">
        <is>
          <t>Rabbit Pyrogen Test in vivo</t>
        </is>
      </c>
      <c r="G43" s="2" t="inlineStr">
        <is>
          <t>ISO Class 5 (Grade A) Laminar Airflow Workstation</t>
        </is>
      </c>
      <c r="H43" s="2" t="inlineStr">
        <is>
          <t>Metered Dose Inhaler (MDI) with HFA propellant</t>
        </is>
      </c>
      <c r="I43" s="2" t="n">
        <v>1</v>
      </c>
      <c r="J43" s="2"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Sterile Cleanroom specs</t>
        </is>
      </c>
      <c r="M43" s="2" t="inlineStr">
        <is>
          <t>Product</t>
        </is>
      </c>
      <c r="N43" s="2" t="inlineStr">
        <is>
          <t>ข้อ 5 (PLE_CC1_Key_Rx20_UBU.md)</t>
        </is>
      </c>
      <c r="O43" s="2" t="inlineStr">
        <is>
          <t>Mock</t>
        </is>
      </c>
      <c r="P43" s="2" t="inlineStr">
        <is>
          <t>Mock Rx20 UBU</t>
        </is>
      </c>
    </row>
    <row r="44" ht="13.2" customHeight="1" s="49">
      <c r="A44" s="2" t="n">
        <v>42</v>
      </c>
      <c r="B44" s="2" t="inlineStr">
        <is>
          <t>ทำให้ปราศจากเชื้อโดยใช้แกส ethylene oxide (Gas sterilization)</t>
        </is>
      </c>
      <c r="C44" s="2" t="n"/>
      <c r="D44" s="2" t="inlineStr">
        <is>
          <t>ISO Class 5 (Grade A) Laminar Airflow Workstation</t>
        </is>
      </c>
      <c r="E44" s="2" t="inlineStr">
        <is>
          <t>Metered Dose Inhaler (MDI) with HFA propellant</t>
        </is>
      </c>
      <c r="F44" s="2" t="inlineStr">
        <is>
          <t>Dry Powder Inhaler (DPI) with Carrier Lactose</t>
        </is>
      </c>
      <c r="G44" s="2" t="inlineStr">
        <is>
          <t>Isotonic Sodium Chloride 0.9% Osmotic Adjustment</t>
        </is>
      </c>
      <c r="H44" s="2" t="inlineStr">
        <is>
          <t>Moist Heat Steam Sterilization (Autoclave 121 C, 15 psi, 15 min)</t>
        </is>
      </c>
      <c r="I44" s="2" t="n">
        <v>1</v>
      </c>
      <c r="J4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Autoclave &amp; Sterilization</t>
        </is>
      </c>
      <c r="M44" s="2" t="inlineStr">
        <is>
          <t>Product</t>
        </is>
      </c>
      <c r="N44" s="2" t="inlineStr">
        <is>
          <t>ข้อ 3 (PLE_CC1_Key_Rx20_UBU.md)</t>
        </is>
      </c>
      <c r="O44" s="2" t="inlineStr">
        <is>
          <t>Mock</t>
        </is>
      </c>
      <c r="P44" s="2" t="inlineStr">
        <is>
          <t>Mock Rx20 UBU</t>
        </is>
      </c>
    </row>
    <row r="45" ht="13.2" customHeight="1" s="49">
      <c r="A45" s="2" t="n">
        <v>43</v>
      </c>
      <c r="B45" s="2" t="inlineStr">
        <is>
          <t>ทำให้ปราศจากเชื้อโดยใช้ความร้อนชื้น (Autoclave)</t>
        </is>
      </c>
      <c r="C45" s="2" t="n"/>
      <c r="D45" s="2" t="inlineStr">
        <is>
          <t>Isotonic Sodium Chloride 0.9% Osmotic Adjustment</t>
        </is>
      </c>
      <c r="E45" s="2" t="inlineStr">
        <is>
          <t>Moist Heat Steam Sterilization (Autoclave 121 C, 15 psi, 15 min)</t>
        </is>
      </c>
      <c r="F45" s="2" t="inlineStr">
        <is>
          <t>Dry Heat Sterilization (Hot Air Oven 160-170 C, 2 hours)</t>
        </is>
      </c>
      <c r="G45" s="2" t="inlineStr">
        <is>
          <t>Membrane Filtration Sterilization (0.22 micron pore size)</t>
        </is>
      </c>
      <c r="H45" s="2" t="inlineStr">
        <is>
          <t>Ethylene Oxide Gas Sterilization (ETO)</t>
        </is>
      </c>
      <c r="I45" s="2" t="n">
        <v>5</v>
      </c>
      <c r="J45" s="2"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Autoclave &amp; Sterilization</t>
        </is>
      </c>
      <c r="M45" s="2" t="inlineStr">
        <is>
          <t>Product</t>
        </is>
      </c>
      <c r="N45" s="2" t="inlineStr">
        <is>
          <t>ข้อ 5 (PLE_CC1_Key_Rx20_UBU.md)</t>
        </is>
      </c>
      <c r="O45" s="2" t="inlineStr">
        <is>
          <t>Mock</t>
        </is>
      </c>
      <c r="P45" s="2" t="inlineStr">
        <is>
          <t>Mock Rx20 UBU</t>
        </is>
      </c>
    </row>
    <row r="46" ht="13.2" customHeight="1" s="49">
      <c r="A46" s="2" t="n">
        <v>44</v>
      </c>
      <c r="B46" s="2" t="inlineStr">
        <is>
          <t>การตกผลึกซ้ำ (Sterile recrystallization)</t>
        </is>
      </c>
      <c r="C46" s="2" t="n"/>
      <c r="D46" s="2" t="inlineStr">
        <is>
          <t>Membrane Filtration Sterilization (0.22 micron pore size)</t>
        </is>
      </c>
      <c r="E46" s="2" t="inlineStr">
        <is>
          <t>Ethylene Oxide Gas Sterilization (ETO)</t>
        </is>
      </c>
      <c r="F46" s="2" t="inlineStr">
        <is>
          <t>LAL Test (Limulus Amebocyte Lysate Bacterial Endotoxin)</t>
        </is>
      </c>
      <c r="G46" s="2" t="inlineStr">
        <is>
          <t>Rabbit Pyrogen Test in vivo</t>
        </is>
      </c>
      <c r="H46" s="2" t="inlineStr">
        <is>
          <t>ISO Class 5 (Grade A) Laminar Airflow Workstation</t>
        </is>
      </c>
      <c r="I46" s="2" t="n">
        <v>1</v>
      </c>
      <c r="J4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Parenterals &amp; Ophthalmic</t>
        </is>
      </c>
      <c r="M46" s="2" t="inlineStr">
        <is>
          <t>Product</t>
        </is>
      </c>
      <c r="N46" s="2" t="inlineStr">
        <is>
          <t>ข้อ 4 (PLE_CC1_Key_Rx20_UBU.md)</t>
        </is>
      </c>
      <c r="O46" s="2" t="inlineStr">
        <is>
          <t>Mock</t>
        </is>
      </c>
      <c r="P46" s="2" t="inlineStr">
        <is>
          <t>Mock Rx20 UBU</t>
        </is>
      </c>
    </row>
    <row r="47" ht="13.2" customHeight="1" s="49">
      <c r="A47" s="2" t="n">
        <v>45</v>
      </c>
      <c r="B47" s="2" t="inlineStr">
        <is>
          <t>BSC class II มี hepa fillter ที่สามารถกรองอากาศได้ 100%</t>
        </is>
      </c>
      <c r="C47" s="2" t="n"/>
      <c r="D47" s="2" t="inlineStr">
        <is>
          <t>Rabbit Pyrogen Test in vivo</t>
        </is>
      </c>
      <c r="E47" s="2" t="inlineStr">
        <is>
          <t>ISO Class 5 (Grade A) Laminar Airflow Workstation</t>
        </is>
      </c>
      <c r="F47" s="2" t="inlineStr">
        <is>
          <t>Metered Dose Inhaler (MDI) with HFA propellant</t>
        </is>
      </c>
      <c r="G47" s="2" t="inlineStr">
        <is>
          <t>Dry Powder Inhaler (DPI) with Carrier Lactose</t>
        </is>
      </c>
      <c r="H47" s="2" t="inlineStr">
        <is>
          <t>Isotonic Sodium Chloride 0.9% Osmotic Adjustment</t>
        </is>
      </c>
      <c r="I47" s="2" t="n">
        <v>1</v>
      </c>
      <c r="J4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Sterile Cleanroom specs</t>
        </is>
      </c>
      <c r="M47" s="2" t="inlineStr">
        <is>
          <t>Product</t>
        </is>
      </c>
      <c r="N47" s="2" t="inlineStr">
        <is>
          <t>ข้อ 3 (PLE_CC1_Key_Rx20_UBU.md)</t>
        </is>
      </c>
      <c r="O47" s="2" t="inlineStr">
        <is>
          <t>Mock</t>
        </is>
      </c>
      <c r="P47" s="2" t="inlineStr">
        <is>
          <t>Mock Rx20 UBU</t>
        </is>
      </c>
    </row>
    <row r="48" ht="13.2" customHeight="1" s="49">
      <c r="A48" s="2" t="n">
        <v>46</v>
      </c>
      <c r="B48" s="2"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2" t="n"/>
      <c r="D48" s="2" t="inlineStr">
        <is>
          <t>Dry Powder Inhaler (DPI) with Carrier Lactose</t>
        </is>
      </c>
      <c r="E48" s="2" t="inlineStr">
        <is>
          <t>Isotonic Sodium Chloride 0.9% Osmotic Adjustment</t>
        </is>
      </c>
      <c r="F48" s="2" t="inlineStr">
        <is>
          <t>Moist Heat Steam Sterilization (Autoclave 121 C, 15 psi, 15 min)</t>
        </is>
      </c>
      <c r="G48" s="2" t="inlineStr">
        <is>
          <t>Dry Heat Sterilization (Hot Air Oven 160-170 C, 2 hours)</t>
        </is>
      </c>
      <c r="H48" s="2" t="inlineStr">
        <is>
          <t>Membrane Filtration Sterilization (0.22 micron pore size)</t>
        </is>
      </c>
      <c r="I48" s="2" t="n">
        <v>2</v>
      </c>
      <c r="J48" s="2"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Autoclave &amp; Sterilization</t>
        </is>
      </c>
      <c r="M48" s="2" t="inlineStr">
        <is>
          <t>Product</t>
        </is>
      </c>
      <c r="N48" s="2" t="inlineStr">
        <is>
          <t>ข้อ 5 (PLE_CC1_Key_Rx20_UBU.md)</t>
        </is>
      </c>
      <c r="O48" s="2" t="inlineStr">
        <is>
          <t>Mock</t>
        </is>
      </c>
      <c r="P48" s="2" t="inlineStr">
        <is>
          <t>Mock Rx20 UBU</t>
        </is>
      </c>
    </row>
    <row r="49" ht="13.2" customHeight="1" s="49">
      <c r="A49" s="2" t="n">
        <v>47</v>
      </c>
      <c r="B49" s="2"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2" t="n"/>
      <c r="D49" s="2" t="inlineStr">
        <is>
          <t>เป็นการบริหารยาแบบ Non-invasive</t>
        </is>
      </c>
      <c r="E49" s="2" t="inlineStr">
        <is>
          <t>ยาออกฤทธิ์แค่ที่อวัยวะเป้าหมาย ไม่เข้าสู่กระแสเลือด</t>
        </is>
      </c>
      <c r="F49" s="2" t="inlineStr">
        <is>
          <t>ยาในส่วนที่ลงสู่ปอดไม่ผ่าน First-pass metabolism</t>
        </is>
      </c>
      <c r="G49" s="2" t="inlineStr">
        <is>
          <t>มีผลข้างเคียงทั่วร่างกายน้อยกว่ายารูปแบบรับประทาน</t>
        </is>
      </c>
      <c r="H49" s="2" t="inlineStr">
        <is>
          <t>สามารถปรับขนาดยาให้เหมาะสมได้เมื่อเทียบกับยารูปแบบรับประทาน</t>
        </is>
      </c>
      <c r="I49" s="8" t="inlineStr">
        <is>
          <t>2</t>
        </is>
      </c>
      <c r="J49" s="2"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2" t="n"/>
      <c r="L49" s="2" t="inlineStr">
        <is>
          <t>Sterile &amp; Special Forms</t>
        </is>
      </c>
      <c r="M49" s="2" t="inlineStr">
        <is>
          <t>Product</t>
        </is>
      </c>
      <c r="N49" s="2" t="inlineStr">
        <is>
          <t>Mock PLE-CC 1 ข้อ 100</t>
        </is>
      </c>
      <c r="O49" s="2" t="inlineStr">
        <is>
          <t>Mock</t>
        </is>
      </c>
      <c r="P49" s="2" t="inlineStr">
        <is>
          <t>Mock RxCU83</t>
        </is>
      </c>
    </row>
    <row r="50" ht="13.2" customHeight="1" s="49">
      <c r="A50" s="2" t="n">
        <v>48</v>
      </c>
      <c r="B50" s="2"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2" t="n"/>
      <c r="D50" s="2" t="inlineStr">
        <is>
          <t>Ethyl cellulose</t>
        </is>
      </c>
      <c r="E50" s="2" t="inlineStr">
        <is>
          <t>Cellulose acetate</t>
        </is>
      </c>
      <c r="F50" s="2" t="inlineStr">
        <is>
          <t>Polysorbate 80</t>
        </is>
      </c>
      <c r="G50" s="2" t="inlineStr">
        <is>
          <t>Sorbitol</t>
        </is>
      </c>
      <c r="H50" s="2" t="inlineStr">
        <is>
          <t>Hydroxypropyl methylcellulose (HPMC)</t>
        </is>
      </c>
      <c r="I50" s="8" t="inlineStr">
        <is>
          <t>5</t>
        </is>
      </c>
      <c r="J50" s="2"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2" t="n"/>
      <c r="L50" s="2" t="inlineStr">
        <is>
          <t>Sterile &amp; Special Forms</t>
        </is>
      </c>
      <c r="M50" s="2" t="inlineStr">
        <is>
          <t>Product</t>
        </is>
      </c>
      <c r="N50" s="2" t="inlineStr">
        <is>
          <t>PLE_CC1_2567_Key ข้อ 32</t>
        </is>
      </c>
      <c r="O50" s="2" t="inlineStr">
        <is>
          <t>ข้อสอบจริง</t>
        </is>
      </c>
      <c r="P50" s="2" t="inlineStr">
        <is>
          <t>ปี 2567</t>
        </is>
      </c>
    </row>
    <row r="51" ht="13.2" customHeight="1" s="49">
      <c r="A51" s="2" t="n">
        <v>49</v>
      </c>
      <c r="B51" s="2" t="inlineStr">
        <is>
          <t>ผลิตภัณฑ์ยาหยอดตาที่มีการทำให้ปราศจากเชื้อด้วยวิธี Filtration sterilization ข้อใดต่อไปนี้กล่าว "ไม่ถูกต้อง"</t>
        </is>
      </c>
      <c r="C51" s="2" t="n"/>
      <c r="D51" s="2" t="inlineStr">
        <is>
          <t>กระบวนการกรองและบรรจุต้องทำภายใต้ Cleanroom และเทคนิคปลอดเชื้อ (Aseptic technique)</t>
        </is>
      </c>
      <c r="E51" s="2" t="inlineStr">
        <is>
          <t>การกรองผ่านแผ่นกรองขนาด 0.22 ไมครอน จัดเป็นกระบวนการ Terminal sterilization</t>
        </is>
      </c>
      <c r="F51" s="2" t="inlineStr">
        <is>
          <t>ใช้แผ่นกรองเมมเบรนขนาดรูพรุน 0.22 ไมครอน ในการกำจัดจุลินทรีย์และแบคทีเรีย</t>
        </is>
      </c>
      <c r="G51" s="2" t="inlineStr">
        <is>
          <t>สารละลายยาที่กรองแล้วต้องบรรจุลงในภาชนะบรรจุที่ผ่านการทำให้ปราศจากเชื้อมาแล้ว</t>
        </is>
      </c>
      <c r="H51" s="2" t="inlineStr">
        <is>
          <t>เป็นวิธีที่เหมาะสมสำหรับสารละลายยาที่ไม่คงตัวต่อความร้อน (Thermolabile drugs)</t>
        </is>
      </c>
      <c r="I51" s="8" t="inlineStr">
        <is>
          <t>2</t>
        </is>
      </c>
      <c r="J51" s="2"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2" t="n"/>
      <c r="L51" s="2" t="inlineStr">
        <is>
          <t>Sterile &amp; Special Forms</t>
        </is>
      </c>
      <c r="M51" s="2" t="inlineStr">
        <is>
          <t>Product</t>
        </is>
      </c>
      <c r="N51" s="2" t="inlineStr">
        <is>
          <t>PLE_CC1_2567_Key ข้อ 17</t>
        </is>
      </c>
      <c r="O51" s="2" t="inlineStr">
        <is>
          <t>ข้อสอบจริง</t>
        </is>
      </c>
      <c r="P51" s="2" t="inlineStr">
        <is>
          <t>ปี 2567</t>
        </is>
      </c>
    </row>
    <row r="52" ht="409.6" customHeight="1" s="49">
      <c r="A52" s="35" t="n">
        <v>50</v>
      </c>
      <c r="B52" s="34" t="inlineStr">
        <is>
          <t>(ปี 2566, Day 1 ข้อ 35 - ยาหยอดตา) (เรื่อง: การทดสอบคุณภาพยาหยอดตา) ยาหยอดตาไม่ต้องทดสอบคุณภาพด้านใด</t>
        </is>
      </c>
      <c r="C52" s="35" t="n"/>
      <c r="D52" s="34" t="inlineStr">
        <is>
          <t>Bacterial endotoxin</t>
        </is>
      </c>
      <c r="E52" s="34" t="inlineStr">
        <is>
          <t>pH</t>
        </is>
      </c>
      <c r="F52" s="34" t="inlineStr">
        <is>
          <t>Sterility</t>
        </is>
      </c>
      <c r="G52" s="34" t="inlineStr">
        <is>
          <t>Tonicity</t>
        </is>
      </c>
      <c r="H52" s="34" t="n"/>
      <c r="I52" s="35" t="n">
        <v>2</v>
      </c>
      <c r="J52" s="34" t="inlineStr">
        <is>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2" s="35" t="n"/>
      <c r="L52" s="34" t="inlineStr">
        <is>
          <t>Sterile Preparations &amp; Sterilization</t>
        </is>
      </c>
      <c r="M52" s="35" t="inlineStr">
        <is>
          <t>Product</t>
        </is>
      </c>
      <c r="N52" s="34" t="inlineStr">
        <is>
          <t>ข้อสอบจริง Product ปี 2566 ข้อ 7</t>
        </is>
      </c>
      <c r="O52" s="35" t="inlineStr">
        <is>
          <t>ข้อสอบจริง</t>
        </is>
      </c>
      <c r="P52" s="35" t="inlineStr">
        <is>
          <t>ปี 2566</t>
        </is>
      </c>
    </row>
    <row r="53" ht="409.6" customHeight="1" s="49">
      <c r="A53" s="35" t="n">
        <v>51</v>
      </c>
      <c r="B53" s="34" t="inlineStr">
        <is>
          <t>(ปี 2566, Day 2 ข้อ 43\) (เรื่อง: ตำรับยาหยอดตา - ข้อที่ผิด) เกี่ยวกับตำรับยาตา ข้อใดผิด</t>
        </is>
      </c>
      <c r="C53" s="35" t="n"/>
      <c r="D53" s="34" t="inlineStr">
        <is>
          <t>pH ต้องเท่ากับน้ำตาเท่านั้น</t>
        </is>
      </c>
      <c r="E53" s="34" t="inlineStr">
        <is>
          <t>ต้อง isotonic</t>
        </is>
      </c>
      <c r="F53" s="34" t="inlineStr">
        <is>
          <t>ต้องตรวจ particle size</t>
        </is>
      </c>
      <c r="G53" s="34" t="inlineStr">
        <is>
          <t>ต้องตรวจความปราศจากเชื้อ</t>
        </is>
      </c>
      <c r="H53" s="34" t="n"/>
      <c r="I53" s="35" t="n">
        <v>1</v>
      </c>
      <c r="J53" s="34" t="inlineStr">
        <is>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3" s="35" t="n"/>
      <c r="L53" s="34" t="inlineStr">
        <is>
          <t>Sterile Preparations &amp; Sterilization</t>
        </is>
      </c>
      <c r="M53" s="35" t="inlineStr">
        <is>
          <t>Product</t>
        </is>
      </c>
      <c r="N53" s="34" t="inlineStr">
        <is>
          <t>ข้อสอบจริง Product ปี 2566 ข้อ 15</t>
        </is>
      </c>
      <c r="O53" s="35" t="inlineStr">
        <is>
          <t>ข้อสอบจริง</t>
        </is>
      </c>
      <c r="P53" s="35" t="inlineStr">
        <is>
          <t>ปี 2566</t>
        </is>
      </c>
    </row>
    <row r="54" ht="409.6" customHeight="1" s="49">
      <c r="A54" s="35" t="n">
        <v>52</v>
      </c>
      <c r="B54" s="34" t="inlineStr">
        <is>
          <t>(ปี 2566, Day 2 ข้อ 97\) (เรื่อง: เกรดห้องสะอาดสำหรับการผลิต Insulin) การผลิต insulin ต้องทำในพื้นที่ระดับไหน</t>
        </is>
      </c>
      <c r="C54" s="35" t="n"/>
      <c r="D54" s="34" t="inlineStr">
        <is>
          <t>Assemble Grade A, background Grade A</t>
        </is>
      </c>
      <c r="E54" s="34" t="inlineStr">
        <is>
          <t>Grade D</t>
        </is>
      </c>
      <c r="F54" s="34" t="inlineStr">
        <is>
          <t>Grade C</t>
        </is>
      </c>
      <c r="G54" s="34" t="inlineStr">
        <is>
          <t>Assemble Grade A, background Grade B</t>
        </is>
      </c>
      <c r="H54" s="34" t="n"/>
      <c r="I54" s="35" t="n">
        <v>1</v>
      </c>
      <c r="J54" s="34" t="inlineStr">
        <is>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4" s="35" t="n"/>
      <c r="L54" s="34" t="inlineStr">
        <is>
          <t>Sterile Preparations &amp; Sterilization</t>
        </is>
      </c>
      <c r="M54" s="35" t="inlineStr">
        <is>
          <t>Product</t>
        </is>
      </c>
      <c r="N54" s="34" t="inlineStr">
        <is>
          <t>ข้อสอบจริง Product ปี 2566 ข้อ 41</t>
        </is>
      </c>
      <c r="O54" s="35" t="inlineStr">
        <is>
          <t>ข้อสอบจริง</t>
        </is>
      </c>
      <c r="P54" s="35" t="inlineStr">
        <is>
          <t>ปี 2566</t>
        </is>
      </c>
    </row>
    <row r="55" ht="409.6" customHeight="1" s="49">
      <c r="A55" s="35" t="n">
        <v>53</v>
      </c>
      <c r="B55" s="34" t="inlineStr">
        <is>
          <t>ข้อใดไม่จัดเป็น terminal sterilization</t>
        </is>
      </c>
      <c r="C55" s="35" t="n"/>
      <c r="D55" s="34" t="inlineStr">
        <is>
          <t>Dry heat sterilization</t>
        </is>
      </c>
      <c r="E55" s="34" t="inlineStr">
        <is>
          <t>Autoclave</t>
        </is>
      </c>
      <c r="F55" s="34" t="inlineStr">
        <is>
          <t>Stream sterilization</t>
        </is>
      </c>
      <c r="G55" s="34" t="inlineStr">
        <is>
          <t>Membrane filtration</t>
        </is>
      </c>
      <c r="H55" s="34" t="inlineStr">
        <is>
          <t>Gamma radiation ข้อสอบ PLE-CC1 ปี 2565 day 2</t>
        </is>
      </c>
      <c r="I55" s="35" t="n">
        <v>1</v>
      </c>
      <c r="J55" s="34" t="inlineStr">
        <is>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5" s="35" t="n"/>
      <c r="L55" s="34" t="inlineStr">
        <is>
          <t>Sterile Preparations &amp; Sterilization</t>
        </is>
      </c>
      <c r="M55" s="35" t="inlineStr">
        <is>
          <t>Product</t>
        </is>
      </c>
      <c r="N55" s="34" t="inlineStr">
        <is>
          <t>ข้อสอบจริง Product ปี 2565 ข้อ 95</t>
        </is>
      </c>
      <c r="O55" s="35" t="inlineStr">
        <is>
          <t>ข้อสอบจริง</t>
        </is>
      </c>
      <c r="P55" s="35" t="inlineStr">
        <is>
          <t>ปี 2565</t>
        </is>
      </c>
    </row>
    <row r="56" ht="409.6" customHeight="1" s="49">
      <c r="A56" s="35" t="n">
        <v>54</v>
      </c>
      <c r="B56" s="34" t="inlineStr">
        <is>
          <t>Ketotifen 0.025% ประกอบด้วย ketotifen fumarate, glycerin, Hypromellose, NaOH/HCI, NaC, benzalkonium chloride, purified water และ solubility ของ ketotifen 10 mg/ml ข้อใดถูกต้อง</t>
        </is>
      </c>
      <c r="C56" s="35" t="n"/>
      <c r="D56" s="34" t="inlineStr">
        <is>
          <t>ยาเป็นรูปแบบ ophthalmic suspension</t>
        </is>
      </c>
      <c r="E56" s="34" t="inlineStr">
        <is>
          <t>ไม่จำเป็นต้องใส่ preservative เพราะยาตา sterile อยู่แล้ว</t>
        </is>
      </c>
      <c r="F56" s="34" t="inlineStr">
        <is>
          <t>ต้องปรับ pH ให้เท่ากับน้ำตา</t>
        </is>
      </c>
      <c r="G56" s="34" t="inlineStr">
        <is>
          <t>ต้องปรับ pH 7.4 เพื่อให้เป็น isotonic</t>
        </is>
      </c>
      <c r="H56" s="34" t="inlineStr">
        <is>
          <t>ใช้ NaCI ในการทำให้สารละลายเป็น isotonic solution</t>
        </is>
      </c>
      <c r="I56" s="35" t="n">
        <v>1</v>
      </c>
      <c r="J56" s="34" t="inlineStr">
        <is>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6" s="35" t="n"/>
      <c r="L56" s="34" t="inlineStr">
        <is>
          <t>Sterile Preparations &amp; Sterilization</t>
        </is>
      </c>
      <c r="M56" s="35" t="inlineStr">
        <is>
          <t>Product</t>
        </is>
      </c>
      <c r="N56" s="34" t="inlineStr">
        <is>
          <t>ข้อสอบจริง Product ปี 2565 ข้อ 42</t>
        </is>
      </c>
      <c r="O56" s="35" t="inlineStr">
        <is>
          <t>ข้อสอบจริง</t>
        </is>
      </c>
      <c r="P56" s="35" t="inlineStr">
        <is>
          <t>ปี 2565</t>
        </is>
      </c>
    </row>
    <row r="57" ht="409.6" customHeight="1" s="49">
      <c r="A57" s="35" t="n">
        <v>55</v>
      </c>
      <c r="B57" s="34" t="inlineStr">
        <is>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is>
      </c>
      <c r="C57" s="35" t="inlineStr">
        <is>
          <t>[แนบรูป: ข้อสอบ Product ปี 2565 รหัสรูปภาพ image51]</t>
        </is>
      </c>
      <c r="D57" s="34" t="inlineStr">
        <is>
          <t>Buffering agent → ควบคุม/ต้านการเปลี่ยนแปลงของ pH</t>
        </is>
      </c>
      <c r="E57" s="34" t="inlineStr">
        <is>
          <t>ไม่จำเป็นต้องใส่ preservative เพราะยาตา sterile อยู่แล้ว</t>
        </is>
      </c>
      <c r="F57" s="34" t="inlineStr">
        <is>
          <t>Surface active agent → ช่วยเรื่อง wetting, solubilization และคุณสมบัติของสารละลาย</t>
        </is>
      </c>
      <c r="G57" s="34" t="inlineStr">
        <is>
          <t>Isotonic agent → ปรับ tonicity เช่น NaCl</t>
        </is>
      </c>
      <c r="H57" s="34" t="inlineStr">
        <is>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is>
      </c>
      <c r="I57" s="35" t="n">
        <v>5</v>
      </c>
      <c r="J57" s="34" t="inlineStr">
        <is>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7" s="35" t="n"/>
      <c r="L57" s="34" t="inlineStr">
        <is>
          <t>Sterile Preparations &amp; Sterilization</t>
        </is>
      </c>
      <c r="M57" s="35" t="inlineStr">
        <is>
          <t>Product</t>
        </is>
      </c>
      <c r="N57" s="34" t="inlineStr">
        <is>
          <t>ข้อสอบจริง Product ปี 2565 ข้อ 42</t>
        </is>
      </c>
      <c r="O57" s="35" t="inlineStr">
        <is>
          <t>ข้อสอบจริง</t>
        </is>
      </c>
      <c r="P57" s="35" t="inlineStr">
        <is>
          <t>ปี 2565</t>
        </is>
      </c>
    </row>
    <row r="58" ht="409.6" customHeight="1" s="49">
      <c r="A58" s="35" t="n">
        <v>56</v>
      </c>
      <c r="B58" s="34" t="inlineStr">
        <is>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is>
      </c>
      <c r="C58" s="35" t="n"/>
      <c r="D58" s="34" t="inlineStr">
        <is>
          <t>Solutions for injection  มีน้ำ เกิด hydrolysis ระหว่างเก็บ</t>
        </is>
      </c>
      <c r="E58" s="34" t="inlineStr">
        <is>
          <t>ละลายยาด้วยน้ำ แล้วทำเป็น powders for injection ด้วยวิธี lyophilization</t>
        </is>
      </c>
      <c r="F58" s="34" t="inlineStr">
        <is>
          <t>Spray drying  ใช้ความร้อน จึงไม่เหมาะกับยาที่ไม่ทนความร้อน</t>
        </is>
      </c>
      <c r="G58" s="34" t="inlineStr">
        <is>
          <t>Emulsion ในน้ำมัน  โจทย์บอกว่ายาละลายน้ำได้ดี และการทำอิมัลชันไม่ใช่วิธีแก้ปัญหา hydrolysis ในกรณีนี้</t>
        </is>
      </c>
      <c r="H58" s="34" t="n"/>
      <c r="I58" s="35" t="n">
        <v>1</v>
      </c>
      <c r="J58" s="34" t="inlineStr">
        <is>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8" s="35" t="n"/>
      <c r="L58" s="34" t="inlineStr">
        <is>
          <t>Sterile Preparations &amp; Sterilization</t>
        </is>
      </c>
      <c r="M58" s="35" t="inlineStr">
        <is>
          <t>Product</t>
        </is>
      </c>
      <c r="N58" s="34" t="inlineStr">
        <is>
          <t>ข้อสอบจริง Product ปี 2564 ข้อ 42</t>
        </is>
      </c>
      <c r="O58" s="35" t="inlineStr">
        <is>
          <t>ข้อสอบจริง</t>
        </is>
      </c>
      <c r="P58" s="35" t="inlineStr">
        <is>
          <t>ปี 2564</t>
        </is>
      </c>
    </row>
    <row r="59" ht="409.6" customHeight="1" s="49">
      <c r="A59" s="35" t="n">
        <v>57</v>
      </c>
      <c r="B59" s="34" t="inlineStr">
        <is>
          <t>ทดสอบ chloramphenicol eye drop ไม่จำเป็นต้องทำข้อใด</t>
        </is>
      </c>
      <c r="C59" s="35" t="n"/>
      <c r="D59" s="34" t="inlineStr">
        <is>
          <t>Identification</t>
        </is>
      </c>
      <c r="E59" s="34" t="inlineStr">
        <is>
          <t>Isotonicity</t>
        </is>
      </c>
      <c r="F59" s="34" t="inlineStr">
        <is>
          <t>pH</t>
        </is>
      </c>
      <c r="G59" s="34" t="inlineStr">
        <is>
          <t>Sterile</t>
        </is>
      </c>
      <c r="H59" s="34" t="inlineStr">
        <is>
          <t>Assay</t>
        </is>
      </c>
      <c r="I59" s="35" t="n">
        <v>1</v>
      </c>
      <c r="J59" s="34" t="inlineStr">
        <is>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9" s="35" t="n"/>
      <c r="L59" s="34" t="inlineStr">
        <is>
          <t>Sterile Preparations &amp; Sterilization</t>
        </is>
      </c>
      <c r="M59" s="35" t="inlineStr">
        <is>
          <t>Product</t>
        </is>
      </c>
      <c r="N59" s="34" t="inlineStr">
        <is>
          <t>ข้อสอบจริง Product ปี 2564 ข้อ 44</t>
        </is>
      </c>
      <c r="O59" s="35" t="inlineStr">
        <is>
          <t>ข้อสอบจริง</t>
        </is>
      </c>
      <c r="P59" s="35" t="inlineStr">
        <is>
          <t>ปี 2564</t>
        </is>
      </c>
    </row>
    <row r="60" ht="409.6" customHeight="1" s="49">
      <c r="A60" s="35" t="n">
        <v>58</v>
      </c>
      <c r="B60" s="34" t="inlineStr">
        <is>
          <t>สารละลายที่ใชในผลิต furosemide inj ในระดับอุตสาหกรรม (ฉลาก 10 ml, single dose syringe)</t>
        </is>
      </c>
      <c r="C60" s="35" t="n"/>
      <c r="D60" s="34" t="inlineStr">
        <is>
          <t>Purified water: ใช้ผลิตยาที่ไม่ใช่ยาปราศจากเชื้อ (non-sterile product)</t>
        </is>
      </c>
      <c r="E60" s="34" t="inlineStr">
        <is>
          <t>Sterile purified water: ใช้ผลิตยาที่ใช้ภายนอกหรือยาที่ไม่ใช่ยาฉีด (non-parenteral), ใช้ล้างเครื่องมือ</t>
        </is>
      </c>
      <c r="F60" s="34" t="inlineStr">
        <is>
          <t>Water for inj</t>
        </is>
      </c>
      <c r="G60" s="34" t="inlineStr">
        <is>
          <t>Sterile water for injection: ใช้ผสมยาที่เป็นยาผงสำหรับฉีด (powder for injection)</t>
        </is>
      </c>
      <c r="H60" s="34" t="inlineStr">
        <is>
          <t>Bacteriostatic water for injection: มีสารกันเสีย ไม่ใช้กับยาฉีดขนาดบรรจุครั้งเดียว (single dose)</t>
        </is>
      </c>
      <c r="I60" s="35" t="n">
        <v>1</v>
      </c>
      <c r="J60" s="34" t="inlineStr">
        <is>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0" s="35" t="n"/>
      <c r="L60" s="34" t="inlineStr">
        <is>
          <t>Sterile Preparations &amp; Sterilization</t>
        </is>
      </c>
      <c r="M60" s="35" t="inlineStr">
        <is>
          <t>Product</t>
        </is>
      </c>
      <c r="N60" s="34" t="inlineStr">
        <is>
          <t>ข้อสอบจริง Product ปี 2564 ข้อ 46</t>
        </is>
      </c>
      <c r="O60" s="35" t="inlineStr">
        <is>
          <t>ข้อสอบจริง</t>
        </is>
      </c>
      <c r="P60" s="35" t="inlineStr">
        <is>
          <t>ปี 2564</t>
        </is>
      </c>
    </row>
    <row r="61" ht="409.6" customHeight="1" s="49">
      <c r="A61" s="35" t="n">
        <v>59</v>
      </c>
      <c r="B61" s="34" t="inlineStr">
        <is>
          <t>น้ำที่ใช้ในกระบวนการผลิตยาทาเฉพาะที่แบบเจล คือข้อใด</t>
        </is>
      </c>
      <c r="C61" s="35" t="n"/>
      <c r="D61" s="34" t="inlineStr">
        <is>
          <t>Potable water ❌ น้ำประปาที่ดื่มได้ ใช้ล้างอุปกรณ์หรือเป็นน้ำตั้งต้นในการผลิต Purified Water ไม่ใช้ผลิตยาโดยตรง</t>
        </is>
      </c>
      <c r="E61" s="34" t="inlineStr">
        <is>
          <t>Purified water ✅ ใช้ผลิตยาเจล ครีม ขี้ผึ้ง ยาน้ำรับประทาน และผลิตภัณฑ์ทาภายนอกทั่วไป</t>
        </is>
      </c>
      <c r="F61" s="34" t="inlineStr">
        <is>
          <t>Sterile purified water ❌ ไม่ใช่ชื่อมาตรฐานในเภสัชตำรับ</t>
        </is>
      </c>
      <c r="G61" s="34" t="inlineStr">
        <is>
          <t>Sterile water for irrigation ❌ ใช้สำหรับการล้าง (irrigation) ไม่ใช่การผลิตเจล</t>
        </is>
      </c>
      <c r="H61" s="34" t="inlineStr">
        <is>
          <t>Bacteriostatic water for injection ❌ ใช้เป็นตัวทำละลายสำหรับยาฉีดบางชนิด</t>
        </is>
      </c>
      <c r="I61" s="35" t="n">
        <v>1</v>
      </c>
      <c r="J61" s="34" t="inlineStr">
        <is>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1" s="35" t="n"/>
      <c r="L61" s="34" t="inlineStr">
        <is>
          <t>Sterile Preparations &amp; Sterilization</t>
        </is>
      </c>
      <c r="M61" s="35" t="inlineStr">
        <is>
          <t>Product</t>
        </is>
      </c>
      <c r="N61" s="34" t="inlineStr">
        <is>
          <t>ข้อสอบจริง Product ปี 2564 ข้อ 75</t>
        </is>
      </c>
      <c r="O61" s="35" t="inlineStr">
        <is>
          <t>ข้อสอบจริง</t>
        </is>
      </c>
      <c r="P61" s="35" t="inlineStr">
        <is>
          <t>ปี 2564</t>
        </is>
      </c>
    </row>
    <row r="62" ht="409.6" customHeight="1" s="49">
      <c r="A62" s="35" t="n">
        <v>60</v>
      </c>
      <c r="B62" s="34" t="inlineStr">
        <is>
          <t>ข้อกำหนดมาตรฐานของวัคซีนข้อใดที่แตกต่างจากยาฉีดทั่วไป</t>
        </is>
      </c>
      <c r="C62" s="35" t="n"/>
      <c r="D62" s="34" t="inlineStr">
        <is>
          <t>Potency</t>
        </is>
      </c>
      <c r="E62" s="34" t="inlineStr">
        <is>
          <t>Minimum fill</t>
        </is>
      </c>
      <c r="F62" s="34" t="inlineStr">
        <is>
          <t>Deliverable volume</t>
        </is>
      </c>
      <c r="G62" s="34" t="inlineStr">
        <is>
          <t>Particulate matter</t>
        </is>
      </c>
      <c r="H62" s="34" t="inlineStr">
        <is>
          <t>Heavy metal</t>
        </is>
      </c>
      <c r="I62" s="35" t="n">
        <v>1</v>
      </c>
      <c r="J62" s="34" t="inlineStr">
        <is>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2" s="35" t="n"/>
      <c r="L62" s="34" t="inlineStr">
        <is>
          <t>Sterile Preparations &amp; Sterilization</t>
        </is>
      </c>
      <c r="M62" s="35" t="inlineStr">
        <is>
          <t>Product</t>
        </is>
      </c>
      <c r="N62" s="34" t="inlineStr">
        <is>
          <t>ข้อสอบจริง Product ปี 2564 ข้อ 100</t>
        </is>
      </c>
      <c r="O62" s="35" t="inlineStr">
        <is>
          <t>ข้อสอบจริง</t>
        </is>
      </c>
      <c r="P62" s="35" t="inlineStr">
        <is>
          <t>ปี 2564</t>
        </is>
      </c>
    </row>
    <row r="63" ht="409.6" customHeight="1" s="49">
      <c r="A63" s="35" t="n">
        <v>61</v>
      </c>
      <c r="B63" s="34" t="inlineStr">
        <is>
          <t>ข้อใดไม่ใช่การควบคุมคุณภาพยาฉีดรูปแบบสารละลาย</t>
        </is>
      </c>
      <c r="C63" s="35" t="n"/>
      <c r="D63" s="34" t="inlineStr">
        <is>
          <t>Sterility test</t>
        </is>
      </c>
      <c r="E63" s="34" t="inlineStr">
        <is>
          <t>Microbial limit test</t>
        </is>
      </c>
      <c r="F63" s="34" t="inlineStr">
        <is>
          <t>Pyrogen test</t>
        </is>
      </c>
      <c r="G63" s="34" t="inlineStr">
        <is>
          <t>Particulate matter test</t>
        </is>
      </c>
      <c r="H63" s="34" t="inlineStr">
        <is>
          <t>Leaker test</t>
        </is>
      </c>
      <c r="I63" s="35" t="n">
        <v>1</v>
      </c>
      <c r="J63" s="34" t="inlineStr">
        <is>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3" s="35" t="n"/>
      <c r="L63" s="34" t="inlineStr">
        <is>
          <t>Sterile Preparations &amp; Sterilization</t>
        </is>
      </c>
      <c r="M63" s="35" t="inlineStr">
        <is>
          <t>Product</t>
        </is>
      </c>
      <c r="N63" s="34" t="inlineStr">
        <is>
          <t>ข้อสอบจริง Product ปี 2564 ข้อ 105</t>
        </is>
      </c>
      <c r="O63" s="35" t="inlineStr">
        <is>
          <t>ข้อสอบจริง</t>
        </is>
      </c>
      <c r="P63" s="35" t="inlineStr">
        <is>
          <t>ปี 2564</t>
        </is>
      </c>
    </row>
    <row r="64" ht="409.6" customHeight="1" s="49">
      <c r="A64" s="35" t="n">
        <v>62</v>
      </c>
      <c r="B64" s="34" t="inlineStr">
        <is>
          <t>การวิเคราะห์คุณภาพยาตาที่เตรียมขึ้นในข้อใดมีความสำคัญที่สุด เพื่อให้ปลอดภัยต่อผู้ป่วย A. Microbial limit test</t>
        </is>
      </c>
      <c r="C64" s="35" t="n"/>
      <c r="D64" s="34" t="inlineStr">
        <is>
          <t>Microbial limit test ❌ ใช้กับผลิตภัณฑ์ที่ ไม่จำเป็นต้องปราศจากเชื้อ เช่น ยารับประทาน ยาทาผิวหนังบางชนิด โดยยาตาใช้ Sterility test แทน</t>
        </is>
      </c>
      <c r="E64" s="34" t="inlineStr">
        <is>
          <t>Sterility test</t>
        </is>
      </c>
      <c r="F64" s="34" t="inlineStr">
        <is>
          <t>Dissolution test ❌ ใช้กับยาเม็ด/แคปซูล</t>
        </is>
      </c>
      <c r="G64" s="34" t="inlineStr">
        <is>
          <t>Disintegration test ❌ ใช้กับยาเม็ด/แคปซูล</t>
        </is>
      </c>
      <c r="H64" s="34" t="inlineStr">
        <is>
          <t>Pyrogen test ❌ สำคัญกับ ยาฉีด</t>
        </is>
      </c>
      <c r="I64" s="35" t="n">
        <v>1</v>
      </c>
      <c r="J64" s="34" t="inlineStr">
        <is>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4" s="35" t="n"/>
      <c r="L64" s="34" t="inlineStr">
        <is>
          <t>Sterile Preparations &amp; Sterilization</t>
        </is>
      </c>
      <c r="M64" s="35" t="inlineStr">
        <is>
          <t>Product</t>
        </is>
      </c>
      <c r="N64" s="34" t="inlineStr">
        <is>
          <t>ข้อสอบจริง Product ปี 2564 ข้อ 110</t>
        </is>
      </c>
      <c r="O64" s="35" t="inlineStr">
        <is>
          <t>ข้อสอบจริง</t>
        </is>
      </c>
      <c r="P64" s="35" t="inlineStr">
        <is>
          <t>ปี 2564</t>
        </is>
      </c>
    </row>
    <row r="65" ht="409.6" customHeight="1" s="49">
      <c r="A65" s="35" t="n">
        <v>63</v>
      </c>
      <c r="B65" s="34" t="inlineStr">
        <is>
          <t>การทดสอบเพื่อควบคุมคุณภาพยาฉีด ข้อใดผิด</t>
        </is>
      </c>
      <c r="C65" s="35" t="n"/>
      <c r="D65" s="34" t="inlineStr">
        <is>
          <t>Sterility tests</t>
        </is>
      </c>
      <c r="E65" s="34" t="inlineStr">
        <is>
          <t>Particulate matter</t>
        </is>
      </c>
      <c r="F65" s="34" t="inlineStr">
        <is>
          <t>Pyrogen test</t>
        </is>
      </c>
      <c r="G65" s="34" t="inlineStr">
        <is>
          <t>Safety test</t>
        </is>
      </c>
      <c r="H65" s="34" t="inlineStr">
        <is>
          <t>Microbial limit test</t>
        </is>
      </c>
      <c r="I65" s="35" t="n">
        <v>1</v>
      </c>
      <c r="J65" s="34" t="inlineStr">
        <is>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5" s="35" t="n"/>
      <c r="L65" s="34" t="inlineStr">
        <is>
          <t>Sterile Preparations &amp; Sterilization</t>
        </is>
      </c>
      <c r="M65" s="35" t="inlineStr">
        <is>
          <t>Product</t>
        </is>
      </c>
      <c r="N65" s="34" t="inlineStr">
        <is>
          <t>ข้อสอบจริง Product ปี 2564 ข้อ 139</t>
        </is>
      </c>
      <c r="O65" s="35" t="inlineStr">
        <is>
          <t>ข้อสอบจริง</t>
        </is>
      </c>
      <c r="P65" s="35" t="inlineStr">
        <is>
          <t>ปี 2564</t>
        </is>
      </c>
    </row>
    <row r="66" ht="409.6" customHeight="1" s="49">
      <c r="A66" s="35" t="n">
        <v>64</v>
      </c>
      <c r="B66" s="34" t="inlineStr">
        <is>
          <t>Diazepam IV ไม่จำเป็นต้องตรวจอะไร</t>
        </is>
      </c>
      <c r="C66" s="35" t="n"/>
      <c r="D66" s="34" t="inlineStr">
        <is>
          <t>pH</t>
        </is>
      </c>
      <c r="E66" s="34" t="inlineStr">
        <is>
          <t>Pyrogen</t>
        </is>
      </c>
      <c r="F66" s="34" t="inlineStr">
        <is>
          <t>Leakage test</t>
        </is>
      </c>
      <c r="G66" s="34" t="inlineStr">
        <is>
          <t>Safety test</t>
        </is>
      </c>
      <c r="H66" s="34" t="inlineStr">
        <is>
          <t>Deliverable volume</t>
        </is>
      </c>
      <c r="I66" s="35" t="n">
        <v>1</v>
      </c>
      <c r="J66" s="34" t="inlineStr">
        <is>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6" s="35" t="n"/>
      <c r="L66" s="34" t="inlineStr">
        <is>
          <t>Sterile Preparations &amp; Sterilization</t>
        </is>
      </c>
      <c r="M66" s="35" t="inlineStr">
        <is>
          <t>Product</t>
        </is>
      </c>
      <c r="N66" s="34" t="inlineStr">
        <is>
          <t>ข้อสอบจริง Product ปี 2564 ข้อ 147</t>
        </is>
      </c>
      <c r="O66" s="35" t="inlineStr">
        <is>
          <t>ข้อสอบจริง</t>
        </is>
      </c>
      <c r="P66" s="35" t="inlineStr">
        <is>
          <t>ปี 2564</t>
        </is>
      </c>
    </row>
    <row r="67" ht="409.6" customHeight="1" s="49">
      <c r="A67" s="35" t="n">
        <v>65</v>
      </c>
      <c r="B67" s="34" t="inlineStr">
        <is>
          <t>ข้อใดไม่ใช่ terminal sterilization</t>
        </is>
      </c>
      <c r="C67" s="35" t="n"/>
      <c r="D67" s="34" t="inlineStr">
        <is>
          <t>Autoclave ✅ Terminal sterilization (moist heat)</t>
        </is>
      </c>
      <c r="E67" s="34" t="inlineStr">
        <is>
          <t>Gamma radiation ✅ Terminal sterilization</t>
        </is>
      </c>
      <c r="F67" s="34" t="inlineStr">
        <is>
          <t>Steam sterilization ✅ Terminal sterilization</t>
        </is>
      </c>
      <c r="G67" s="34" t="inlineStr">
        <is>
          <t>Membrane filtration ❌ ไม่ใช่ เป็น aseptic sterilization</t>
        </is>
      </c>
      <c r="H67" s="34" t="inlineStr">
        <is>
          <t>Dry heat sterilization ✅ Terminal sterilization</t>
        </is>
      </c>
      <c r="I67" s="35" t="n">
        <v>1</v>
      </c>
      <c r="J67" s="34" t="inlineStr">
        <is>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7" s="35" t="n"/>
      <c r="L67" s="34" t="inlineStr">
        <is>
          <t>Sterile Preparations &amp; Sterilization</t>
        </is>
      </c>
      <c r="M67" s="35" t="inlineStr">
        <is>
          <t>Product</t>
        </is>
      </c>
      <c r="N67" s="34" t="inlineStr">
        <is>
          <t>ข้อสอบจริง Product ปี 2564 ข้อ 157</t>
        </is>
      </c>
      <c r="O67" s="35" t="inlineStr">
        <is>
          <t>ข้อสอบจริง</t>
        </is>
      </c>
      <c r="P67" s="35" t="inlineStr">
        <is>
          <t>ปี 2564</t>
        </is>
      </c>
    </row>
    <row r="68" ht="409.6" customHeight="1" s="49">
      <c r="A68" s="35" t="n">
        <v>66</v>
      </c>
      <c r="B68" s="34" t="inlineStr">
        <is>
          <t>สาร x = in situ gel "sol to gel" in eye drug delivery system สาร x คือข้อใด</t>
        </is>
      </c>
      <c r="C68" s="35" t="n"/>
      <c r="D68" s="34" t="inlineStr">
        <is>
          <t>Carbopol</t>
        </is>
      </c>
      <c r="E68" s="34" t="inlineStr">
        <is>
          <t>Poloxamer</t>
        </is>
      </c>
      <c r="F68" s="34" t="inlineStr">
        <is>
          <t>Ethyl cellulose</t>
        </is>
      </c>
      <c r="G68" s="34" t="inlineStr">
        <is>
          <t>Polyvinyl alcohol</t>
        </is>
      </c>
      <c r="H68" s="34" t="inlineStr">
        <is>
          <t>Carboxymethylcellulose</t>
        </is>
      </c>
      <c r="I68" s="35" t="n">
        <v>1</v>
      </c>
      <c r="J68" s="34" t="inlineStr">
        <is>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8" s="35" t="n"/>
      <c r="L68" s="34" t="inlineStr">
        <is>
          <t>Sterile Preparations &amp; Sterilization</t>
        </is>
      </c>
      <c r="M68" s="35" t="inlineStr">
        <is>
          <t>Product</t>
        </is>
      </c>
      <c r="N68" s="34" t="inlineStr">
        <is>
          <t>ข้อสอบจริง Product ปี 2564 ข้อ 158</t>
        </is>
      </c>
      <c r="O68" s="35" t="inlineStr">
        <is>
          <t>ข้อสอบจริง</t>
        </is>
      </c>
      <c r="P68" s="35" t="inlineStr">
        <is>
          <t>ปี 2564</t>
        </is>
      </c>
    </row>
    <row r="69" ht="409.6" customHeight="1" s="49">
      <c r="A69" s="35" t="n">
        <v>67</v>
      </c>
      <c r="B69" s="34" t="inlineStr">
        <is>
          <t>ข้อใดเป็น preservatives ในตำรับนี้ ต้นฉบับ: Day 1 ข้อ 6</t>
        </is>
      </c>
      <c r="C69" s="35" t="n"/>
      <c r="D69" s="34" t="inlineStr">
        <is>
          <t>Dexamethasone</t>
        </is>
      </c>
      <c r="E69" s="34" t="inlineStr">
        <is>
          <t>Benzyl alcohol</t>
        </is>
      </c>
      <c r="F69" s="34" t="inlineStr">
        <is>
          <t>Sodium chloride</t>
        </is>
      </c>
      <c r="G69" s="34" t="inlineStr">
        <is>
          <t>Sodium hydroxide</t>
        </is>
      </c>
      <c r="H69" s="34" t="inlineStr">
        <is>
          <t>Polysorbate 80</t>
        </is>
      </c>
      <c r="I69" s="35" t="n">
        <v>2</v>
      </c>
      <c r="J69" s="34" t="inlineStr">
        <is>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9" s="35" t="n"/>
      <c r="L69" s="34" t="inlineStr">
        <is>
          <t>Sterile Preparations &amp; Sterilization</t>
        </is>
      </c>
      <c r="M69" s="35" t="inlineStr">
        <is>
          <t>Product</t>
        </is>
      </c>
      <c r="N69" s="34" t="inlineStr">
        <is>
          <t>ข้อสอบจริง Product ปี 2563 ข้อ 59</t>
        </is>
      </c>
      <c r="O69" s="35" t="inlineStr">
        <is>
          <t>ข้อสอบจริง</t>
        </is>
      </c>
      <c r="P69" s="35" t="inlineStr">
        <is>
          <t>ปี 2563</t>
        </is>
      </c>
    </row>
    <row r="70" ht="409.6" customHeight="1" s="49">
      <c r="A70" s="35" t="n">
        <v>68</v>
      </c>
      <c r="B70" s="34" t="inlineStr">
        <is>
          <t>ข้อใดไม่ใช่การควบคุมคุณภาพยาฉีดรูปแบบสารละลาย ต้นฉบับ: Day 1 ข้อ 7</t>
        </is>
      </c>
      <c r="C70" s="35" t="n"/>
      <c r="D70" s="34" t="inlineStr">
        <is>
          <t>Sterility test</t>
        </is>
      </c>
      <c r="E70" s="34" t="inlineStr">
        <is>
          <t>Microbial limit test</t>
        </is>
      </c>
      <c r="F70" s="34" t="inlineStr">
        <is>
          <t>Pyrogen test</t>
        </is>
      </c>
      <c r="G70" s="34" t="inlineStr">
        <is>
          <t>Particulate matter test</t>
        </is>
      </c>
      <c r="H70" s="34" t="inlineStr">
        <is>
          <t>Leaker test</t>
        </is>
      </c>
      <c r="I70" s="35" t="n">
        <v>2</v>
      </c>
      <c r="J70" s="34" t="inlineStr">
        <is>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0" s="35" t="n"/>
      <c r="L70" s="34" t="inlineStr">
        <is>
          <t>Sterile Preparations &amp; Sterilization</t>
        </is>
      </c>
      <c r="M70" s="35" t="inlineStr">
        <is>
          <t>Product</t>
        </is>
      </c>
      <c r="N70" s="34" t="inlineStr">
        <is>
          <t>ข้อสอบจริง Product ปี 2563 ข้อ 60</t>
        </is>
      </c>
      <c r="O70" s="35" t="inlineStr">
        <is>
          <t>ข้อสอบจริง</t>
        </is>
      </c>
      <c r="P70" s="35" t="inlineStr">
        <is>
          <t>ปี 2563</t>
        </is>
      </c>
    </row>
    <row r="71" ht="409.6" customHeight="1" s="49">
      <c r="A71" s="35" t="n">
        <v>69</v>
      </c>
      <c r="B71" s="34" t="inlineStr">
        <is>
          <t>การวิเคราะห์คุณภาพยาตาที่เตรียมขึ้นในข้อใดมีความสำคัญมากที่สุด เพื่อให้ปลอดภัยต่อผู้ป่วย ต้นฉบับ: Day 1 ข้อ 96</t>
        </is>
      </c>
      <c r="C71" s="35" t="n"/>
      <c r="D71" s="34" t="inlineStr">
        <is>
          <t>Microbial limit test</t>
        </is>
      </c>
      <c r="E71" s="34" t="inlineStr">
        <is>
          <t>Sterility test</t>
        </is>
      </c>
      <c r="F71" s="34" t="inlineStr">
        <is>
          <t>Dissolution test</t>
        </is>
      </c>
      <c r="G71" s="34" t="inlineStr">
        <is>
          <t>Disintegration test</t>
        </is>
      </c>
      <c r="H71" s="34" t="inlineStr">
        <is>
          <t>Pyrogen test</t>
        </is>
      </c>
      <c r="I71" s="35" t="n">
        <v>2</v>
      </c>
      <c r="J71" s="34" t="inlineStr">
        <is>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1" s="35" t="n"/>
      <c r="L71" s="34" t="inlineStr">
        <is>
          <t>Sterile Preparations &amp; Sterilization</t>
        </is>
      </c>
      <c r="M71" s="35" t="inlineStr">
        <is>
          <t>Product</t>
        </is>
      </c>
      <c r="N71" s="34" t="inlineStr">
        <is>
          <t>ข้อสอบจริง Product ปี 2563 ข้อ 63</t>
        </is>
      </c>
      <c r="O71" s="35" t="inlineStr">
        <is>
          <t>ข้อสอบจริง</t>
        </is>
      </c>
      <c r="P71" s="35" t="inlineStr">
        <is>
          <t>ปี 2563</t>
        </is>
      </c>
    </row>
    <row r="72" ht="409.6" customHeight="1" s="49">
      <c r="A72" s="35" t="n">
        <v>70</v>
      </c>
      <c r="B72" s="34" t="inlineStr">
        <is>
          <t>ข้อกำหนดมาตรฐานของวัคซีนข้อใดที่แตกต่างจากยาฉีดทั่วไป ต้นฉบับ: Day 1 ข้อ 54</t>
        </is>
      </c>
      <c r="C72" s="35" t="n"/>
      <c r="D72" s="34" t="inlineStr">
        <is>
          <t>Potency</t>
        </is>
      </c>
      <c r="E72" s="34" t="inlineStr">
        <is>
          <t>Minimum fill</t>
        </is>
      </c>
      <c r="F72" s="34" t="inlineStr">
        <is>
          <t>Deliverable volume</t>
        </is>
      </c>
      <c r="G72" s="34" t="inlineStr">
        <is>
          <t>Particulate matter</t>
        </is>
      </c>
      <c r="H72" s="34" t="inlineStr">
        <is>
          <t>Heavy metal</t>
        </is>
      </c>
      <c r="I72" s="35" t="n">
        <v>1</v>
      </c>
      <c r="J72" s="34" t="inlineStr">
        <is>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2" s="35" t="n"/>
      <c r="L72" s="34" t="inlineStr">
        <is>
          <t>Sterile Preparations &amp; Sterilization</t>
        </is>
      </c>
      <c r="M72" s="35" t="inlineStr">
        <is>
          <t>Product</t>
        </is>
      </c>
      <c r="N72" s="34" t="inlineStr">
        <is>
          <t>ข้อสอบจริง Product ปี 2563 ข้อ 64</t>
        </is>
      </c>
      <c r="O72" s="35" t="inlineStr">
        <is>
          <t>ข้อสอบจริง</t>
        </is>
      </c>
      <c r="P72" s="35" t="inlineStr">
        <is>
          <t>ปี 2563</t>
        </is>
      </c>
    </row>
    <row r="73" ht="409.6" customHeight="1" s="49">
      <c r="A73" s="35" t="n">
        <v>71</v>
      </c>
      <c r="B73" s="34" t="inlineStr">
        <is>
          <t>ข้อใดไม่ใช่การทดสอบเพื่อควบคุมคุณภาพยาฉีด</t>
        </is>
      </c>
      <c r="C73" s="35" t="n"/>
      <c r="D73" s="34" t="inlineStr">
        <is>
          <t>Safety test</t>
        </is>
      </c>
      <c r="E73" s="34" t="inlineStr">
        <is>
          <t>Sterility test</t>
        </is>
      </c>
      <c r="F73" s="34" t="inlineStr">
        <is>
          <t>Pyrogen test</t>
        </is>
      </c>
      <c r="G73" s="34" t="inlineStr">
        <is>
          <t>Particulate matter</t>
        </is>
      </c>
      <c r="H73" s="34" t="inlineStr">
        <is>
          <t>Microbial limit test</t>
        </is>
      </c>
      <c r="I73" s="35" t="n">
        <v>1</v>
      </c>
      <c r="J73" s="34" t="inlineStr">
        <is>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3" s="35" t="n"/>
      <c r="L73" s="34" t="inlineStr">
        <is>
          <t>Sterile Preparations &amp; Sterilization</t>
        </is>
      </c>
      <c r="M73" s="35" t="inlineStr">
        <is>
          <t>Product</t>
        </is>
      </c>
      <c r="N73" s="34" t="inlineStr">
        <is>
          <t>ข้อสอบจริง Product ปี 2561 ข้อ 39</t>
        </is>
      </c>
      <c r="O73" s="35" t="inlineStr">
        <is>
          <t>ข้อสอบจริง</t>
        </is>
      </c>
      <c r="P73" s="35" t="inlineStr">
        <is>
          <t>ปี 2561</t>
        </is>
      </c>
    </row>
    <row r="74" ht="409.6" customHeight="1" s="49">
      <c r="A74" s="35" t="n">
        <v>72</v>
      </c>
      <c r="B74" s="34" t="inlineStr">
        <is>
          <t>Diazepam IV ไม่จำเป็นต้องทดสอบคุณภาพในหัวข้อใด</t>
        </is>
      </c>
      <c r="C74" s="35" t="n"/>
      <c r="D74" s="34" t="inlineStr">
        <is>
          <t>pH</t>
        </is>
      </c>
      <c r="E74" s="34" t="inlineStr">
        <is>
          <t>Pyrogen</t>
        </is>
      </c>
      <c r="F74" s="34" t="inlineStr">
        <is>
          <t>Safety test</t>
        </is>
      </c>
      <c r="G74" s="34" t="inlineStr">
        <is>
          <t>Leakage test</t>
        </is>
      </c>
      <c r="H74" s="34" t="inlineStr">
        <is>
          <t>Deliverable volume</t>
        </is>
      </c>
      <c r="I74" s="35" t="n">
        <v>1</v>
      </c>
      <c r="J74" s="34" t="inlineStr">
        <is>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4" s="35" t="n"/>
      <c r="L74" s="34" t="inlineStr">
        <is>
          <t>Sterile Preparations &amp; Sterilization</t>
        </is>
      </c>
      <c r="M74" s="35" t="inlineStr">
        <is>
          <t>Product</t>
        </is>
      </c>
      <c r="N74" s="34" t="inlineStr">
        <is>
          <t>ข้อสอบจริง Product ปี 2561 ข้อ 51</t>
        </is>
      </c>
      <c r="O74" s="35" t="inlineStr">
        <is>
          <t>ข้อสอบจริง</t>
        </is>
      </c>
      <c r="P74" s="35" t="inlineStr">
        <is>
          <t>ปี 2561</t>
        </is>
      </c>
    </row>
    <row r="75" ht="409.6" customHeight="1" s="49">
      <c r="A75" s="35" t="n">
        <v>73</v>
      </c>
      <c r="B75" s="34" t="inlineStr">
        <is>
          <t>ข้อใดเป็นข้อกำหนดมาตรฐานในการผลิตยา tetrahydrozoline eye drop</t>
        </is>
      </c>
      <c r="C75" s="35" t="n"/>
      <c r="D75" s="34" t="inlineStr">
        <is>
          <t>Sterility</t>
        </is>
      </c>
      <c r="E75" s="34" t="inlineStr">
        <is>
          <t>Crystallinity</t>
        </is>
      </c>
      <c r="F75" s="34" t="inlineStr">
        <is>
          <t>Minimum fill</t>
        </is>
      </c>
      <c r="G75" s="34" t="inlineStr">
        <is>
          <t>Deliverable volume</t>
        </is>
      </c>
      <c r="H75" s="34" t="inlineStr">
        <is>
          <t>Bacterial endotoxin test</t>
        </is>
      </c>
      <c r="I75" s="35" t="n">
        <v>1</v>
      </c>
      <c r="J75" s="34" t="inlineStr">
        <is>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5" s="35" t="n"/>
      <c r="L75" s="34" t="inlineStr">
        <is>
          <t>Sterile Preparations &amp; Sterilization</t>
        </is>
      </c>
      <c r="M75" s="35" t="inlineStr">
        <is>
          <t>Product</t>
        </is>
      </c>
      <c r="N75" s="34" t="inlineStr">
        <is>
          <t>ข้อสอบจริง Product ปี 2561 ข้อ 109</t>
        </is>
      </c>
      <c r="O75" s="35" t="inlineStr">
        <is>
          <t>ข้อสอบจริง</t>
        </is>
      </c>
      <c r="P75" s="35" t="inlineStr">
        <is>
          <t>ปี 2561</t>
        </is>
      </c>
    </row>
    <row r="76" ht="409.6" customHeight="1" s="49">
      <c r="A76" s="35" t="n">
        <v>74</v>
      </c>
      <c r="B76" s="34" t="inlineStr">
        <is>
          <t>การบรรจุ insulin ห้องที่บรรจุควรมีความสะอาดตาม clean room grade ใด</t>
        </is>
      </c>
      <c r="C76" s="35" t="n"/>
      <c r="D76" s="34" t="inlineStr">
        <is>
          <t>A</t>
        </is>
      </c>
      <c r="E76" s="34" t="inlineStr">
        <is>
          <t>B</t>
        </is>
      </c>
      <c r="F76" s="34" t="inlineStr">
        <is>
          <t>C</t>
        </is>
      </c>
      <c r="G76" s="34" t="inlineStr">
        <is>
          <t>D</t>
        </is>
      </c>
      <c r="H76" s="34" t="inlineStr">
        <is>
          <t>E</t>
        </is>
      </c>
      <c r="I76" s="35" t="n">
        <v>1</v>
      </c>
      <c r="J76" s="34"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6" s="35" t="n"/>
      <c r="L76" s="34" t="inlineStr">
        <is>
          <t>Sterile Preparations &amp; Sterilization</t>
        </is>
      </c>
      <c r="M76" s="35" t="inlineStr">
        <is>
          <t>Product</t>
        </is>
      </c>
      <c r="N76" s="34" t="inlineStr">
        <is>
          <t>ข้อสอบจริง Product ปี 2559 ข้อ 4</t>
        </is>
      </c>
      <c r="O76" s="35" t="inlineStr">
        <is>
          <t>ข้อสอบจริง</t>
        </is>
      </c>
      <c r="P76" s="35" t="inlineStr">
        <is>
          <t>ปี 2559</t>
        </is>
      </c>
    </row>
    <row r="77" ht="409.6" customHeight="1" s="49">
      <c r="A77" s="35" t="n">
        <v>75</v>
      </c>
      <c r="B77" s="34" t="inlineStr">
        <is>
          <t>ข้อใดถูกเกี่ยวกับยาฉีดรูปแบบ single dose container ที่มีวิธีเก็บให้พ้นแสงที่ cool temperature</t>
        </is>
      </c>
      <c r="C77" s="35" t="n"/>
      <c r="D77" s="34" t="inlineStr">
        <is>
          <t>เก็บในภาชนะ vial สีชา ที่อุณหภูมิ 2-8 องศาเซลเซียส</t>
        </is>
      </c>
      <c r="E77" s="34" t="inlineStr">
        <is>
          <t>เก็บในภาชนะ ampule สีชา ที่อุณหภูมิ 2-8 องศาเซลเซียส</t>
        </is>
      </c>
      <c r="F77" s="34" t="inlineStr">
        <is>
          <t>เก็บในภาชนะ vial สีชา ที่อุณหภูมิ 8-15 องศาเซลเซียส</t>
        </is>
      </c>
      <c r="G77" s="34" t="inlineStr">
        <is>
          <t>เก็บในภาชนะ ampule สีชา ที่อุณหภูมิ8-15 องศาเซลเซียส</t>
        </is>
      </c>
      <c r="H77" s="34" t="inlineStr">
        <is>
          <t>เก็บในภาชนะ ampule สีชา ที่อุณหภูมิ 4-8 องศาเซลเซียส</t>
        </is>
      </c>
      <c r="I77" s="35" t="n">
        <v>1</v>
      </c>
      <c r="J77" s="34" t="inlineStr">
        <is>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7" s="35" t="n"/>
      <c r="L77" s="34" t="inlineStr">
        <is>
          <t>Sterile Preparations &amp; Sterilization</t>
        </is>
      </c>
      <c r="M77" s="35" t="inlineStr">
        <is>
          <t>Product</t>
        </is>
      </c>
      <c r="N77" s="34" t="inlineStr">
        <is>
          <t>ข้อสอบจริง Product ปี 2559 ข้อ 6</t>
        </is>
      </c>
      <c r="O77" s="35" t="inlineStr">
        <is>
          <t>ข้อสอบจริง</t>
        </is>
      </c>
      <c r="P77" s="35" t="inlineStr">
        <is>
          <t>ปี 2559</t>
        </is>
      </c>
    </row>
    <row r="78" ht="409.6" customHeight="1" s="49">
      <c r="A78" s="35" t="n">
        <v>76</v>
      </c>
      <c r="B78" s="34" t="inlineStr">
        <is>
          <t>แก้วประเภทใดเหมาะสมที่สุดในการบรรจุยาฉีด</t>
        </is>
      </c>
      <c r="C78" s="35" t="n"/>
      <c r="D78" s="34" t="inlineStr">
        <is>
          <t>soda-lime glass</t>
        </is>
      </c>
      <c r="E78" s="34" t="inlineStr">
        <is>
          <t>Borosilicate glass</t>
        </is>
      </c>
      <c r="F78" s="34" t="inlineStr">
        <is>
          <t>Treated soda-lime glass</t>
        </is>
      </c>
      <c r="G78" s="34" t="inlineStr">
        <is>
          <t>General NP</t>
        </is>
      </c>
      <c r="H78" s="34" t="inlineStr">
        <is>
          <t>Silicon dioxide</t>
        </is>
      </c>
      <c r="I78" s="35" t="n">
        <v>1</v>
      </c>
      <c r="J78" s="34" t="inlineStr">
        <is>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8" s="35" t="n"/>
      <c r="L78" s="34" t="inlineStr">
        <is>
          <t>Sterile Preparations &amp; Sterilization</t>
        </is>
      </c>
      <c r="M78" s="35" t="inlineStr">
        <is>
          <t>Product</t>
        </is>
      </c>
      <c r="N78" s="34" t="inlineStr">
        <is>
          <t>ข้อสอบจริง Product ปี 2559 ข้อ 7</t>
        </is>
      </c>
      <c r="O78" s="35" t="inlineStr">
        <is>
          <t>ข้อสอบจริง</t>
        </is>
      </c>
      <c r="P78" s="35" t="inlineStr">
        <is>
          <t>ปี 2559</t>
        </is>
      </c>
    </row>
    <row r="79" ht="409.6" customHeight="1" s="49">
      <c r="A79" s="35" t="n">
        <v>77</v>
      </c>
      <c r="B79" s="34" t="inlineStr">
        <is>
          <t>การผสมยาฉีด Amphotericin B กับสารละลาย 0.9% NaCl (Normal Saline Solution: NSS) แล้วส่งผลให้เกิดการตกตะกอน เกิดขึ้นจากกลไกใด?</t>
        </is>
      </c>
      <c r="C79" s="35" t="n"/>
      <c r="D79" s="34" t="inlineStr">
        <is>
          <t>Complexation</t>
        </is>
      </c>
      <c r="E79" s="34" t="inlineStr">
        <is>
          <t>Isomerization</t>
        </is>
      </c>
      <c r="F79" s="34" t="inlineStr">
        <is>
          <t>Salting out</t>
        </is>
      </c>
      <c r="G79" s="34" t="inlineStr">
        <is>
          <t>Epimerization</t>
        </is>
      </c>
      <c r="H79" s="34" t="inlineStr">
        <is>
          <t>Polymerization</t>
        </is>
      </c>
      <c r="I79" s="35" t="n">
        <v>1</v>
      </c>
      <c r="J79" s="34" t="inlineStr">
        <is>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9" s="35" t="n"/>
      <c r="L79" s="34" t="inlineStr">
        <is>
          <t>Sterile Preparations &amp; Sterilization</t>
        </is>
      </c>
      <c r="M79" s="35" t="inlineStr">
        <is>
          <t>Product</t>
        </is>
      </c>
      <c r="N79" s="34" t="inlineStr">
        <is>
          <t>ข้อสอบจริง Product ปี 2558 ข้อ 3</t>
        </is>
      </c>
      <c r="O79" s="35" t="inlineStr">
        <is>
          <t>ข้อสอบจริง</t>
        </is>
      </c>
      <c r="P79" s="35" t="inlineStr">
        <is>
          <t>ปี 2558</t>
        </is>
      </c>
    </row>
    <row r="80" ht="409.6" customHeight="1" s="49">
      <c r="A80" s="35" t="n">
        <v>78</v>
      </c>
      <c r="B80" s="34" t="inlineStr">
        <is>
          <t>การผลิตวัคซีนในรูปแบบผงแห้งตามมาตรฐานอุตสาหกรรม นิยมใช้วิธีการใด?</t>
        </is>
      </c>
      <c r="C80" s="35" t="n"/>
      <c r="D80" s="34" t="inlineStr">
        <is>
          <t>Spray drying</t>
        </is>
      </c>
      <c r="E80" s="34" t="inlineStr">
        <is>
          <t>Lyophilization (Freeze drying)</t>
        </is>
      </c>
      <c r="F80" s="34" t="inlineStr">
        <is>
          <t>Powder sterilization</t>
        </is>
      </c>
      <c r="G80" s="34" t="inlineStr">
        <is>
          <t>Fluidized bed drying</t>
        </is>
      </c>
      <c r="H80" s="34" t="inlineStr">
        <is>
          <t>Recombinant technology</t>
        </is>
      </c>
      <c r="I80" s="35" t="n">
        <v>1</v>
      </c>
      <c r="J80" s="34" t="inlineStr">
        <is>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0" s="35" t="n"/>
      <c r="L80" s="34" t="inlineStr">
        <is>
          <t>Sterile Preparations &amp; Sterilization</t>
        </is>
      </c>
      <c r="M80" s="35" t="inlineStr">
        <is>
          <t>Product</t>
        </is>
      </c>
      <c r="N80" s="34" t="inlineStr">
        <is>
          <t>ข้อสอบจริง Product ปี 2558 ข้อ 10</t>
        </is>
      </c>
      <c r="O80" s="35" t="inlineStr">
        <is>
          <t>ข้อสอบจริง</t>
        </is>
      </c>
      <c r="P80" s="35" t="inlineStr">
        <is>
          <t>ปี 2558</t>
        </is>
      </c>
    </row>
    <row r="81" ht="409.6" customHeight="1" s="49">
      <c r="A81" s="35" t="n">
        <v>79</v>
      </c>
      <c r="B81" s="34"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81" s="35" t="n"/>
      <c r="D81" s="34" t="inlineStr">
        <is>
          <t>955 mg</t>
        </is>
      </c>
      <c r="E81" s="34" t="inlineStr">
        <is>
          <t>1029 mg</t>
        </is>
      </c>
      <c r="F81" s="34" t="inlineStr">
        <is>
          <t>1194 mg</t>
        </is>
      </c>
      <c r="G81" s="34" t="inlineStr">
        <is>
          <t>1507 mg</t>
        </is>
      </c>
      <c r="H81" s="34" t="inlineStr">
        <is>
          <t>1885 mg</t>
        </is>
      </c>
      <c r="I81" s="35" t="n">
        <v>1</v>
      </c>
      <c r="J81" s="34" t="inlineStr">
        <is>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1" s="35" t="n"/>
      <c r="L81" s="34" t="inlineStr">
        <is>
          <t>Sterile Preparations &amp; Sterilization</t>
        </is>
      </c>
      <c r="M81" s="35" t="inlineStr">
        <is>
          <t>Product</t>
        </is>
      </c>
      <c r="N81" s="34" t="inlineStr">
        <is>
          <t>ข้อสอบจริง Product ปี 2558 ข้อ 15</t>
        </is>
      </c>
      <c r="O81" s="35" t="inlineStr">
        <is>
          <t>ข้อสอบจริง</t>
        </is>
      </c>
      <c r="P81" s="35" t="inlineStr">
        <is>
          <t>ปี 2558</t>
        </is>
      </c>
    </row>
    <row r="82" ht="409.6" customHeight="1" s="49">
      <c r="A82" s="35" t="n">
        <v>80</v>
      </c>
      <c r="B82" s="34"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35" t="n"/>
      <c r="D82" s="34" t="inlineStr">
        <is>
          <t>Purified water</t>
        </is>
      </c>
      <c r="E82" s="34" t="inlineStr">
        <is>
          <t>Deionized water</t>
        </is>
      </c>
      <c r="F82" s="34" t="inlineStr">
        <is>
          <t>Distilled water</t>
        </is>
      </c>
      <c r="G82" s="34" t="inlineStr">
        <is>
          <t>Water for Injection (WFI)</t>
        </is>
      </c>
      <c r="H82" s="34" t="inlineStr">
        <is>
          <t>Sterile Water for Injection (SWFI)</t>
        </is>
      </c>
      <c r="I82" s="35" t="n">
        <v>1</v>
      </c>
      <c r="J82" s="34" t="inlineStr">
        <is>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2" s="35" t="n"/>
      <c r="L82" s="34" t="inlineStr">
        <is>
          <t>Sterile Preparations &amp; Sterilization</t>
        </is>
      </c>
      <c r="M82" s="35" t="inlineStr">
        <is>
          <t>Product</t>
        </is>
      </c>
      <c r="N82" s="34" t="inlineStr">
        <is>
          <t>ข้อสอบจริง Product ปี 2558 ข้อ 19</t>
        </is>
      </c>
      <c r="O82" s="35" t="inlineStr">
        <is>
          <t>ข้อสอบจริง</t>
        </is>
      </c>
      <c r="P82" s="35" t="inlineStr">
        <is>
          <t>ปี 2558</t>
        </is>
      </c>
    </row>
    <row r="83" ht="409.6" customHeight="1" s="49">
      <c r="A83" s="35" t="n">
        <v>81</v>
      </c>
      <c r="B83" s="34"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83" s="35" t="n"/>
      <c r="D83" s="34" t="inlineStr">
        <is>
          <t>การสกัดจากตับอ่อนของสุกร (Porcine insulin extraction)</t>
        </is>
      </c>
      <c r="E83" s="34" t="inlineStr">
        <is>
          <t>การสกัดจากตับอ่อนของมนุษย์</t>
        </is>
      </c>
      <c r="F83" s="34" t="inlineStr">
        <is>
          <t>เทคโนโลยีรีคอมบิแนนท์ดีเอ็นเอ (Recombinant DNA technology)</t>
        </is>
      </c>
      <c r="G83" s="34" t="inlineStr">
        <is>
          <t>การสังเคราะห์ทางเคมีบริสุทธิ์ (Pure chemical synthesis)</t>
        </is>
      </c>
      <c r="H83" s="34" t="inlineStr">
        <is>
          <t>การใช้สเต็มเซลล์เพาะเลี้ยง (Stem cell culture)</t>
        </is>
      </c>
      <c r="I83" s="35" t="n">
        <v>1</v>
      </c>
      <c r="J83" s="34" t="inlineStr">
        <is>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3" s="35" t="n"/>
      <c r="L83" s="34" t="inlineStr">
        <is>
          <t>Sterile Preparations &amp; Sterilization</t>
        </is>
      </c>
      <c r="M83" s="35" t="inlineStr">
        <is>
          <t>Product</t>
        </is>
      </c>
      <c r="N83" s="34" t="inlineStr">
        <is>
          <t>ข้อสอบจริง Product ปี 2558 ข้อ 28</t>
        </is>
      </c>
      <c r="O83" s="35" t="inlineStr">
        <is>
          <t>ข้อสอบจริง</t>
        </is>
      </c>
      <c r="P83" s="35" t="inlineStr">
        <is>
          <t>ปี 2558</t>
        </is>
      </c>
    </row>
    <row r="84" ht="13.2" customHeight="1" s="49">
      <c r="A84" t="n">
        <v>82</v>
      </c>
      <c r="B84"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D84" t="inlineStr">
        <is>
          <t>ในการดูดยาจาก vial ต้องทำให้ความดันภายใน vial น้อยกว่าภายนอกป้องกันการ leak ของยาออกจาก vial</t>
        </is>
      </c>
      <c r="E84" t="inlineStr">
        <is>
          <t>เมื่อบรรจุยาเสร็จ ต้องดูดอากาศออกทำให้ความดัน bag เป็น Negative</t>
        </is>
      </c>
      <c r="F84" t="inlineStr">
        <is>
          <t>Clopidogrel 75 mg OD</t>
        </is>
      </c>
      <c r="G84" t="inlineStr">
        <is>
          <t>Aspirin 81 mg OD</t>
        </is>
      </c>
      <c r="H84" t="inlineStr">
        <is>
          <t>Sacubitril/Valsartan 49/51 mg BID</t>
        </is>
      </c>
      <c r="I84" t="inlineStr">
        <is>
          <t>1</t>
        </is>
      </c>
      <c r="J84"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4" t="inlineStr">
        <is>
          <t>Hypertension</t>
        </is>
      </c>
      <c r="M84" t="inlineStr">
        <is>
          <t>Clinic</t>
        </is>
      </c>
      <c r="N84" t="inlineStr">
        <is>
          <t>ข้อ 5 (PLE_CC1_Key_Rx20_UBU.md)</t>
        </is>
      </c>
    </row>
    <row r="85" ht="13.2" customHeight="1" s="49">
      <c r="A85" t="n">
        <v>83</v>
      </c>
      <c r="B85" t="inlineStr">
        <is>
          <t>ในการผลิตระดับอุตสาหกรรม ต้องใช้น้ำอะไร ในการผลิตยา Furosemide injection ตามฉลากต่อไปนี้</t>
        </is>
      </c>
      <c r="D85" t="inlineStr">
        <is>
          <t>Purified water</t>
        </is>
      </c>
      <c r="E85" t="inlineStr">
        <is>
          <t>Water for injection USP</t>
        </is>
      </c>
      <c r="F85" t="inlineStr">
        <is>
          <t>Sterile water for injection USP</t>
        </is>
      </c>
      <c r="G85" t="inlineStr">
        <is>
          <t>Sterile water for irrigation USP</t>
        </is>
      </c>
      <c r="H85" t="inlineStr">
        <is>
          <t>Bacteriostatic water for injection USP</t>
        </is>
      </c>
      <c r="I85" t="inlineStr">
        <is>
          <t>2</t>
        </is>
      </c>
      <c r="J85"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L85" t="inlineStr">
        <is>
          <t>Hypertension</t>
        </is>
      </c>
      <c r="M85" t="inlineStr">
        <is>
          <t>Clinic</t>
        </is>
      </c>
      <c r="N85" t="inlineStr">
        <is>
          <t>ข้อ 45 (PLE_CC1_Key_Rx20_UBU.md)</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8" t="inlineStr">
        <is>
          <t>2</t>
        </is>
      </c>
      <c r="B3" s="2" t="inlineStr">
        <is>
          <t>ความท้าทายในการควบคุมคุณภาพยา biologics เทียบกับ small molecules drug</t>
        </is>
      </c>
      <c r="C3" s="2" t="n"/>
      <c r="D3" s="2" t="inlineStr">
        <is>
          <t>biologics โครงสร้างซับซ้อนและไวต่อสภาพแวดล้อม เช่น pH ความร้อน</t>
        </is>
      </c>
      <c r="E3" s="2" t="inlineStr">
        <is>
          <t>biologics มีสูตรเคมีที่ง่ายต่อการสังเคราะห์มากกว่า</t>
        </is>
      </c>
      <c r="F3" s="2" t="inlineStr">
        <is>
          <t>Small molecules ต้องเก็บในตู้เย็น</t>
        </is>
      </c>
      <c r="G3" s="2" t="inlineStr">
        <is>
          <t>Small molecules มีผลข้างเคียงมากกว่า</t>
        </is>
      </c>
      <c r="H3" s="2" t="inlineStr">
        <is>
          <t>Biologics ละลายในน ้าง่ายกว่า</t>
        </is>
      </c>
      <c r="I3" s="8" t="inlineStr">
        <is>
          <t>1</t>
        </is>
      </c>
      <c r="J3" s="2" t="inlineStr">
        <is>
          <t>✅ คำตอบที่ถูกต้อง: ข้อ ก. biologics โครงสร้างซับซ้อนและไวต่อสภาพแวดล้อม เช่น pH ความร้อน
💡 Background:
เภสัชภัณฑ์ชีววัตถุและเทคโนโลยีชีวภาพ (Biotechnology &amp; Biopharmaceuticals) วัคซีน โมโนโคลนอลแอนติบอดี (mAbs) โปรตีนบำบัด และการเก็บรักษา Cold chain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Recombinant DNA</t>
        </is>
      </c>
      <c r="M3" s="2" t="inlineStr">
        <is>
          <t>Biotech Products</t>
        </is>
      </c>
      <c r="N3" s="2" t="inlineStr">
        <is>
          <t>Mock PLE-CC 1 ข้อ 35</t>
        </is>
      </c>
      <c r="O3" s="2" t="inlineStr">
        <is>
          <t>Mock</t>
        </is>
      </c>
      <c r="P3" s="2" t="inlineStr">
        <is>
          <t>Mock RxCU83</t>
        </is>
      </c>
      <c r="Q3" s="2" t="n"/>
    </row>
    <row r="4" ht="13.2" customHeight="1" s="49">
      <c r="A4" s="8" t="inlineStr">
        <is>
          <t>3</t>
        </is>
      </c>
      <c r="B4" s="2" t="inlineStr">
        <is>
          <t>วัคซีนต้องเก็บในcold temp. คือกี่องศาเซลเซียส ตัวเลือก</t>
        </is>
      </c>
      <c r="C4" s="2" t="n"/>
      <c r="D4" s="2" t="inlineStr">
        <is>
          <t>Biotech Products</t>
        </is>
      </c>
      <c r="E4" s="2" t="inlineStr">
        <is>
          <t>Immunogenicity Neutralizing Antibody Assay</t>
        </is>
      </c>
      <c r="F4" s="2" t="inlineStr">
        <is>
          <t>Polysorbate 20 surfactant to prevent protein aggregation</t>
        </is>
      </c>
      <c r="G4" s="2" t="inlineStr">
        <is>
          <t>Histidine Buffer pH 6.0 formulation stability</t>
        </is>
      </c>
      <c r="H4" s="2" t="inlineStr">
        <is>
          <t>Recombinant DNA Human Insulin in E. coli</t>
        </is>
      </c>
      <c r="I4" s="8" t="inlineStr">
        <is>
          <t>1</t>
        </is>
      </c>
      <c r="J4"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Recombinant DNA</t>
        </is>
      </c>
      <c r="M4" s="2" t="inlineStr">
        <is>
          <t>Biotech Products</t>
        </is>
      </c>
      <c r="N4" s="2" t="inlineStr">
        <is>
          <t>PLE-CC1 ปี 2566 Day 1 ข้อ 39</t>
        </is>
      </c>
      <c r="O4" s="2" t="inlineStr">
        <is>
          <t>ข้อสอบจริง</t>
        </is>
      </c>
      <c r="P4" s="2" t="inlineStr">
        <is>
          <t>ปี 2566</t>
        </is>
      </c>
    </row>
    <row r="5" ht="13.2" customHeight="1" s="49">
      <c r="A5" s="8" t="inlineStr">
        <is>
          <t>4</t>
        </is>
      </c>
      <c r="B5" s="2"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2" t="n"/>
      <c r="D5" s="2" t="inlineStr">
        <is>
          <t>Biotech Products</t>
        </is>
      </c>
      <c r="E5" s="2" t="inlineStr">
        <is>
          <t>Recombinant DNA Human Insulin in E. coli</t>
        </is>
      </c>
      <c r="F5" s="2" t="inlineStr">
        <is>
          <t>Monoclonal Antibody IgG1 (CHO Cell Expression)</t>
        </is>
      </c>
      <c r="G5" s="2" t="inlineStr">
        <is>
          <t>Polyethylene Glycol (PEG) Conjugation for extended half-life</t>
        </is>
      </c>
      <c r="H5" s="2" t="inlineStr">
        <is>
          <t>Lyophilization (Freeze-drying) with Trehalose Cryoprotectant</t>
        </is>
      </c>
      <c r="I5" s="8" t="inlineStr">
        <is>
          <t>1</t>
        </is>
      </c>
      <c r="J5"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Recombinant DNA</t>
        </is>
      </c>
      <c r="M5" s="2" t="inlineStr">
        <is>
          <t>Biotech Products</t>
        </is>
      </c>
      <c r="N5" s="2" t="inlineStr">
        <is>
          <t>PLE-CC1 ปี 2566 Day 1 ข้อ 3</t>
        </is>
      </c>
      <c r="O5" s="2" t="inlineStr">
        <is>
          <t>ข้อสอบจริง</t>
        </is>
      </c>
      <c r="P5" s="2" t="inlineStr">
        <is>
          <t>ปี 2566</t>
        </is>
      </c>
    </row>
    <row r="6" ht="13.2" customHeight="1" s="49">
      <c r="A6" s="8" t="inlineStr">
        <is>
          <t>5</t>
        </is>
      </c>
      <c r="B6" s="2" t="inlineStr">
        <is>
          <t>ระดับ1 ต้องได้รับวัคซีนป้องกันพิษสุนัขบ้า</t>
        </is>
      </c>
      <c r="C6" s="2" t="n"/>
      <c r="D6" s="2" t="inlineStr">
        <is>
          <t>Biotech Products</t>
        </is>
      </c>
      <c r="E6" s="2" t="inlineStr">
        <is>
          <t>Lyophilization (Freeze-drying) with Trehalose Cryoprotectant</t>
        </is>
      </c>
      <c r="F6" s="2" t="inlineStr">
        <is>
          <t>ELISA Immunoassay for protein quantification</t>
        </is>
      </c>
      <c r="G6" s="2" t="inlineStr">
        <is>
          <t>SDS-PAGE Gel Electrophoresis purity analysis</t>
        </is>
      </c>
      <c r="H6" s="2" t="inlineStr">
        <is>
          <t>Isoelectric Focusing (IEF) for charge heterogeneity</t>
        </is>
      </c>
      <c r="I6" s="8" t="inlineStr">
        <is>
          <t>1</t>
        </is>
      </c>
      <c r="J6"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Recombinant DNA</t>
        </is>
      </c>
      <c r="M6" s="2" t="inlineStr">
        <is>
          <t>Biotech Products</t>
        </is>
      </c>
      <c r="N6" s="2" t="inlineStr">
        <is>
          <t>PLE-CC1 ปี 2566 Day 1 ข้อ 2</t>
        </is>
      </c>
      <c r="O6" s="2" t="inlineStr">
        <is>
          <t>ข้อสอบจริง</t>
        </is>
      </c>
      <c r="P6" s="2" t="inlineStr">
        <is>
          <t>ปี 2566</t>
        </is>
      </c>
    </row>
    <row r="7" ht="13.2" customHeight="1" s="49">
      <c r="A7" s="8" t="inlineStr">
        <is>
          <t>6</t>
        </is>
      </c>
      <c r="B7" s="2" t="inlineStr">
        <is>
          <t>ระดับ3 ต้องได้รับวัคซีนป้องกันพิษสุนัขบ้า ??? ข้อใดผิดเกี่ยวกับRIG</t>
        </is>
      </c>
      <c r="C7" s="2" t="n"/>
      <c r="D7" s="2" t="inlineStr">
        <is>
          <t>Biotech Products</t>
        </is>
      </c>
      <c r="E7" s="2" t="inlineStr">
        <is>
          <t>Isoelectric Focusing (IEF) for charge heterogeneity</t>
        </is>
      </c>
      <c r="F7" s="2" t="inlineStr">
        <is>
          <t>Immunogenicity Neutralizing Antibody Assay</t>
        </is>
      </c>
      <c r="G7" s="2" t="inlineStr">
        <is>
          <t>Polysorbate 20 surfactant to prevent protein aggregation</t>
        </is>
      </c>
      <c r="H7" s="2" t="inlineStr">
        <is>
          <t>Histidine Buffer pH 6.0 formulation stability</t>
        </is>
      </c>
      <c r="I7" s="8" t="inlineStr">
        <is>
          <t>1</t>
        </is>
      </c>
      <c r="J7"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Recombinant DNA</t>
        </is>
      </c>
      <c r="M7" s="2" t="inlineStr">
        <is>
          <t>Biotech Products</t>
        </is>
      </c>
      <c r="N7" s="2" t="inlineStr">
        <is>
          <t>PLE-CC1 ปี 2566 Day 1 ข้อ 5</t>
        </is>
      </c>
      <c r="O7" s="2" t="inlineStr">
        <is>
          <t>ข้อสอบจริง</t>
        </is>
      </c>
      <c r="P7" s="2" t="inlineStr">
        <is>
          <t>ปี 2566</t>
        </is>
      </c>
    </row>
    <row r="8" ht="13.2" customHeight="1" s="49">
      <c r="A8" s="8" t="inlineStr">
        <is>
          <t>7</t>
        </is>
      </c>
      <c r="B8" s="2" t="inlineStr">
        <is>
          <t>ต้องฉีดวันเดียวกันกับที่ฉีดวัคซีน</t>
        </is>
      </c>
      <c r="C8" s="2" t="n"/>
      <c r="D8" s="2" t="inlineStr">
        <is>
          <t>Biotech Products</t>
        </is>
      </c>
      <c r="E8" s="2" t="inlineStr">
        <is>
          <t>Histidine Buffer pH 6.0 formulation stability</t>
        </is>
      </c>
      <c r="F8" s="2" t="inlineStr">
        <is>
          <t>Recombinant DNA Human Insulin in E. coli</t>
        </is>
      </c>
      <c r="G8" s="2" t="inlineStr">
        <is>
          <t>Monoclonal Antibody IgG1 (CHO Cell Expression)</t>
        </is>
      </c>
      <c r="H8" s="2" t="inlineStr">
        <is>
          <t>Polyethylene Glycol (PEG) Conjugation for extended half-life</t>
        </is>
      </c>
      <c r="I8" s="8" t="inlineStr">
        <is>
          <t>1</t>
        </is>
      </c>
      <c r="J8"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Recombinant DNA</t>
        </is>
      </c>
      <c r="M8" s="2" t="inlineStr">
        <is>
          <t>Biotech Products</t>
        </is>
      </c>
      <c r="N8" s="2" t="inlineStr">
        <is>
          <t>PLE-CC1 ปี 2566 Day 1 ข้อ 2</t>
        </is>
      </c>
      <c r="O8" s="2" t="inlineStr">
        <is>
          <t>ข้อสอบจริง</t>
        </is>
      </c>
      <c r="P8" s="2" t="inlineStr">
        <is>
          <t>ปี 2566</t>
        </is>
      </c>
    </row>
    <row r="9" ht="13.2" customHeight="1" s="49">
      <c r="A9" s="8" t="inlineStr">
        <is>
          <t>8</t>
        </is>
      </c>
      <c r="B9" s="2" t="inlineStr">
        <is>
          <t>วัคซีนที่ควรฉีดในคนไข้COPD. ตัวเลือกเพื่อป้องกันstreptococcus</t>
        </is>
      </c>
      <c r="C9" s="2" t="n"/>
      <c r="D9" s="2" t="inlineStr">
        <is>
          <t>Biotech Products</t>
        </is>
      </c>
      <c r="E9" s="2" t="inlineStr">
        <is>
          <t>Polyethylene Glycol (PEG) Conjugation for extended half-life</t>
        </is>
      </c>
      <c r="F9" s="2" t="inlineStr">
        <is>
          <t>Lyophilization (Freeze-drying) with Trehalose Cryoprotectant</t>
        </is>
      </c>
      <c r="G9" s="2" t="inlineStr">
        <is>
          <t>ELISA Immunoassay for protein quantification</t>
        </is>
      </c>
      <c r="H9" s="2" t="inlineStr">
        <is>
          <t>SDS-PAGE Gel Electrophoresis purity analysis</t>
        </is>
      </c>
      <c r="I9" s="8" t="inlineStr">
        <is>
          <t>1</t>
        </is>
      </c>
      <c r="J9"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2" t="n"/>
      <c r="L9" s="2" t="inlineStr">
        <is>
          <t>Recombinant DNA</t>
        </is>
      </c>
      <c r="M9" s="2" t="inlineStr">
        <is>
          <t>Biotech Products</t>
        </is>
      </c>
      <c r="N9" s="2" t="inlineStr">
        <is>
          <t>PLE-CC1 ปี 2566 Day 2 ข้อ 28</t>
        </is>
      </c>
      <c r="O9" s="2" t="inlineStr">
        <is>
          <t>ข้อสอบจริง</t>
        </is>
      </c>
      <c r="P9" s="2" t="inlineStr">
        <is>
          <t>ปี 2566</t>
        </is>
      </c>
    </row>
    <row r="10" ht="13.2" customHeight="1" s="49">
      <c r="A10" s="8" t="inlineStr">
        <is>
          <t>9</t>
        </is>
      </c>
      <c r="B10" s="2" t="inlineStr">
        <is>
          <t>Covid-19 vaccine</t>
        </is>
      </c>
      <c r="C10" s="2" t="n"/>
      <c r="D10" s="2" t="inlineStr">
        <is>
          <t>Biotech Products</t>
        </is>
      </c>
      <c r="E10" s="2" t="inlineStr">
        <is>
          <t>SDS-PAGE Gel Electrophoresis purity analysis</t>
        </is>
      </c>
      <c r="F10" s="2" t="inlineStr">
        <is>
          <t>Isoelectric Focusing (IEF) for charge heterogeneity</t>
        </is>
      </c>
      <c r="G10" s="2" t="inlineStr">
        <is>
          <t>Immunogenicity Neutralizing Antibody Assay</t>
        </is>
      </c>
      <c r="H10" s="2" t="inlineStr">
        <is>
          <t>Polysorbate 20 surfactant to prevent protein aggregation</t>
        </is>
      </c>
      <c r="I10" s="8" t="inlineStr">
        <is>
          <t>1</t>
        </is>
      </c>
      <c r="J10"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Recombinant DNA</t>
        </is>
      </c>
      <c r="M10" s="2" t="inlineStr">
        <is>
          <t>Biotech Products</t>
        </is>
      </c>
      <c r="N10" s="2" t="inlineStr">
        <is>
          <t>PLE-CC1 ปี 2566 Day 2 ข้อ 3</t>
        </is>
      </c>
      <c r="O10" s="2" t="inlineStr">
        <is>
          <t>ข้อสอบจริง</t>
        </is>
      </c>
      <c r="P10" s="2" t="inlineStr">
        <is>
          <t>ปี 2566</t>
        </is>
      </c>
    </row>
    <row r="11" ht="13.2" customHeight="1" s="49">
      <c r="A11" s="8" t="inlineStr">
        <is>
          <t>10</t>
        </is>
      </c>
      <c r="B11" s="2" t="inlineStr">
        <is>
          <t>เด็กแรกเกิดตองฉีด vaccine อะไรบาง</t>
        </is>
      </c>
      <c r="C11" s="2" t="n"/>
      <c r="D11" s="2" t="inlineStr">
        <is>
          <t>Rabies &amp; ????</t>
        </is>
      </c>
      <c r="E11" s="2" t="inlineStr">
        <is>
          <t>Tetanus, Hepatitis B</t>
        </is>
      </c>
      <c r="F11" s="2" t="inlineStr">
        <is>
          <t>Hepatitis B, BCG</t>
        </is>
      </c>
      <c r="G11" s="2" t="inlineStr">
        <is>
          <t>BCG, MMR</t>
        </is>
      </c>
      <c r="H11" s="2" t="inlineStr">
        <is>
          <t>[NEED_REVIEW]</t>
        </is>
      </c>
      <c r="I11" s="8" t="inlineStr">
        <is>
          <t>1</t>
        </is>
      </c>
      <c r="J11" s="2"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Rabies &amp; ???? ไม่ตรงกับข้อบ่งใช้หรือกลไกการออกฤทธิ์ที่ถูกต้องตาม ICH Q5A-Q5E / WHO Guidelines for Biological Products
• ข้อ ค. (Tetanus, Hepatitis B): Tetanus, Hepatitis B ไม่ตรงกับข้อบ่งใช้หรือกลไกการออกฤทธิ์ที่ถูกต้องตาม ICH Q5A-Q5E / WHO Guidelines for Biological Products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Recombinant DNA</t>
        </is>
      </c>
      <c r="M11" s="2" t="inlineStr">
        <is>
          <t>Biotech Products</t>
        </is>
      </c>
      <c r="N11" s="2" t="inlineStr">
        <is>
          <t>PLE_CC1_2565_Day1_Key ข้อ 53</t>
        </is>
      </c>
      <c r="O11" s="2" t="inlineStr">
        <is>
          <t>ข้อสอบจริง</t>
        </is>
      </c>
      <c r="P11" s="2" t="inlineStr">
        <is>
          <t>ปี 2565</t>
        </is>
      </c>
      <c r="Q11" s="2" t="n"/>
    </row>
    <row r="12" ht="13.2" customHeight="1" s="49">
      <c r="A12" s="8" t="inlineStr">
        <is>
          <t>11</t>
        </is>
      </c>
      <c r="B12" s="2" t="inlineStr">
        <is>
          <t>ขั้นตอนสุดทายของการรองรับรุ;นการผลิตของวัคซีนคืออะไร</t>
        </is>
      </c>
      <c r="C12" s="2" t="n"/>
      <c r="D12" s="2" t="inlineStr">
        <is>
          <t>ไม;ตองมี ถาไดขึ้นทะเบียนยา</t>
        </is>
      </c>
      <c r="E12" s="2" t="inlineStr">
        <is>
          <t>ตองผ;านการตรวจสอบ QC ของบริษัทยา</t>
        </is>
      </c>
      <c r="F12" s="2" t="inlineStr">
        <is>
          <t>ตองผ;านการตรวจสอบกรมควบคุมโรค</t>
        </is>
      </c>
      <c r="G12" s="2" t="inlineStr">
        <is>
          <t>ตองผ;านการตรวจสอบอ.ย.</t>
        </is>
      </c>
      <c r="H12" s="2" t="inlineStr">
        <is>
          <t>ต้องผ่านการตรวจสอบชีววัตถุของกรมวิทยาศาสตร์การแพทย์</t>
        </is>
      </c>
      <c r="I12" s="8" t="inlineStr">
        <is>
          <t>1</t>
        </is>
      </c>
      <c r="J12" s="2"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ไม;ตองมี ถาไดขึ้นทะเบียนยา ไม่ตรงกับข้อบ่งใช้หรือกลไกการออกฤทธิ์ที่ถูกต้องตาม ICH Q5A-Q5E / WHO Guidelines for Biological Products
• ข้อ ค. (ตองผ;านการตรวจสอบ QC ของบริษัทยา): ตองผ;านการตรวจสอบ QC ของบริษัทยา ไม่ตรงกับข้อบ่งใช้หรือกลไกการออกฤทธิ์ที่ถูกต้องตาม ICH Q5A-Q5E / WHO Guidelines for Biological Products
• ข้อ ง. (ตองผ;านการตรวจสอบกรมควบคุมโรค): ตองผ;านการตรวจสอบกรมควบคุมโรค ไม่ตรงกับข้อบ่งใช้หรือกลไกการออกฤทธิ์ที่ถูกต้องตาม ICH Q5A-Q5E / WHO Guidelines for Biological Products
• ข้อ จ. (ตองผ;านการตรวจสอบอ.ย.): ตองผ;านการตรวจสอบอ.ย.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Recombinant DNA</t>
        </is>
      </c>
      <c r="M12" s="2" t="inlineStr">
        <is>
          <t>Biotech Products</t>
        </is>
      </c>
      <c r="N12" s="2" t="inlineStr">
        <is>
          <t>PLE_CC1_2565_Day1_Key ข้อ 56</t>
        </is>
      </c>
      <c r="O12" s="2" t="inlineStr">
        <is>
          <t>ข้อสอบจริง</t>
        </is>
      </c>
      <c r="P12" s="2" t="inlineStr">
        <is>
          <t>ปี 2565</t>
        </is>
      </c>
      <c r="Q12" s="2" t="n"/>
    </row>
    <row r="13" ht="13.2" customHeight="1" s="49">
      <c r="A13" s="8" t="inlineStr">
        <is>
          <t>12</t>
        </is>
      </c>
      <c r="B13" s="2" t="inlineStr">
        <is>
          <t>ผู้ป่วยรายนี้ควรได้รับการหีด vaccine ตัวไหน เพื่อป้อษกันการเกิด asthma exacerbation</t>
        </is>
      </c>
      <c r="C13" s="2" t="n"/>
      <c r="D13" s="2" t="inlineStr">
        <is>
          <t>Biotech Products</t>
        </is>
      </c>
      <c r="E13" s="2" t="inlineStr">
        <is>
          <t>Influenza vaccine</t>
        </is>
      </c>
      <c r="F13" s="2" t="inlineStr">
        <is>
          <t>Pneumococcal vaccine</t>
        </is>
      </c>
      <c r="G13" s="2" t="inlineStr">
        <is>
          <t>Meningococcal vaccine</t>
        </is>
      </c>
      <c r="H13" s="2" t="inlineStr">
        <is>
          <t>Immunogenicity Neutralizing Antibody Assay</t>
        </is>
      </c>
      <c r="I13" s="8" t="inlineStr">
        <is>
          <t>1</t>
        </is>
      </c>
      <c r="J13"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Pneumococcal vaccine ไม่ตรงกับข้อบ่งใช้หรือกลไกการออกฤทธิ์ที่ถูกต้องตาม ICH Q5A-Q5E / WHO Guidelines for Biological Products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Recombinant DNA</t>
        </is>
      </c>
      <c r="M13" s="2" t="inlineStr">
        <is>
          <t>Biotech Products</t>
        </is>
      </c>
      <c r="N13" s="2" t="inlineStr">
        <is>
          <t>PLE_CC1_2563_Q ข้อ 92</t>
        </is>
      </c>
      <c r="O13" s="2" t="inlineStr">
        <is>
          <t>ข้อสอบจริง</t>
        </is>
      </c>
      <c r="P13" s="2" t="inlineStr">
        <is>
          <t>ปี 2563</t>
        </is>
      </c>
    </row>
    <row r="14" ht="13.2" customHeight="1" s="49">
      <c r="A14" s="8" t="inlineStr">
        <is>
          <t>12</t>
        </is>
      </c>
      <c r="B14" s="2" t="inlineStr">
        <is>
          <t>กระบวนการใดเหมาะสมในการผลิต trastuzumab powder for infusion ซึ่งเป็นชนิด monoclonal antibody เช่น</t>
        </is>
      </c>
      <c r="C14" s="2" t="n"/>
      <c r="D14" s="2" t="inlineStr">
        <is>
          <t>Tray drying</t>
        </is>
      </c>
      <c r="E14" s="2" t="inlineStr">
        <is>
          <t>Microwave drying</t>
        </is>
      </c>
      <c r="F14" s="2" t="inlineStr">
        <is>
          <t>Spray drying</t>
        </is>
      </c>
      <c r="G14" s="2" t="inlineStr">
        <is>
          <t>Freeze drying</t>
        </is>
      </c>
      <c r="H14" s="2" t="inlineStr">
        <is>
          <t>Infrared drying</t>
        </is>
      </c>
      <c r="I14" s="8" t="inlineStr">
        <is>
          <t>1</t>
        </is>
      </c>
      <c r="J14" s="2"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Recombinant DNA</t>
        </is>
      </c>
      <c r="M14" s="2" t="inlineStr">
        <is>
          <t>Product</t>
        </is>
      </c>
      <c r="N14" s="2" t="inlineStr">
        <is>
          <t>ข้อ 58 (PLE_CC1_2562_Key.md)</t>
        </is>
      </c>
      <c r="O14" s="2" t="inlineStr">
        <is>
          <t>ข้อสอบจริง</t>
        </is>
      </c>
      <c r="P14" s="2" t="inlineStr">
        <is>
          <t>ปี 2562</t>
        </is>
      </c>
    </row>
    <row r="15" ht="13.2" customHeight="1" s="49">
      <c r="A15" s="8" t="inlineStr">
        <is>
          <t>13</t>
        </is>
      </c>
      <c r="B15" s="2" t="inlineStr">
        <is>
          <t>Insulin ได้จากการท้า Recombinant DNA ข้อใดถูกต้อง</t>
        </is>
      </c>
      <c r="C15" s="2" t="n"/>
      <c r="D15" s="2" t="inlineStr">
        <is>
          <t>เอา Beta-cell ไปเพาะเลี ยงในหลอดทดลอง แล้วสกัด Insulin ออกมา</t>
        </is>
      </c>
      <c r="E15" s="2" t="inlineStr">
        <is>
          <t>เอายีนที่สร้าง Insulin ของคน ไปท้า PCR แล้วเก็บเกี่ยวโปรตีน</t>
        </is>
      </c>
      <c r="F15" s="2" t="inlineStr">
        <is>
          <t>ตัดต่อยีนสร้าง Insulin ให้กับยีสต์ แล้วเอายีสต์ไปเลี ยง เพื่อให้สร้าง Insulin ออกมา</t>
        </is>
      </c>
      <c r="G15" s="2" t="inlineStr">
        <is>
          <t>ใช้ Agrobacteria น้าส่งยีนที่ต้องการไปสู่เซลล์ของสัตว์ทดลอง ให้ผลิต Insulin</t>
        </is>
      </c>
      <c r="H15" s="2" t="inlineStr">
        <is>
          <t>สกัด Insulin จากสัตว์ทดลอง แล้วน้าไปตัดต่อโครงสร้างแล้วเอาไปใช้ในคน</t>
        </is>
      </c>
      <c r="I15" s="8" t="inlineStr">
        <is>
          <t>1</t>
        </is>
      </c>
      <c r="J15" s="2"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Recombinant DNA</t>
        </is>
      </c>
      <c r="M15" s="2" t="inlineStr">
        <is>
          <t>Product</t>
        </is>
      </c>
      <c r="N15" s="2" t="inlineStr">
        <is>
          <t>ข้อ 6 (PLE_CC1_2560 22 April Set 1.md)</t>
        </is>
      </c>
      <c r="O15" s="2" t="inlineStr">
        <is>
          <t>ข้อสอบจริง</t>
        </is>
      </c>
      <c r="P15" s="2" t="inlineStr">
        <is>
          <t>ปี 2560</t>
        </is>
      </c>
    </row>
    <row r="16" ht="13.2" customHeight="1" s="49">
      <c r="A16" s="8" t="inlineStr">
        <is>
          <t>14</t>
        </is>
      </c>
      <c r="B16" s="2" t="inlineStr">
        <is>
          <t>วัคซีนที่ให้เด็กตั งแต่แรกเกิดคือ</t>
        </is>
      </c>
      <c r="C16" s="2" t="n"/>
      <c r="D16" s="2" t="inlineStr">
        <is>
          <t>BCG และ HBV</t>
        </is>
      </c>
      <c r="E16" s="2" t="inlineStr">
        <is>
          <t>BCG และ OPV</t>
        </is>
      </c>
      <c r="F16" s="2" t="inlineStr">
        <is>
          <t>OPV และ MMR</t>
        </is>
      </c>
      <c r="G16" s="2" t="inlineStr">
        <is>
          <t>HBV และ MMR</t>
        </is>
      </c>
      <c r="H16" s="2" t="inlineStr">
        <is>
          <t>DTP และ OPV</t>
        </is>
      </c>
      <c r="I16" s="8" t="inlineStr">
        <is>
          <t>1</t>
        </is>
      </c>
      <c r="J16" s="2"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Recombinant DNA</t>
        </is>
      </c>
      <c r="M16" s="2" t="inlineStr">
        <is>
          <t>Product</t>
        </is>
      </c>
      <c r="N16" s="2" t="inlineStr">
        <is>
          <t>ข้อ 33 (PLE_CC1_2559.md)</t>
        </is>
      </c>
      <c r="O16" s="2" t="inlineStr">
        <is>
          <t>ข้อสอบจริง</t>
        </is>
      </c>
      <c r="P16" s="2" t="inlineStr">
        <is>
          <t>ปี 2559</t>
        </is>
      </c>
    </row>
    <row r="17" ht="13.2" customHeight="1" s="49">
      <c r="A17" s="8" t="inlineStr">
        <is>
          <t>15</t>
        </is>
      </c>
      <c r="B17" s="2"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2" t="n"/>
      <c r="D17" s="2" t="inlineStr">
        <is>
          <t>DTwP</t>
        </is>
      </c>
      <c r="E17" s="2" t="inlineStr">
        <is>
          <t>OPV</t>
        </is>
      </c>
      <c r="F17" s="2" t="inlineStr">
        <is>
          <t>HBV</t>
        </is>
      </c>
      <c r="G17" s="2" t="inlineStr">
        <is>
          <t>Hib vaccine</t>
        </is>
      </c>
      <c r="H17" s="2" t="inlineStr">
        <is>
          <t>MMR vaccine</t>
        </is>
      </c>
      <c r="I17" s="8" t="inlineStr">
        <is>
          <t>1</t>
        </is>
      </c>
      <c r="J17" s="2"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Recombinant DNA</t>
        </is>
      </c>
      <c r="M17" s="2" t="inlineStr">
        <is>
          <t>Product</t>
        </is>
      </c>
      <c r="N17" s="2" t="inlineStr">
        <is>
          <t>ข้อ 34 (PLE_CC1_2559.md)</t>
        </is>
      </c>
      <c r="O17" s="2" t="inlineStr">
        <is>
          <t>ข้อสอบจริง</t>
        </is>
      </c>
      <c r="P17" s="2" t="inlineStr">
        <is>
          <t>ปี 2559</t>
        </is>
      </c>
    </row>
    <row r="18" ht="13.2" customHeight="1" s="49">
      <c r="A18" s="8" t="inlineStr">
        <is>
          <t>16</t>
        </is>
      </c>
      <c r="B18" s="2" t="inlineStr">
        <is>
          <t>วัคซีนใดจัดอยู่ในกลุ่มเดียวกับ JE</t>
        </is>
      </c>
      <c r="C18" s="2" t="n"/>
      <c r="D18" s="2" t="inlineStr">
        <is>
          <t>HBV</t>
        </is>
      </c>
      <c r="E18" s="2" t="inlineStr">
        <is>
          <t>IPV</t>
        </is>
      </c>
      <c r="F18" s="2" t="inlineStr">
        <is>
          <t>Hib vaccine</t>
        </is>
      </c>
      <c r="G18" s="2" t="inlineStr">
        <is>
          <t>DT vaccine</t>
        </is>
      </c>
      <c r="H18" s="2" t="inlineStr">
        <is>
          <t>MMR vaccine</t>
        </is>
      </c>
      <c r="I18" s="8" t="inlineStr">
        <is>
          <t>1</t>
        </is>
      </c>
      <c r="J18" s="2"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Recombinant DNA</t>
        </is>
      </c>
      <c r="M18" s="2" t="inlineStr">
        <is>
          <t>Product</t>
        </is>
      </c>
      <c r="N18" s="2" t="inlineStr">
        <is>
          <t>ข้อ 35 (PLE_CC1_2559.md)</t>
        </is>
      </c>
      <c r="O18" s="2" t="inlineStr">
        <is>
          <t>ข้อสอบจริง</t>
        </is>
      </c>
      <c r="P18" s="2" t="inlineStr">
        <is>
          <t>ปี 2559</t>
        </is>
      </c>
    </row>
    <row r="19" ht="13.2" customHeight="1" s="49">
      <c r="A19" s="8" t="inlineStr">
        <is>
          <t>17</t>
        </is>
      </c>
      <c r="B19" s="2" t="inlineStr">
        <is>
          <t>ข้อใดคือผลข้างเคียงของวัคซีนไอกรนในผู้ใหญ่</t>
        </is>
      </c>
      <c r="C19" s="2" t="n"/>
      <c r="D19" s="2" t="inlineStr">
        <is>
          <t>ตับอักเสบ</t>
        </is>
      </c>
      <c r="E19" s="2" t="inlineStr">
        <is>
          <t>ชัก</t>
        </is>
      </c>
      <c r="F19" s="2" t="inlineStr">
        <is>
          <t>ไตวาย</t>
        </is>
      </c>
      <c r="G19" s="2" t="inlineStr">
        <is>
          <t>ปวดศีรษะ</t>
        </is>
      </c>
      <c r="H19" s="2" t="inlineStr">
        <is>
          <t>ภาวะหัวใจล้มเหลว</t>
        </is>
      </c>
      <c r="I19" s="8" t="inlineStr">
        <is>
          <t>1</t>
        </is>
      </c>
      <c r="J19" s="2"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Recombinant DNA</t>
        </is>
      </c>
      <c r="M19" s="2" t="inlineStr">
        <is>
          <t>Product</t>
        </is>
      </c>
      <c r="N19" s="2" t="inlineStr">
        <is>
          <t>ข้อ 36 (PLE_CC1_2559.md)</t>
        </is>
      </c>
      <c r="O19" s="2" t="inlineStr">
        <is>
          <t>ข้อสอบจริง</t>
        </is>
      </c>
      <c r="P19" s="2" t="inlineStr">
        <is>
          <t>ปี 2559</t>
        </is>
      </c>
    </row>
    <row r="20" ht="13.2" customHeight="1" s="49">
      <c r="A20" s="8" t="inlineStr">
        <is>
          <t>18</t>
        </is>
      </c>
      <c r="B20" s="2" t="inlineStr">
        <is>
          <t>วัคซีน OPV ควรเก็บที่ใด</t>
        </is>
      </c>
      <c r="C20" s="2" t="n"/>
      <c r="D20" s="2" t="inlineStr">
        <is>
          <t>Freeze</t>
        </is>
      </c>
      <c r="E20" s="2" t="inlineStr">
        <is>
          <t>Room temperature</t>
        </is>
      </c>
      <c r="F20" s="2" t="inlineStr">
        <is>
          <t>Refrigerator</t>
        </is>
      </c>
      <c r="G20" s="2" t="inlineStr">
        <is>
          <t>Cool</t>
        </is>
      </c>
      <c r="H20" s="2" t="inlineStr">
        <is>
          <t>Warm</t>
        </is>
      </c>
      <c r="I20" s="8" t="inlineStr">
        <is>
          <t>1</t>
        </is>
      </c>
      <c r="J20" s="2"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Recombinant DNA</t>
        </is>
      </c>
      <c r="M20" s="2" t="inlineStr">
        <is>
          <t>Product</t>
        </is>
      </c>
      <c r="N20" s="2" t="inlineStr">
        <is>
          <t>ข้อ 37 (PLE_CC1_2559.md)</t>
        </is>
      </c>
      <c r="O20" s="2" t="inlineStr">
        <is>
          <t>ข้อสอบจริง</t>
        </is>
      </c>
      <c r="P20" s="2" t="inlineStr">
        <is>
          <t>ปี 2559</t>
        </is>
      </c>
    </row>
    <row r="21" ht="13.2" customHeight="1" s="49">
      <c r="A21" s="8" t="inlineStr">
        <is>
          <t>19</t>
        </is>
      </c>
      <c r="B21" s="2" t="inlineStr">
        <is>
          <t>วัคซีนที่มีส่วนผสมของ aluminum เป็น adjuvant สามารถบริหารได้ทางใด</t>
        </is>
      </c>
      <c r="C21" s="2" t="n"/>
      <c r="D21" s="2" t="inlineStr">
        <is>
          <t>IV</t>
        </is>
      </c>
      <c r="E21" s="2" t="inlineStr">
        <is>
          <t>IM</t>
        </is>
      </c>
      <c r="F21" s="2" t="inlineStr">
        <is>
          <t>SC</t>
        </is>
      </c>
      <c r="G21" s="2" t="inlineStr">
        <is>
          <t>ID</t>
        </is>
      </c>
      <c r="H21" s="2" t="inlineStr">
        <is>
          <t>IM + SC</t>
        </is>
      </c>
      <c r="I21" s="8" t="inlineStr">
        <is>
          <t>1</t>
        </is>
      </c>
      <c r="J21" s="2"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Recombinant DNA</t>
        </is>
      </c>
      <c r="M21" s="2" t="inlineStr">
        <is>
          <t>Product</t>
        </is>
      </c>
      <c r="N21" s="2" t="inlineStr">
        <is>
          <t>ข้อ 39 (PLE_CC1_2559.md)</t>
        </is>
      </c>
      <c r="O21" s="2" t="inlineStr">
        <is>
          <t>ข้อสอบจริง</t>
        </is>
      </c>
      <c r="P21" s="2" t="inlineStr">
        <is>
          <t>ปี 2559</t>
        </is>
      </c>
    </row>
    <row r="22" ht="13.2" customHeight="1" s="49">
      <c r="A22" s="8" t="inlineStr">
        <is>
          <t>20</t>
        </is>
      </c>
      <c r="B22" s="2" t="inlineStr">
        <is>
          <t>ตาม EPI เด็กอายุ 6 เดือนต้องได้รับ vaccine ได้บ้าง</t>
        </is>
      </c>
      <c r="C22" s="2" t="n"/>
      <c r="D22" s="2" t="inlineStr">
        <is>
          <t>HBV/dTP/OPV</t>
        </is>
      </c>
      <c r="E22" s="2" t="inlineStr">
        <is>
          <t>MMR/dTP/JE</t>
        </is>
      </c>
      <c r="F22" s="2" t="inlineStr">
        <is>
          <t>BCG/MMR/OPV</t>
        </is>
      </c>
      <c r="G22" s="2" t="inlineStr">
        <is>
          <t>MMR/JE/IPV</t>
        </is>
      </c>
      <c r="H22" s="2" t="inlineStr">
        <is>
          <t>JE/OPV/dTP</t>
        </is>
      </c>
      <c r="I22" s="8" t="inlineStr">
        <is>
          <t>1</t>
        </is>
      </c>
      <c r="J22" s="2"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Recombinant DNA</t>
        </is>
      </c>
      <c r="M22" s="2" t="inlineStr">
        <is>
          <t>Product</t>
        </is>
      </c>
      <c r="N22" s="2" t="inlineStr">
        <is>
          <t>ข้อ 38 (PLE_CC1_2558_Key.md)</t>
        </is>
      </c>
      <c r="O22" s="2" t="inlineStr">
        <is>
          <t>ข้อสอบจริง</t>
        </is>
      </c>
      <c r="P22" s="2" t="inlineStr">
        <is>
          <t>ปี 2558</t>
        </is>
      </c>
    </row>
    <row r="23" ht="13.2" customHeight="1" s="49">
      <c r="A23" s="8" t="inlineStr">
        <is>
          <t>21</t>
        </is>
      </c>
      <c r="B23" s="2" t="inlineStr">
        <is>
          <t>วันนี้ เด็กรายนี้ต้องได้รับวัคซีนหรือไม่</t>
        </is>
      </c>
      <c r="C23" s="2" t="n"/>
      <c r="D23" s="2" t="inlineStr">
        <is>
          <t>ไม่ต้องได้รับ เนื่องจากมีภูมิจากการติดเชื้อ</t>
        </is>
      </c>
      <c r="E23" s="2" t="inlineStr">
        <is>
          <t>ให้เนื่องจาก EPI กำหนด</t>
        </is>
      </c>
      <c r="F23" s="2" t="inlineStr">
        <is>
          <t>ให้เลื่อนการรับวัคซีน ออกไปก่อน</t>
        </is>
      </c>
      <c r="G23" s="2" t="inlineStr">
        <is>
          <t>ให้ เนื่องจากอาการผื่นชัดเจน</t>
        </is>
      </c>
      <c r="H23" s="2" t="inlineStr">
        <is>
          <t>ไม่ให้ เนื่องจากอายุยังไม่ครบตามกำหนด</t>
        </is>
      </c>
      <c r="I23" s="8" t="inlineStr">
        <is>
          <t>1</t>
        </is>
      </c>
      <c r="J23" s="2"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ให้เนื่องจาก EPI กำหนด ไม่ตรงกับข้อบ่งใช้หรือกลไกการออกฤทธิ์ที่ถูกต้องตาม ICH Q5A-Q5E / WHO Guidelines for Biological Products
• ข้อ ค. (ให้เลื่อนการรับวัคซีน ออกไปก่อน): ให้เลื่อนการรับวัคซีน ออกไปก่อน ไม่ตรงกับข้อบ่งใช้หรือกลไกการออกฤทธิ์ที่ถูกต้องตาม ICH Q5A-Q5E / WHO Guidelines for Biological Products
• ข้อ ง. (ให้ เนื่องจากอาการผื่นชัดเจน): ให้ เนื่องจากอาการผื่นชัดเจน ไม่ตรงกับข้อบ่งใช้หรือกลไกการออกฤทธิ์ที่ถูกต้องตาม ICH Q5A-Q5E / WHO Guidelines for Biological Products
• ข้อ จ. (ไม่ให้ เนื่องจากอายุยังไม่ครบตามกำหนด): ไม่ให้ เนื่องจากอายุยังไม่ครบตามกำหนด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Recombinant DNA</t>
        </is>
      </c>
      <c r="M23" s="2" t="inlineStr">
        <is>
          <t>Product</t>
        </is>
      </c>
      <c r="N23" s="2" t="inlineStr">
        <is>
          <t>ข้อ 39 (PLE_CC1_2558_Key.md)</t>
        </is>
      </c>
      <c r="O23" s="2" t="inlineStr">
        <is>
          <t>ข้อสอบจริง</t>
        </is>
      </c>
      <c r="P23" s="2" t="inlineStr">
        <is>
          <t>ปี 2558</t>
        </is>
      </c>
    </row>
    <row r="24" ht="13.2" customHeight="1" s="49">
      <c r="A24" s="8" t="inlineStr">
        <is>
          <t>22</t>
        </is>
      </c>
      <c r="B24" s="2" t="inlineStr">
        <is>
          <t>การผลิตวัคซีนรูปแบบผงแห้งทำอย่างไร</t>
        </is>
      </c>
      <c r="C24" s="2" t="n"/>
      <c r="D24" s="2" t="inlineStr">
        <is>
          <t>Spray dry</t>
        </is>
      </c>
      <c r="E24" s="2" t="inlineStr">
        <is>
          <t>Lyophilized</t>
        </is>
      </c>
      <c r="F24" s="2" t="inlineStr">
        <is>
          <t>Powder sterilization</t>
        </is>
      </c>
      <c r="G24" s="2" t="inlineStr">
        <is>
          <t>Fluid base dryer</t>
        </is>
      </c>
      <c r="H24" s="2" t="inlineStr">
        <is>
          <t>Recombinant technology</t>
        </is>
      </c>
      <c r="I24" s="8" t="inlineStr">
        <is>
          <t>1</t>
        </is>
      </c>
      <c r="J24" s="2"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Lyophilized ไม่ตรงกับข้อบ่งใช้หรือกลไกการออกฤทธิ์ที่ถูกต้องตาม ICH Q5A-Q5E / WHO Guidelines for Biological Products
• ข้อ ค. (Powder sterilization): Powder sterilization ไม่ตรงกับข้อบ่งใช้หรือกลไกการออกฤทธิ์ที่ถูกต้องตาม ICH Q5A-Q5E / WHO Guidelines for Biological Products
• ข้อ ง. (Fluid base dryer): Fluid base dryer ไม่ตรงกับข้อบ่งใช้หรือกลไกการออกฤทธิ์ที่ถูกต้องตาม ICH Q5A-Q5E / WHO Guidelines for Biological Products
• ข้อ จ. (Recombinant technology): Recombinant technology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Recombinant DNA</t>
        </is>
      </c>
      <c r="M24" s="2" t="inlineStr">
        <is>
          <t>Product</t>
        </is>
      </c>
      <c r="N24" s="2" t="inlineStr">
        <is>
          <t>ข้อ 41 (PLE_CC1_2558_Key.md)</t>
        </is>
      </c>
      <c r="O24" s="2" t="inlineStr">
        <is>
          <t>ข้อสอบจริง</t>
        </is>
      </c>
      <c r="P24" s="2" t="inlineStr">
        <is>
          <t>ปี 2558</t>
        </is>
      </c>
    </row>
    <row r="25" ht="13.2" customHeight="1" s="49">
      <c r="A25" s="8" t="inlineStr">
        <is>
          <t>23</t>
        </is>
      </c>
      <c r="B25" s="2" t="inlineStr">
        <is>
          <t>วัคซีนใดไม่อยู่ใน EPI</t>
        </is>
      </c>
      <c r="C25" s="2" t="n"/>
      <c r="D25" s="2" t="inlineStr">
        <is>
          <t>BCG</t>
        </is>
      </c>
      <c r="E25" s="2" t="inlineStr">
        <is>
          <t>PCV</t>
        </is>
      </c>
      <c r="F25" s="2" t="inlineStr">
        <is>
          <t>MMR</t>
        </is>
      </c>
      <c r="G25" s="2" t="inlineStr">
        <is>
          <t>HBV</t>
        </is>
      </c>
      <c r="H25" s="2" t="inlineStr">
        <is>
          <t>OPV</t>
        </is>
      </c>
      <c r="I25" s="8" t="inlineStr">
        <is>
          <t>1</t>
        </is>
      </c>
      <c r="J25"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PCV ไม่ตรงกับข้อบ่งใช้หรือกลไกการออกฤทธิ์ที่ถูกต้องตาม ICH Q5A-Q5E / WHO Guidelines for Biological Products
• ข้อ ค. (MMR): เป็น Live attenuated vaccine รวมหัด-คางทูม-หัดเยอรมัน ให้เข็มที่ 1 ที่อายุ 9-12 เดือน และเข็มที่ 2 ที่ 18 เดือน (contraindication ในหญิงตั้งครรภ์)
• ข้อ ง. (HBV): HBV ไม่ตรงกับข้อบ่งใช้หรือกลไกการออกฤทธิ์ที่ถูกต้องตาม ICH Q5A-Q5E / WHO Guidelines for Biological Products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Recombinant DNA</t>
        </is>
      </c>
      <c r="M25" s="2" t="inlineStr">
        <is>
          <t>Product</t>
        </is>
      </c>
      <c r="N25" s="2" t="inlineStr">
        <is>
          <t>ข้อ 78 (PLE_CC1_2558_Key.md)</t>
        </is>
      </c>
      <c r="O25" s="2" t="inlineStr">
        <is>
          <t>ข้อสอบจริง</t>
        </is>
      </c>
      <c r="P25" s="2" t="inlineStr">
        <is>
          <t>ปี 2558</t>
        </is>
      </c>
    </row>
    <row r="26" ht="13.2" customHeight="1" s="49">
      <c r="A26" s="8" t="inlineStr">
        <is>
          <t>24</t>
        </is>
      </c>
      <c r="B26" s="2" t="inlineStr">
        <is>
          <t>วัคซีนป้องกันพิษสุนัขบ้าจัดเป็นวัคซีนประเภทใด</t>
        </is>
      </c>
      <c r="C26" s="2" t="n"/>
      <c r="D26" s="2" t="inlineStr">
        <is>
          <t>Lived vaccine</t>
        </is>
      </c>
      <c r="E26" s="2" t="inlineStr">
        <is>
          <t>Toxoid</t>
        </is>
      </c>
      <c r="F26" s="2" t="inlineStr">
        <is>
          <t>Adjuvant</t>
        </is>
      </c>
      <c r="G26" s="2" t="inlineStr">
        <is>
          <t>Killed vaccine</t>
        </is>
      </c>
      <c r="H26" s="2" t="inlineStr">
        <is>
          <t>Acellular ห้ามนำไปทำซ้ำทุกกรณี เว้นแต่จะได้รับอนุญาต</t>
        </is>
      </c>
      <c r="I26" s="8" t="inlineStr">
        <is>
          <t>1</t>
        </is>
      </c>
      <c r="J26" s="2"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Toxoid ไม่ตรงกับข้อบ่งใช้หรือกลไกการออกฤทธิ์ที่ถูกต้องตาม ICH Q5A-Q5E / WHO Guidelines for Biological Products
• ข้อ ค. (Adjuvant): Adjuvant ไม่ตรงกับข้อบ่งใช้หรือกลไกการออกฤทธิ์ที่ถูกต้องตาม ICH Q5A-Q5E / WHO Guidelines for Biological Products
• ข้อ ง. (Killed vaccine): Killed vaccine ไม่ตรงกับข้อบ่งใช้หรือกลไกการออกฤทธิ์ที่ถูกต้องตาม ICH Q5A-Q5E / WHO Guidelines for Biological Products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Recombinant DNA</t>
        </is>
      </c>
      <c r="M26" s="2" t="inlineStr">
        <is>
          <t>Product</t>
        </is>
      </c>
      <c r="N26" s="2" t="inlineStr">
        <is>
          <t>ข้อ 79 (PLE_CC1_2558_Key.md)</t>
        </is>
      </c>
      <c r="O26" s="2" t="inlineStr">
        <is>
          <t>ข้อสอบจริง</t>
        </is>
      </c>
      <c r="P26" s="2" t="inlineStr">
        <is>
          <t>ปี 2558</t>
        </is>
      </c>
    </row>
    <row r="27" ht="13.2" customHeight="1" s="49">
      <c r="A27" s="8" t="inlineStr">
        <is>
          <t>25</t>
        </is>
      </c>
      <c r="B27" s="2" t="inlineStr">
        <is>
          <t>วัคซีนในข้อใดจำเป็นน้อยที่สุดในผู้ป่วย COPD</t>
        </is>
      </c>
      <c r="C27" s="2" t="n"/>
      <c r="D27" s="2" t="inlineStr">
        <is>
          <t>COVID-19</t>
        </is>
      </c>
      <c r="E27" s="2" t="inlineStr">
        <is>
          <t>Influenza vaccine</t>
        </is>
      </c>
      <c r="F27" s="2" t="inlineStr">
        <is>
          <t>Tdap</t>
        </is>
      </c>
      <c r="G27" s="2" t="inlineStr">
        <is>
          <t>PCV13</t>
        </is>
      </c>
      <c r="H27" s="2" t="inlineStr">
        <is>
          <t>HAV</t>
        </is>
      </c>
      <c r="I27" s="8" t="inlineStr">
        <is>
          <t>1</t>
        </is>
      </c>
      <c r="J27" s="2"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Tdap ไม่ตรงกับข้อบ่งใช้หรือกลไกการออกฤทธิ์ที่ถูกต้องตาม ICH Q5A-Q5E / WHO Guidelines for Biological Products
• ข้อ ง. (PCV13): PCV13 ไม่ตรงกับข้อบ่งใช้หรือกลไกการออกฤทธิ์ที่ถูกต้องตาม ICH Q5A-Q5E / WHO Guidelines for Biological Products
• ข้อ จ. (HAV): HAV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Recombinant DNA</t>
        </is>
      </c>
      <c r="M27" s="2" t="inlineStr">
        <is>
          <t>Product</t>
        </is>
      </c>
      <c r="N27" s="2" t="inlineStr">
        <is>
          <t>ข้อ 40 (Pharmtutor_2024_Set1.md)</t>
        </is>
      </c>
      <c r="O27" s="2" t="inlineStr">
        <is>
          <t>Mock</t>
        </is>
      </c>
      <c r="P27" s="2" t="inlineStr">
        <is>
          <t>Mock Pharmtutor 2024</t>
        </is>
      </c>
    </row>
    <row r="28" ht="13.2" customHeight="1" s="49">
      <c r="A28" s="8" t="inlineStr">
        <is>
          <t>26</t>
        </is>
      </c>
      <c r="B28" s="2"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2" t="n"/>
      <c r="D28" s="2" t="inlineStr">
        <is>
          <t>Td (Purified diphtheria toxoid 1-2 Lf และ Purified tetanus toxoid 5-10 Lf เข็มเข้ากล้าม</t>
        </is>
      </c>
      <c r="E28" s="2" t="inlineStr">
        <is>
          <t>Td (Purified diphtheria toxoid 1-2 Lf และ Purified tetanus toxoid 5-10 Lf เข็มเข้ากล้าม 3 ครั้งวันที่ 0, 1 เดือน, 6 เดือน</t>
        </is>
      </c>
      <c r="F28" s="2" t="inlineStr">
        <is>
          <t>DT (Purified diphtheria toxoid 25-30 Lf และ Purified tetanus toxoid 5-10 Lf) เข็มเข้ากล้าม</t>
        </is>
      </c>
      <c r="G28" s="2" t="inlineStr">
        <is>
          <t>DT (Purified diphtheria toxoid 25-30 Lf และ Purified tetanus toxoid 5-10 Lf) เข็มเข้ากล้าม 3 ครั้ง วันที่ 0, 1 เดือน, 6 เดือน</t>
        </is>
      </c>
      <c r="H28" s="2" t="inlineStr">
        <is>
          <t>DTw (diphtheria, tetanus toxoids, whole-cell pertussis vaccines) ฉีดเข้ากล้าม วันที่ 0,1 เดือน, 6 เดือน</t>
        </is>
      </c>
      <c r="I28" s="8" t="inlineStr">
        <is>
          <t>1</t>
        </is>
      </c>
      <c r="J28" s="2"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Td (Purified diphtheria toxoid 1-2 Lf และ Purified tetanus toxoid 5-10 Lf เข็มเข้ากล้าม 3 ครั้งวันที่ 0, 1 เดือน, 6 เดือน ไม่ตรงกับข้อบ่งใช้หรือกลไกการออกฤทธิ์ที่ถูกต้องตาม ICH Q5A-Q5E / WHO Guidelines for Biological Products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Recombinant DNA</t>
        </is>
      </c>
      <c r="M28" s="2" t="inlineStr">
        <is>
          <t>Product</t>
        </is>
      </c>
      <c r="N28" s="2" t="inlineStr">
        <is>
          <t>ข้อ 40 (Pharmtutor_2024_Set2.md)</t>
        </is>
      </c>
      <c r="O28" s="2" t="inlineStr">
        <is>
          <t>Mock</t>
        </is>
      </c>
      <c r="P28" s="2" t="inlineStr">
        <is>
          <t>Mock Pharmtutor 2024</t>
        </is>
      </c>
    </row>
    <row r="29" ht="13.2" customHeight="1" s="49">
      <c r="A29" s="8" t="inlineStr">
        <is>
          <t>27</t>
        </is>
      </c>
      <c r="B29" s="2"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2" t="n"/>
      <c r="D29" s="2" t="inlineStr">
        <is>
          <t>TdaP</t>
        </is>
      </c>
      <c r="E29" s="2" t="inlineStr">
        <is>
          <t>IPV</t>
        </is>
      </c>
      <c r="F29" s="2" t="inlineStr">
        <is>
          <t>Influenza Vaccine</t>
        </is>
      </c>
      <c r="G29" s="2" t="inlineStr">
        <is>
          <t>SarCoV2 Vaccine</t>
        </is>
      </c>
      <c r="H29" s="2" t="inlineStr">
        <is>
          <t>Pneumococcal Vaccine</t>
        </is>
      </c>
      <c r="I29" s="8" t="inlineStr">
        <is>
          <t>1</t>
        </is>
      </c>
      <c r="J29" s="2"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SarCoV2 Vaccine ไม่ตรงกับข้อบ่งใช้หรือกลไกการออกฤทธิ์ที่ถูกต้องตาม ICH Q5A-Q5E / WHO Guidelines for Biological Products
• ข้อ จ. (Pneumococcal Vaccine): Pneumococcal Vaccine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Recombinant DNA</t>
        </is>
      </c>
      <c r="M29" s="2" t="inlineStr">
        <is>
          <t>Product</t>
        </is>
      </c>
      <c r="N29" s="2" t="inlineStr">
        <is>
          <t>ข้อ 41 (Pharmtutor_2024_Set2.md)</t>
        </is>
      </c>
      <c r="O29" s="2" t="inlineStr">
        <is>
          <t>Mock</t>
        </is>
      </c>
      <c r="P29" s="2" t="inlineStr">
        <is>
          <t>Mock Pharmtutor 2024</t>
        </is>
      </c>
    </row>
    <row r="30" ht="13.2" customHeight="1" s="49">
      <c r="A30" s="8" t="inlineStr">
        <is>
          <t>28</t>
        </is>
      </c>
      <c r="B30" s="2"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2" t="n"/>
      <c r="D30" s="2" t="inlineStr">
        <is>
          <t>ELISA Immunoassay for protein quantification</t>
        </is>
      </c>
      <c r="E30" s="2" t="inlineStr">
        <is>
          <t>SDS-PAGE Gel Electrophoresis purity analysis</t>
        </is>
      </c>
      <c r="F30" s="2" t="inlineStr">
        <is>
          <t>Isoelectric Focusing (IEF) for charge heterogeneity</t>
        </is>
      </c>
      <c r="G30" s="2" t="inlineStr">
        <is>
          <t>Immunogenicity Neutralizing Antibody Assay</t>
        </is>
      </c>
      <c r="H30" s="2" t="inlineStr">
        <is>
          <t>Polysorbate 20 surfactant to prevent protein aggregation</t>
        </is>
      </c>
      <c r="I30" s="8" t="inlineStr">
        <is>
          <t>1</t>
        </is>
      </c>
      <c r="J30" s="2"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Recombinant DNA</t>
        </is>
      </c>
      <c r="M30" s="2" t="inlineStr">
        <is>
          <t>Product</t>
        </is>
      </c>
      <c r="N30" s="2" t="inlineStr">
        <is>
          <t>ข้อ 23 (PLE_CC1_2557.md)</t>
        </is>
      </c>
      <c r="O30" s="2" t="inlineStr">
        <is>
          <t>ข้อสอบจริง</t>
        </is>
      </c>
      <c r="P30" s="2" t="inlineStr">
        <is>
          <t>ปี 2557</t>
        </is>
      </c>
    </row>
    <row r="31" ht="13.2" customHeight="1" s="49">
      <c r="A31" s="8" t="inlineStr">
        <is>
          <t>29</t>
        </is>
      </c>
      <c r="B31" s="2"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2" t="n"/>
      <c r="D31" s="2" t="inlineStr">
        <is>
          <t>Immunogenicity Neutralizing Antibody Assay</t>
        </is>
      </c>
      <c r="E31" s="2" t="inlineStr">
        <is>
          <t>Polysorbate 20 surfactant to prevent protein aggregation</t>
        </is>
      </c>
      <c r="F31" s="2" t="inlineStr">
        <is>
          <t>Histidine Buffer pH 6.0 formulation stability</t>
        </is>
      </c>
      <c r="G31" s="2" t="inlineStr">
        <is>
          <t>Recombinant DNA Human Insulin in E. coli</t>
        </is>
      </c>
      <c r="H31" s="2" t="inlineStr">
        <is>
          <t>Monoclonal Antibody IgG1 (CHO Cell Expression)</t>
        </is>
      </c>
      <c r="I31" s="8" t="inlineStr">
        <is>
          <t>1</t>
        </is>
      </c>
      <c r="J3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Recombinant DNA</t>
        </is>
      </c>
      <c r="M31" s="2" t="inlineStr">
        <is>
          <t>Product</t>
        </is>
      </c>
      <c r="N31" s="2" t="inlineStr">
        <is>
          <t>ข้อ 82 (PLE_CC1_2557.md)</t>
        </is>
      </c>
      <c r="O31" s="2" t="inlineStr">
        <is>
          <t>ข้อสอบจริง</t>
        </is>
      </c>
      <c r="P31" s="2" t="inlineStr">
        <is>
          <t>ปี 2557</t>
        </is>
      </c>
    </row>
    <row r="32" ht="13.2" customHeight="1" s="49">
      <c r="A32" s="8" t="inlineStr">
        <is>
          <t>30</t>
        </is>
      </c>
      <c r="B32" s="2"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2" t="n"/>
      <c r="D32" s="2" t="inlineStr">
        <is>
          <t>Recombinant DNA Human Insulin in E. coli</t>
        </is>
      </c>
      <c r="E32" s="2" t="inlineStr">
        <is>
          <t>Monoclonal Antibody IgG1 (CHO Cell Expression)</t>
        </is>
      </c>
      <c r="F32" s="2" t="inlineStr">
        <is>
          <t>Polyethylene Glycol (PEG) Conjugation for extended half-life</t>
        </is>
      </c>
      <c r="G32" s="2" t="inlineStr">
        <is>
          <t>Lyophilization (Freeze-drying) with Trehalose Cryoprotectant</t>
        </is>
      </c>
      <c r="H32" s="2" t="inlineStr">
        <is>
          <t>ELISA Immunoassay for protein quantification</t>
        </is>
      </c>
      <c r="I32" s="8" t="inlineStr">
        <is>
          <t>1</t>
        </is>
      </c>
      <c r="J3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Recombinant DNA</t>
        </is>
      </c>
      <c r="M32" s="2" t="inlineStr">
        <is>
          <t>Product</t>
        </is>
      </c>
      <c r="N32" s="2" t="inlineStr">
        <is>
          <t>ข้อ 84 (PLE_CC1_2557.md)</t>
        </is>
      </c>
      <c r="O32" s="2" t="inlineStr">
        <is>
          <t>ข้อสอบจริง</t>
        </is>
      </c>
      <c r="P32" s="2" t="inlineStr">
        <is>
          <t>ปี 2557</t>
        </is>
      </c>
    </row>
    <row r="33" ht="13.2" customHeight="1" s="49">
      <c r="A33" s="8" t="inlineStr">
        <is>
          <t>31</t>
        </is>
      </c>
      <c r="B33" s="2"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2" t="n"/>
      <c r="D33" s="2" t="inlineStr">
        <is>
          <t>Lyophilization (Freeze-drying) with Trehalose Cryoprotectant</t>
        </is>
      </c>
      <c r="E33" s="2" t="inlineStr">
        <is>
          <t>ELISA Immunoassay for protein quantification</t>
        </is>
      </c>
      <c r="F33" s="2" t="inlineStr">
        <is>
          <t>SDS-PAGE Gel Electrophoresis purity analysis</t>
        </is>
      </c>
      <c r="G33" s="2" t="inlineStr">
        <is>
          <t>Isoelectric Focusing (IEF) for charge heterogeneity</t>
        </is>
      </c>
      <c r="H33" s="2" t="inlineStr">
        <is>
          <t>Immunogenicity Neutralizing Antibody Assay</t>
        </is>
      </c>
      <c r="I33" s="8" t="inlineStr">
        <is>
          <t>1</t>
        </is>
      </c>
      <c r="J3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Recombinant DNA</t>
        </is>
      </c>
      <c r="M33" s="2" t="inlineStr">
        <is>
          <t>Product</t>
        </is>
      </c>
      <c r="N33" s="2" t="inlineStr">
        <is>
          <t>ข้อ 85 (PLE_CC1_2557.md)</t>
        </is>
      </c>
      <c r="O33" s="2" t="inlineStr">
        <is>
          <t>ข้อสอบจริง</t>
        </is>
      </c>
      <c r="P33" s="2" t="inlineStr">
        <is>
          <t>ปี 2557</t>
        </is>
      </c>
    </row>
    <row r="34" ht="13.2" customHeight="1" s="49">
      <c r="A34" s="8" t="inlineStr">
        <is>
          <t>32</t>
        </is>
      </c>
      <c r="B34" s="2"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2" t="n"/>
      <c r="D34" s="2" t="inlineStr">
        <is>
          <t>Isoelectric Focusing (IEF) for charge heterogeneity</t>
        </is>
      </c>
      <c r="E34" s="2" t="inlineStr">
        <is>
          <t>Immunogenicity Neutralizing Antibody Assay</t>
        </is>
      </c>
      <c r="F34" s="2" t="inlineStr">
        <is>
          <t>Polysorbate 20 surfactant to prevent protein aggregation</t>
        </is>
      </c>
      <c r="G34" s="2" t="inlineStr">
        <is>
          <t>Histidine Buffer pH 6.0 formulation stability</t>
        </is>
      </c>
      <c r="H34" s="2" t="inlineStr">
        <is>
          <t>Recombinant DNA Human Insulin in E. coli</t>
        </is>
      </c>
      <c r="I34" s="8" t="inlineStr">
        <is>
          <t>1</t>
        </is>
      </c>
      <c r="J3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Recombinant DNA</t>
        </is>
      </c>
      <c r="M34" s="2" t="inlineStr">
        <is>
          <t>Product</t>
        </is>
      </c>
      <c r="N34" s="2" t="inlineStr">
        <is>
          <t>ข้อ 86 (PLE_CC1_2557.md)</t>
        </is>
      </c>
      <c r="O34" s="2" t="inlineStr">
        <is>
          <t>ข้อสอบจริง</t>
        </is>
      </c>
      <c r="P34" s="2" t="inlineStr">
        <is>
          <t>ปี 2557</t>
        </is>
      </c>
    </row>
    <row r="35" ht="13.2" customHeight="1" s="49">
      <c r="A35" s="8" t="inlineStr">
        <is>
          <t>33</t>
        </is>
      </c>
      <c r="B35" s="2"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2" t="n"/>
      <c r="D35" s="2" t="inlineStr">
        <is>
          <t>Histidine Buffer pH 6.0 formulation stability</t>
        </is>
      </c>
      <c r="E35" s="2" t="inlineStr">
        <is>
          <t>Recombinant DNA Human Insulin in E. coli</t>
        </is>
      </c>
      <c r="F35" s="2" t="inlineStr">
        <is>
          <t>Monoclonal Antibody IgG1 (CHO Cell Expression)</t>
        </is>
      </c>
      <c r="G35" s="2" t="inlineStr">
        <is>
          <t>Polyethylene Glycol (PEG) Conjugation for extended half-life</t>
        </is>
      </c>
      <c r="H35" s="2" t="inlineStr">
        <is>
          <t>Lyophilization (Freeze-drying) with Trehalose Cryoprotectant</t>
        </is>
      </c>
      <c r="I35" s="8" t="inlineStr">
        <is>
          <t>1</t>
        </is>
      </c>
      <c r="J3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Recombinant DNA</t>
        </is>
      </c>
      <c r="M35" s="2" t="inlineStr">
        <is>
          <t>Product</t>
        </is>
      </c>
      <c r="N35" s="2" t="inlineStr">
        <is>
          <t>ข้อ 87 (PLE_CC1_2557.md)</t>
        </is>
      </c>
      <c r="O35" s="2" t="inlineStr">
        <is>
          <t>ข้อสอบจริง</t>
        </is>
      </c>
      <c r="P35" s="2" t="inlineStr">
        <is>
          <t>ปี 2557</t>
        </is>
      </c>
    </row>
    <row r="36" ht="13.2" customHeight="1" s="49">
      <c r="A36" s="8" t="inlineStr">
        <is>
          <t>34</t>
        </is>
      </c>
      <c r="B36" s="2" t="inlineStr">
        <is>
          <t>Vaccine ในรูปผงแห้ง ควรมีการจัดเก็บอย่างไร (1) .... จำตัวเลือกไม่ได้ .....</t>
        </is>
      </c>
      <c r="C36" s="2" t="n"/>
      <c r="D36" s="2" t="inlineStr">
        <is>
          <t>Polyethylene Glycol (PEG) Conjugation for extended half-life</t>
        </is>
      </c>
      <c r="E36" s="2" t="inlineStr">
        <is>
          <t>Lyophilization (Freeze-drying) with Trehalose Cryoprotectant</t>
        </is>
      </c>
      <c r="F36" s="2" t="inlineStr">
        <is>
          <t>ELISA Immunoassay for protein quantification</t>
        </is>
      </c>
      <c r="G36" s="2" t="inlineStr">
        <is>
          <t>SDS-PAGE Gel Electrophoresis purity analysis</t>
        </is>
      </c>
      <c r="H36" s="2" t="inlineStr">
        <is>
          <t>Isoelectric Focusing (IEF) for charge heterogeneity</t>
        </is>
      </c>
      <c r="I36" s="8" t="inlineStr">
        <is>
          <t>1</t>
        </is>
      </c>
      <c r="J3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Recombinant DNA</t>
        </is>
      </c>
      <c r="M36" s="2" t="inlineStr">
        <is>
          <t>Product</t>
        </is>
      </c>
      <c r="N36" s="2" t="inlineStr">
        <is>
          <t>ข้อ 88 (PLE_CC1_2557.md)</t>
        </is>
      </c>
      <c r="O36" s="2" t="inlineStr">
        <is>
          <t>ข้อสอบจริง</t>
        </is>
      </c>
      <c r="P36" s="2" t="inlineStr">
        <is>
          <t>ปี 2557</t>
        </is>
      </c>
    </row>
    <row r="37" ht="13.2" customHeight="1" s="49">
      <c r="A37" s="8" t="inlineStr">
        <is>
          <t>35</t>
        </is>
      </c>
      <c r="B37" s="2"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2" t="n"/>
      <c r="D37" s="2" t="inlineStr">
        <is>
          <t>SDS-PAGE Gel Electrophoresis purity analysis</t>
        </is>
      </c>
      <c r="E37" s="2" t="inlineStr">
        <is>
          <t>Isoelectric Focusing (IEF) for charge heterogeneity</t>
        </is>
      </c>
      <c r="F37" s="2" t="inlineStr">
        <is>
          <t>Immunogenicity Neutralizing Antibody Assay</t>
        </is>
      </c>
      <c r="G37" s="2" t="inlineStr">
        <is>
          <t>Polysorbate 20 surfactant to prevent protein aggregation</t>
        </is>
      </c>
      <c r="H37" s="2" t="inlineStr">
        <is>
          <t>Histidine Buffer pH 6.0 formulation stability</t>
        </is>
      </c>
      <c r="I37" s="8" t="inlineStr">
        <is>
          <t>1</t>
        </is>
      </c>
      <c r="J3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Recombinant DNA</t>
        </is>
      </c>
      <c r="M37" s="2" t="inlineStr">
        <is>
          <t>Product</t>
        </is>
      </c>
      <c r="N37" s="2" t="inlineStr">
        <is>
          <t>ข้อ 89 (PLE_CC1_2557.md)</t>
        </is>
      </c>
      <c r="O37" s="2" t="inlineStr">
        <is>
          <t>ข้อสอบจริง</t>
        </is>
      </c>
      <c r="P37" s="2" t="inlineStr">
        <is>
          <t>ปี 2557</t>
        </is>
      </c>
    </row>
    <row r="38" ht="13.2" customHeight="1" s="49">
      <c r="A38" s="8" t="inlineStr">
        <is>
          <t>36</t>
        </is>
      </c>
      <c r="B38" s="2" t="inlineStr">
        <is>
          <t>วัคซีนใดที่ต้องให้ในเด็กแรกเกิด</t>
        </is>
      </c>
      <c r="C38" s="2" t="n"/>
      <c r="D38" s="2" t="inlineStr">
        <is>
          <t>วัคซีนวัณโรค</t>
        </is>
      </c>
      <c r="E38" s="2" t="inlineStr">
        <is>
          <t>วัคซีนไข้หวัดใหญ่</t>
        </is>
      </c>
      <c r="F38" s="2" t="inlineStr">
        <is>
          <t>วัคซีนหัดเยอรมัน หัด คางทูม</t>
        </is>
      </c>
      <c r="G38" s="2" t="inlineStr">
        <is>
          <t>วัคซีนคอตีบ ไอกรน บาดทะยัก</t>
        </is>
      </c>
      <c r="H38" s="2" t="inlineStr">
        <is>
          <t>วัคซีนไวรัสตับอักเสบเอ</t>
        </is>
      </c>
      <c r="I38" s="8" t="inlineStr">
        <is>
          <t>1</t>
        </is>
      </c>
      <c r="J38" s="2"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Recombinant DNA</t>
        </is>
      </c>
      <c r="M38" s="2" t="inlineStr">
        <is>
          <t>Product</t>
        </is>
      </c>
      <c r="N38" s="2" t="inlineStr">
        <is>
          <t>ข้อ 11 (PLE_CC1_2555 Day 1.md)</t>
        </is>
      </c>
      <c r="O38" s="2" t="inlineStr">
        <is>
          <t>ข้อสอบจริง</t>
        </is>
      </c>
      <c r="P38" s="2" t="inlineStr">
        <is>
          <t>ปี 2555</t>
        </is>
      </c>
    </row>
    <row r="39" ht="13.2" customHeight="1" s="49">
      <c r="A39" s="8" t="inlineStr">
        <is>
          <t>37</t>
        </is>
      </c>
      <c r="B39" s="2" t="inlineStr">
        <is>
          <t>วัคซีนใดไม่ได้อยู่ในวัคซีนมาตรฐานที่เด็กไทยต้องได้รับ</t>
        </is>
      </c>
      <c r="C39" s="2" t="n"/>
      <c r="D39" s="2" t="inlineStr">
        <is>
          <t>DTP</t>
        </is>
      </c>
      <c r="E39" s="2" t="inlineStr">
        <is>
          <t>Hep A</t>
        </is>
      </c>
      <c r="F39" s="2" t="inlineStr">
        <is>
          <t>BCG</t>
        </is>
      </c>
      <c r="G39" s="2" t="inlineStr">
        <is>
          <t>MMR</t>
        </is>
      </c>
      <c r="H39" s="2" t="inlineStr">
        <is>
          <t>OPV</t>
        </is>
      </c>
      <c r="I39" s="8" t="inlineStr">
        <is>
          <t>1</t>
        </is>
      </c>
      <c r="J39" s="2"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Recombinant DNA</t>
        </is>
      </c>
      <c r="M39" s="2" t="inlineStr">
        <is>
          <t>Product</t>
        </is>
      </c>
      <c r="N39" s="2" t="inlineStr">
        <is>
          <t>ข้อ 12 (PLE_CC1_2555 Day 1.md)</t>
        </is>
      </c>
      <c r="O39" s="2" t="inlineStr">
        <is>
          <t>ข้อสอบจริง</t>
        </is>
      </c>
      <c r="P39" s="2" t="inlineStr">
        <is>
          <t>ปี 2555</t>
        </is>
      </c>
    </row>
    <row r="40" ht="13.2" customHeight="1" s="49">
      <c r="A40" s="8" t="inlineStr">
        <is>
          <t>38</t>
        </is>
      </c>
      <c r="B40" s="2" t="inlineStr">
        <is>
          <t>หน้าที่ของ adjuvant เช่น alum ใส่ไปในวัคซีนเพื่ออะไร</t>
        </is>
      </c>
      <c r="C40" s="2" t="n"/>
      <c r="D40" s="2" t="inlineStr">
        <is>
          <t>เพิ่มการกระตุ้นภูมิคุ้มกันของวัคซีน</t>
        </is>
      </c>
      <c r="E40" s="2" t="inlineStr">
        <is>
          <t>เพิ่มการดูดซึมของวัคซีน</t>
        </is>
      </c>
      <c r="F40" s="2" t="inlineStr">
        <is>
          <t>เพิ่มความคงตัว</t>
        </is>
      </c>
      <c r="G40" s="2" t="inlineStr">
        <is>
          <t>ลดผลข้างเคียงที่อาจเกิดขึ้นจากวัคซีน</t>
        </is>
      </c>
      <c r="H40" s="2" t="inlineStr">
        <is>
          <t>ลดปริมาณการใช้วัคซีน</t>
        </is>
      </c>
      <c r="I40" s="8" t="inlineStr">
        <is>
          <t>1</t>
        </is>
      </c>
      <c r="J40" s="2"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Recombinant DNA</t>
        </is>
      </c>
      <c r="M40" s="2" t="inlineStr">
        <is>
          <t>Product</t>
        </is>
      </c>
      <c r="N40" s="2" t="inlineStr">
        <is>
          <t>ข้อ 14 (PLE_CC1_2555 Day 1.md)</t>
        </is>
      </c>
      <c r="O40" s="2" t="inlineStr">
        <is>
          <t>ข้อสอบจริง</t>
        </is>
      </c>
      <c r="P40" s="2" t="inlineStr">
        <is>
          <t>ปี 2555</t>
        </is>
      </c>
    </row>
    <row r="41" ht="13.2" customHeight="1" s="49">
      <c r="A41" s="8" t="inlineStr">
        <is>
          <t>39</t>
        </is>
      </c>
      <c r="B41" s="2" t="inlineStr">
        <is>
          <t>การรับวัคซีน DTP แบบ 3 เข็ม ต้องให้ห่างกันกี่เดือน</t>
        </is>
      </c>
      <c r="C41" s="2" t="n"/>
      <c r="D41" s="2" t="inlineStr">
        <is>
          <t>1 เดือน</t>
        </is>
      </c>
      <c r="E41" s="2" t="inlineStr">
        <is>
          <t>2 เดือน</t>
        </is>
      </c>
      <c r="F41" s="2" t="inlineStr">
        <is>
          <t>3 เดือน</t>
        </is>
      </c>
      <c r="G41" s="2" t="inlineStr">
        <is>
          <t>4 เดือน</t>
        </is>
      </c>
      <c r="H41" s="2" t="inlineStr">
        <is>
          <t>6 เดือน คณะเภสัชศาสตร์</t>
        </is>
      </c>
      <c r="I41" s="8" t="inlineStr">
        <is>
          <t>1</t>
        </is>
      </c>
      <c r="J41" s="2"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Recombinant DNA</t>
        </is>
      </c>
      <c r="M41" s="2" t="inlineStr">
        <is>
          <t>Product</t>
        </is>
      </c>
      <c r="N41" s="2" t="inlineStr">
        <is>
          <t>ข้อ 15 (PLE_CC1_2555 Day 1.md)</t>
        </is>
      </c>
      <c r="O41" s="2" t="inlineStr">
        <is>
          <t>ข้อสอบจริง</t>
        </is>
      </c>
      <c r="P41" s="2" t="inlineStr">
        <is>
          <t>ปี 2555</t>
        </is>
      </c>
    </row>
    <row r="42" ht="13.2" customHeight="1" s="49">
      <c r="A42" s="8" t="inlineStr">
        <is>
          <t>40</t>
        </is>
      </c>
      <c r="B42" s="2"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2" t="n"/>
      <c r="D42" s="2" t="inlineStr">
        <is>
          <t>รับวัคซีนก่อนไปเมืองนอก</t>
        </is>
      </c>
      <c r="E42" s="2" t="inlineStr">
        <is>
          <t>เริ่มรับวัคซีนใหม่ตั้งแต่เข็มแรก</t>
        </is>
      </c>
      <c r="F42" s="2" t="inlineStr">
        <is>
          <t>รับวัคซีนหลังจากกลับมาจากเมืองนอก</t>
        </is>
      </c>
      <c r="G42" s="2" t="inlineStr">
        <is>
          <t>.....................</t>
        </is>
      </c>
      <c r="H42" s="2" t="inlineStr">
        <is>
          <t>.....................</t>
        </is>
      </c>
      <c r="I42" s="8" t="inlineStr">
        <is>
          <t>1</t>
        </is>
      </c>
      <c r="J42" s="2"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Recombinant DNA</t>
        </is>
      </c>
      <c r="M42" s="2" t="inlineStr">
        <is>
          <t>Product</t>
        </is>
      </c>
      <c r="N42" s="2" t="inlineStr">
        <is>
          <t>ข้อ 16 (PLE_CC1_2555 Day 1.md)</t>
        </is>
      </c>
      <c r="O42" s="2" t="inlineStr">
        <is>
          <t>ข้อสอบจริง</t>
        </is>
      </c>
      <c r="P42" s="2" t="inlineStr">
        <is>
          <t>ปี 2555</t>
        </is>
      </c>
    </row>
    <row r="43" ht="13.2" customHeight="1" s="49">
      <c r="A43" s="8" t="inlineStr">
        <is>
          <t>41</t>
        </is>
      </c>
      <c r="B43" s="2" t="inlineStr">
        <is>
          <t>ถ้าได้รับวัคซีนจะกระตุ้มภูมิคุ้มกันชนิดใดก่อนเป็นอันดับแรก</t>
        </is>
      </c>
      <c r="C43" s="2" t="n"/>
      <c r="D43" s="2" t="inlineStr">
        <is>
          <t>IgA</t>
        </is>
      </c>
      <c r="E43" s="2" t="inlineStr">
        <is>
          <t>IgD</t>
        </is>
      </c>
      <c r="F43" s="2" t="inlineStr">
        <is>
          <t>IgE</t>
        </is>
      </c>
      <c r="G43" s="2" t="inlineStr">
        <is>
          <t>IgG</t>
        </is>
      </c>
      <c r="H43" s="2" t="inlineStr">
        <is>
          <t>IgM</t>
        </is>
      </c>
      <c r="I43" s="8" t="inlineStr">
        <is>
          <t>1</t>
        </is>
      </c>
      <c r="J43" s="2"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Recombinant DNA</t>
        </is>
      </c>
      <c r="M43" s="2" t="inlineStr">
        <is>
          <t>Product</t>
        </is>
      </c>
      <c r="N43" s="2" t="inlineStr">
        <is>
          <t>ข้อ 17 (PLE_CC1_2555 Day 1.md)</t>
        </is>
      </c>
      <c r="O43" s="2" t="inlineStr">
        <is>
          <t>ข้อสอบจริง</t>
        </is>
      </c>
      <c r="P43" s="2" t="inlineStr">
        <is>
          <t>ปี 2555</t>
        </is>
      </c>
    </row>
    <row r="44" ht="13.2" customHeight="1" s="49">
      <c r="A44" s="8" t="inlineStr">
        <is>
          <t>42</t>
        </is>
      </c>
      <c r="B44" s="2" t="inlineStr">
        <is>
          <t>ลดปัญหาการดื้อยา MCQ 1/2555 by CURx69 page 20 Case 11: Vaccine</t>
        </is>
      </c>
      <c r="C44" s="2" t="n"/>
      <c r="D44" s="2" t="inlineStr">
        <is>
          <t>Isoelectric Focusing (IEF) for charge heterogeneity</t>
        </is>
      </c>
      <c r="E44" s="2" t="inlineStr">
        <is>
          <t>Immunogenicity Neutralizing Antibody Assay</t>
        </is>
      </c>
      <c r="F44" s="2" t="inlineStr">
        <is>
          <t>Polysorbate 20 surfactant to prevent protein aggregation</t>
        </is>
      </c>
      <c r="G44" s="2" t="inlineStr">
        <is>
          <t>Histidine Buffer pH 6.0 formulation stability</t>
        </is>
      </c>
      <c r="H44" s="2" t="inlineStr">
        <is>
          <t>Recombinant DNA Human Insulin in E. coli</t>
        </is>
      </c>
      <c r="I44" s="8" t="inlineStr">
        <is>
          <t>1</t>
        </is>
      </c>
      <c r="J4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Recombinant DNA</t>
        </is>
      </c>
      <c r="M44" s="2" t="inlineStr">
        <is>
          <t>Product</t>
        </is>
      </c>
      <c r="N44" s="2" t="inlineStr">
        <is>
          <t>ข้อ 5 (PLE_CC1_2555 Day 2.md)</t>
        </is>
      </c>
      <c r="O44" s="2" t="inlineStr">
        <is>
          <t>ข้อสอบจริง</t>
        </is>
      </c>
      <c r="P44" s="2" t="inlineStr">
        <is>
          <t>ปี 2555</t>
        </is>
      </c>
    </row>
    <row r="45" ht="13.2" customHeight="1" s="49">
      <c r="A45" s="8" t="inlineStr">
        <is>
          <t>43</t>
        </is>
      </c>
      <c r="B45" s="2" t="inlineStr">
        <is>
          <t>เด็กแรกเกิดต้องฉีดวัคซีนป้องกันโรคอะไร</t>
        </is>
      </c>
      <c r="C45" s="2" t="n"/>
      <c r="D45" s="2" t="inlineStr">
        <is>
          <t>Histidine Buffer pH 6.0 formulation stability</t>
        </is>
      </c>
      <c r="E45" s="2" t="inlineStr">
        <is>
          <t>Recombinant DNA Human Insulin in E. coli</t>
        </is>
      </c>
      <c r="F45" s="2" t="inlineStr">
        <is>
          <t>Monoclonal Antibody IgG1 (CHO Cell Expression)</t>
        </is>
      </c>
      <c r="G45" s="2" t="inlineStr">
        <is>
          <t>Polyethylene Glycol (PEG) Conjugation for extended half-life</t>
        </is>
      </c>
      <c r="H45" s="2" t="inlineStr">
        <is>
          <t>Lyophilization (Freeze-drying) with Trehalose Cryoprotectant</t>
        </is>
      </c>
      <c r="I45" s="8" t="inlineStr">
        <is>
          <t>1</t>
        </is>
      </c>
      <c r="J4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Recombinant DNA</t>
        </is>
      </c>
      <c r="M45" s="2" t="inlineStr">
        <is>
          <t>Product</t>
        </is>
      </c>
      <c r="N45" s="2" t="inlineStr">
        <is>
          <t>ข้อ 1 (PLE_CC1_2555 Day 2.md)</t>
        </is>
      </c>
      <c r="O45" s="2" t="inlineStr">
        <is>
          <t>ข้อสอบจริง</t>
        </is>
      </c>
      <c r="P45" s="2" t="inlineStr">
        <is>
          <t>ปี 2555</t>
        </is>
      </c>
    </row>
    <row r="46" ht="13.2" customHeight="1" s="49">
      <c r="A46" s="8" t="inlineStr">
        <is>
          <t>44</t>
        </is>
      </c>
      <c r="B46" s="2" t="inlineStr">
        <is>
          <t>วัคซีนไข้หวัดใหญ่</t>
        </is>
      </c>
      <c r="C46" s="2" t="n"/>
      <c r="D46" s="2" t="inlineStr">
        <is>
          <t>Polyethylene Glycol (PEG) Conjugation for extended half-life</t>
        </is>
      </c>
      <c r="E46" s="2" t="inlineStr">
        <is>
          <t>Lyophilization (Freeze-drying) with Trehalose Cryoprotectant</t>
        </is>
      </c>
      <c r="F46" s="2" t="inlineStr">
        <is>
          <t>ELISA Immunoassay for protein quantification</t>
        </is>
      </c>
      <c r="G46" s="2" t="inlineStr">
        <is>
          <t>SDS-PAGE Gel Electrophoresis purity analysis</t>
        </is>
      </c>
      <c r="H46" s="2" t="inlineStr">
        <is>
          <t>Isoelectric Focusing (IEF) for charge heterogeneity</t>
        </is>
      </c>
      <c r="I46" s="8" t="inlineStr">
        <is>
          <t>1</t>
        </is>
      </c>
      <c r="J4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Recombinant DNA</t>
        </is>
      </c>
      <c r="M46" s="2" t="inlineStr">
        <is>
          <t>Product</t>
        </is>
      </c>
      <c r="N46" s="2" t="inlineStr">
        <is>
          <t>ข้อ 2 (PLE_CC1_2555 Day 2.md)</t>
        </is>
      </c>
      <c r="O46" s="2" t="inlineStr">
        <is>
          <t>ข้อสอบจริง</t>
        </is>
      </c>
      <c r="P46" s="2" t="inlineStr">
        <is>
          <t>ปี 2555</t>
        </is>
      </c>
    </row>
    <row r="47" ht="13.2" customHeight="1" s="49">
      <c r="A47" s="8" t="inlineStr">
        <is>
          <t>45</t>
        </is>
      </c>
      <c r="B47" s="2" t="inlineStr">
        <is>
          <t>วัคซีนไข้สมองอักเสบ</t>
        </is>
      </c>
      <c r="C47" s="2" t="n"/>
      <c r="D47" s="2" t="inlineStr">
        <is>
          <t>SDS-PAGE Gel Electrophoresis purity analysis</t>
        </is>
      </c>
      <c r="E47" s="2" t="inlineStr">
        <is>
          <t>Isoelectric Focusing (IEF) for charge heterogeneity</t>
        </is>
      </c>
      <c r="F47" s="2" t="inlineStr">
        <is>
          <t>Immunogenicity Neutralizing Antibody Assay</t>
        </is>
      </c>
      <c r="G47" s="2" t="inlineStr">
        <is>
          <t>Polysorbate 20 surfactant to prevent protein aggregation</t>
        </is>
      </c>
      <c r="H47" s="2" t="inlineStr">
        <is>
          <t>Histidine Buffer pH 6.0 formulation stability</t>
        </is>
      </c>
      <c r="I47" s="8" t="inlineStr">
        <is>
          <t>1</t>
        </is>
      </c>
      <c r="J4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Recombinant DNA</t>
        </is>
      </c>
      <c r="M47" s="2" t="inlineStr">
        <is>
          <t>Product</t>
        </is>
      </c>
      <c r="N47" s="2" t="inlineStr">
        <is>
          <t>ข้อ 3 (PLE_CC1_2555 Day 2.md)</t>
        </is>
      </c>
      <c r="O47" s="2" t="inlineStr">
        <is>
          <t>ข้อสอบจริง</t>
        </is>
      </c>
      <c r="P47" s="2" t="inlineStr">
        <is>
          <t>ปี 2555</t>
        </is>
      </c>
    </row>
    <row r="48" ht="13.2" customHeight="1" s="49">
      <c r="A48" s="8" t="inlineStr">
        <is>
          <t>46</t>
        </is>
      </c>
      <c r="B48" s="2" t="inlineStr">
        <is>
          <t>วัคซีนหัด คางทูม หัดเยอรมัน</t>
        </is>
      </c>
      <c r="C48" s="2" t="n"/>
      <c r="D48" s="2" t="inlineStr">
        <is>
          <t>Polysorbate 20 surfactant to prevent protein aggregation</t>
        </is>
      </c>
      <c r="E48" s="2" t="inlineStr">
        <is>
          <t>Histidine Buffer pH 6.0 formulation stability</t>
        </is>
      </c>
      <c r="F48" s="2" t="inlineStr">
        <is>
          <t>Recombinant DNA Human Insulin in E. coli</t>
        </is>
      </c>
      <c r="G48" s="2" t="inlineStr">
        <is>
          <t>Monoclonal Antibody IgG1 (CHO Cell Expression)</t>
        </is>
      </c>
      <c r="H48" s="2" t="inlineStr">
        <is>
          <t>Polyethylene Glycol (PEG) Conjugation for extended half-life</t>
        </is>
      </c>
      <c r="I48" s="8" t="inlineStr">
        <is>
          <t>1</t>
        </is>
      </c>
      <c r="J48" s="2"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Recombinant DNA</t>
        </is>
      </c>
      <c r="M48" s="2" t="inlineStr">
        <is>
          <t>Product</t>
        </is>
      </c>
      <c r="N48" s="2" t="inlineStr">
        <is>
          <t>ข้อ 4 (PLE_CC1_2555 Day 2.md)</t>
        </is>
      </c>
      <c r="O48" s="2" t="inlineStr">
        <is>
          <t>ข้อสอบจริง</t>
        </is>
      </c>
      <c r="P48" s="2" t="inlineStr">
        <is>
          <t>ปี 2555</t>
        </is>
      </c>
    </row>
    <row r="49" ht="13.2" customHeight="1" s="49">
      <c r="A49" s="8" t="inlineStr">
        <is>
          <t>47</t>
        </is>
      </c>
      <c r="B49" s="2" t="inlineStr">
        <is>
          <t>วัคซีนคอตีบ ไอกรน บาดทะยัก</t>
        </is>
      </c>
      <c r="C49" s="2" t="n"/>
      <c r="D49" s="2" t="inlineStr">
        <is>
          <t>Monoclonal Antibody IgG1 (CHO Cell Expression)</t>
        </is>
      </c>
      <c r="E49" s="2" t="inlineStr">
        <is>
          <t>Polyethylene Glycol (PEG) Conjugation for extended half-life</t>
        </is>
      </c>
      <c r="F49" s="2" t="inlineStr">
        <is>
          <t>Lyophilization (Freeze-drying) with Trehalose Cryoprotectant</t>
        </is>
      </c>
      <c r="G49" s="2" t="inlineStr">
        <is>
          <t>ELISA Immunoassay for protein quantification</t>
        </is>
      </c>
      <c r="H49" s="2" t="inlineStr">
        <is>
          <t>SDS-PAGE Gel Electrophoresis purity analysis</t>
        </is>
      </c>
      <c r="I49" s="8" t="inlineStr">
        <is>
          <t>1</t>
        </is>
      </c>
      <c r="J49" s="2"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Recombinant DNA</t>
        </is>
      </c>
      <c r="M49" s="2" t="inlineStr">
        <is>
          <t>Product</t>
        </is>
      </c>
      <c r="N49" s="2" t="inlineStr">
        <is>
          <t>ข้อ 5 (PLE_CC1_2555 Day 2.md)</t>
        </is>
      </c>
      <c r="O49" s="2" t="inlineStr">
        <is>
          <t>ข้อสอบจริง</t>
        </is>
      </c>
      <c r="P49" s="2" t="inlineStr">
        <is>
          <t>ปี 2555</t>
        </is>
      </c>
    </row>
    <row r="50" ht="13.2" customHeight="1" s="49">
      <c r="A50" s="8" t="inlineStr">
        <is>
          <t>48</t>
        </is>
      </c>
      <c r="B50" s="2" t="inlineStr">
        <is>
          <t>วัคซีน DTP ต้องฉีดห่างกันกี่เดือน</t>
        </is>
      </c>
      <c r="C50" s="2" t="n"/>
      <c r="D50" s="2" t="inlineStr">
        <is>
          <t>ELISA Immunoassay for protein quantification</t>
        </is>
      </c>
      <c r="E50" s="2" t="inlineStr">
        <is>
          <t>SDS-PAGE Gel Electrophoresis purity analysis</t>
        </is>
      </c>
      <c r="F50" s="2" t="inlineStr">
        <is>
          <t>Isoelectric Focusing (IEF) for charge heterogeneity</t>
        </is>
      </c>
      <c r="G50" s="2" t="inlineStr">
        <is>
          <t>Immunogenicity Neutralizing Antibody Assay</t>
        </is>
      </c>
      <c r="H50" s="2" t="inlineStr">
        <is>
          <t>Polysorbate 20 surfactant to prevent protein aggregation</t>
        </is>
      </c>
      <c r="I50" s="8" t="inlineStr">
        <is>
          <t>1</t>
        </is>
      </c>
      <c r="J5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Recombinant DNA</t>
        </is>
      </c>
      <c r="M50" s="2" t="inlineStr">
        <is>
          <t>Product</t>
        </is>
      </c>
      <c r="N50" s="2" t="inlineStr">
        <is>
          <t>ข้อ 4 (PLE_CC1_2555 Day 2.md)</t>
        </is>
      </c>
      <c r="O50" s="2" t="inlineStr">
        <is>
          <t>ข้อสอบจริง</t>
        </is>
      </c>
      <c r="P50" s="2" t="inlineStr">
        <is>
          <t>ปี 2555</t>
        </is>
      </c>
    </row>
    <row r="51" ht="13.2" customHeight="1" s="49">
      <c r="A51" s="8" t="inlineStr">
        <is>
          <t>49</t>
        </is>
      </c>
      <c r="B51" s="2" t="inlineStr">
        <is>
          <t>ให้ข้ามวัคซีนเข็มที่ 3 ไปเลยไม่ต้องฉีด</t>
        </is>
      </c>
      <c r="C51" s="2" t="n"/>
      <c r="D51" s="2" t="inlineStr">
        <is>
          <t>Immunogenicity Neutralizing Antibody Assay</t>
        </is>
      </c>
      <c r="E51" s="2" t="inlineStr">
        <is>
          <t>Polysorbate 20 surfactant to prevent protein aggregation</t>
        </is>
      </c>
      <c r="F51" s="2" t="inlineStr">
        <is>
          <t>Histidine Buffer pH 6.0 formulation stability</t>
        </is>
      </c>
      <c r="G51" s="2" t="inlineStr">
        <is>
          <t>Recombinant DNA Human Insulin in E. coli</t>
        </is>
      </c>
      <c r="H51" s="2" t="inlineStr">
        <is>
          <t>Monoclonal Antibody IgG1 (CHO Cell Expression)</t>
        </is>
      </c>
      <c r="I51" s="8" t="inlineStr">
        <is>
          <t>1</t>
        </is>
      </c>
      <c r="J5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Recombinant DNA</t>
        </is>
      </c>
      <c r="M51" s="2" t="inlineStr">
        <is>
          <t>Product</t>
        </is>
      </c>
      <c r="N51" s="2" t="inlineStr">
        <is>
          <t>ข้อ 4 (PLE_CC1_2555 Day 2.md)</t>
        </is>
      </c>
      <c r="O51" s="2" t="inlineStr">
        <is>
          <t>ข้อสอบจริง</t>
        </is>
      </c>
      <c r="P51" s="2" t="inlineStr">
        <is>
          <t>ปี 2555</t>
        </is>
      </c>
    </row>
    <row r="52" ht="13.2" customHeight="1" s="49">
      <c r="A52" s="8" t="inlineStr">
        <is>
          <t>50</t>
        </is>
      </c>
      <c r="B52" s="2" t="inlineStr">
        <is>
          <t>ไม่ต้องฉีดแล้ว เพราะวัคซีน HepB ฉีดแค่สองเข็ม MCQ 1/2555 by CURx69 page 21</t>
        </is>
      </c>
      <c r="C52" s="2" t="n"/>
      <c r="D52" s="2" t="inlineStr">
        <is>
          <t>Recombinant DNA Human Insulin in E. coli</t>
        </is>
      </c>
      <c r="E52" s="2" t="inlineStr">
        <is>
          <t>Monoclonal Antibody IgG1 (CHO Cell Expression)</t>
        </is>
      </c>
      <c r="F52" s="2" t="inlineStr">
        <is>
          <t>Polyethylene Glycol (PEG) Conjugation for extended half-life</t>
        </is>
      </c>
      <c r="G52" s="2" t="inlineStr">
        <is>
          <t>Lyophilization (Freeze-drying) with Trehalose Cryoprotectant</t>
        </is>
      </c>
      <c r="H52" s="2" t="inlineStr">
        <is>
          <t>ELISA Immunoassay for protein quantification</t>
        </is>
      </c>
      <c r="I52" s="8" t="inlineStr">
        <is>
          <t>1</t>
        </is>
      </c>
      <c r="J5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Recombinant DNA</t>
        </is>
      </c>
      <c r="M52" s="2" t="inlineStr">
        <is>
          <t>Product</t>
        </is>
      </c>
      <c r="N52" s="2" t="inlineStr">
        <is>
          <t>ข้อ 5 (PLE_CC1_2555 Day 2.md)</t>
        </is>
      </c>
      <c r="O52" s="2" t="inlineStr">
        <is>
          <t>ข้อสอบจริง</t>
        </is>
      </c>
      <c r="P52" s="2" t="inlineStr">
        <is>
          <t>ปี 2555</t>
        </is>
      </c>
    </row>
    <row r="53" ht="13.2" customHeight="1" s="49">
      <c r="A53" s="8" t="inlineStr">
        <is>
          <t>51</t>
        </is>
      </c>
      <c r="B53" s="2" t="inlineStr">
        <is>
          <t>การทดสอบวัคซีนโดยฉีดเข้าเส้นเลือดที่หูกระต่ายแล้ววัดไข้เรียกว่า</t>
        </is>
      </c>
      <c r="C53" s="2" t="n"/>
      <c r="D53" s="2" t="inlineStr">
        <is>
          <t>Lyophilization (Freeze-drying) with Trehalose Cryoprotectant</t>
        </is>
      </c>
      <c r="E53" s="2" t="inlineStr">
        <is>
          <t>ELISA Immunoassay for protein quantification</t>
        </is>
      </c>
      <c r="F53" s="2" t="inlineStr">
        <is>
          <t>SDS-PAGE Gel Electrophoresis purity analysis</t>
        </is>
      </c>
      <c r="G53" s="2" t="inlineStr">
        <is>
          <t>Isoelectric Focusing (IEF) for charge heterogeneity</t>
        </is>
      </c>
      <c r="H53" s="2" t="inlineStr">
        <is>
          <t>Immunogenicity Neutralizing Antibody Assay</t>
        </is>
      </c>
      <c r="I53" s="8" t="inlineStr">
        <is>
          <t>1</t>
        </is>
      </c>
      <c r="J5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Recombinant DNA</t>
        </is>
      </c>
      <c r="M53" s="2" t="inlineStr">
        <is>
          <t>Product</t>
        </is>
      </c>
      <c r="N53" s="2" t="inlineStr">
        <is>
          <t>ข้อ 6 (PLE_CC1_2555 Day 2.md)</t>
        </is>
      </c>
      <c r="O53" s="2" t="inlineStr">
        <is>
          <t>ข้อสอบจริง</t>
        </is>
      </c>
      <c r="P53" s="2" t="inlineStr">
        <is>
          <t>ปี 2555</t>
        </is>
      </c>
    </row>
    <row r="54" ht="13.2" customHeight="1" s="49">
      <c r="A54" s="8" t="inlineStr">
        <is>
          <t>52</t>
        </is>
      </c>
      <c r="B54" s="2" t="inlineStr">
        <is>
          <t>ใส่ Alum ใน Vaccine เพื่อเป็น Adjuvant มีประโยชน์อย่างไร</t>
        </is>
      </c>
      <c r="C54" s="2" t="n"/>
      <c r="D54" s="2" t="inlineStr">
        <is>
          <t>Isoelectric Focusing (IEF) for charge heterogeneity</t>
        </is>
      </c>
      <c r="E54" s="2" t="inlineStr">
        <is>
          <t>Immunogenicity Neutralizing Antibody Assay</t>
        </is>
      </c>
      <c r="F54" s="2" t="inlineStr">
        <is>
          <t>Polysorbate 20 surfactant to prevent protein aggregation</t>
        </is>
      </c>
      <c r="G54" s="2" t="inlineStr">
        <is>
          <t>Histidine Buffer pH 6.0 formulation stability</t>
        </is>
      </c>
      <c r="H54" s="2" t="inlineStr">
        <is>
          <t>Recombinant DNA Human Insulin in E. coli</t>
        </is>
      </c>
      <c r="I54" s="8" t="inlineStr">
        <is>
          <t>1</t>
        </is>
      </c>
      <c r="J5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Recombinant DNA</t>
        </is>
      </c>
      <c r="M54" s="2" t="inlineStr">
        <is>
          <t>Product</t>
        </is>
      </c>
      <c r="N54" s="2" t="inlineStr">
        <is>
          <t>ข้อ 7 (PLE_CC1_2555 Day 2.md)</t>
        </is>
      </c>
      <c r="O54" s="2" t="inlineStr">
        <is>
          <t>ข้อสอบจริง</t>
        </is>
      </c>
      <c r="P54" s="2" t="inlineStr">
        <is>
          <t>ปี 2555</t>
        </is>
      </c>
    </row>
    <row r="55" ht="13.2" customHeight="1" s="49">
      <c r="A55" s="8" t="inlineStr">
        <is>
          <t>53</t>
        </is>
      </c>
      <c r="B55" s="2" t="inlineStr">
        <is>
          <t>เพิ่มความคงตัวของวัคซีน</t>
        </is>
      </c>
      <c r="C55" s="2" t="n"/>
      <c r="D55" s="2" t="inlineStr">
        <is>
          <t>Histidine Buffer pH 6.0 formulation stability</t>
        </is>
      </c>
      <c r="E55" s="2" t="inlineStr">
        <is>
          <t>Recombinant DNA Human Insulin in E. coli</t>
        </is>
      </c>
      <c r="F55" s="2" t="inlineStr">
        <is>
          <t>Monoclonal Antibody IgG1 (CHO Cell Expression)</t>
        </is>
      </c>
      <c r="G55" s="2" t="inlineStr">
        <is>
          <t>Polyethylene Glycol (PEG) Conjugation for extended half-life</t>
        </is>
      </c>
      <c r="H55" s="2" t="inlineStr">
        <is>
          <t>Lyophilization (Freeze-drying) with Trehalose Cryoprotectant</t>
        </is>
      </c>
      <c r="I55" s="8" t="inlineStr">
        <is>
          <t>1</t>
        </is>
      </c>
      <c r="J5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Recombinant DNA</t>
        </is>
      </c>
      <c r="M55" s="2" t="inlineStr">
        <is>
          <t>Product</t>
        </is>
      </c>
      <c r="N55" s="2" t="inlineStr">
        <is>
          <t>ข้อ 4 (PLE_CC1_2555 Day 2.md)</t>
        </is>
      </c>
      <c r="O55" s="2" t="inlineStr">
        <is>
          <t>ข้อสอบจริง</t>
        </is>
      </c>
      <c r="P55" s="2" t="inlineStr">
        <is>
          <t>ปี 2555</t>
        </is>
      </c>
    </row>
    <row r="56" ht="13.2" customHeight="1" s="49">
      <c r="A56" s="8" t="inlineStr">
        <is>
          <t>54</t>
        </is>
      </c>
      <c r="B56" s="2" t="inlineStr">
        <is>
          <t>ควรใช้วิธีใดในการทำให้วัคซีนประศจากเชื้อ</t>
        </is>
      </c>
      <c r="C56" s="2" t="n"/>
      <c r="D56" s="2" t="inlineStr">
        <is>
          <t>Polyethylene Glycol (PEG) Conjugation for extended half-life</t>
        </is>
      </c>
      <c r="E56" s="2" t="inlineStr">
        <is>
          <t>Lyophilization (Freeze-drying) with Trehalose Cryoprotectant</t>
        </is>
      </c>
      <c r="F56" s="2" t="inlineStr">
        <is>
          <t>ELISA Immunoassay for protein quantification</t>
        </is>
      </c>
      <c r="G56" s="2" t="inlineStr">
        <is>
          <t>SDS-PAGE Gel Electrophoresis purity analysis</t>
        </is>
      </c>
      <c r="H56" s="2" t="inlineStr">
        <is>
          <t>Isoelectric Focusing (IEF) for charge heterogeneity</t>
        </is>
      </c>
      <c r="I56" s="8" t="inlineStr">
        <is>
          <t>1</t>
        </is>
      </c>
      <c r="J5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Recombinant DNA</t>
        </is>
      </c>
      <c r="M56" s="2" t="inlineStr">
        <is>
          <t>Product</t>
        </is>
      </c>
      <c r="N56" s="2" t="inlineStr">
        <is>
          <t>ข้อ 8 (PLE_CC1_2555 Day 2.md)</t>
        </is>
      </c>
      <c r="O56" s="2" t="inlineStr">
        <is>
          <t>ข้อสอบจริง</t>
        </is>
      </c>
      <c r="P56" s="2" t="inlineStr">
        <is>
          <t>ปี 2555</t>
        </is>
      </c>
    </row>
    <row r="57" ht="13.2" customHeight="1" s="49">
      <c r="A57" s="8" t="inlineStr">
        <is>
          <t>55</t>
        </is>
      </c>
      <c r="B57" s="2" t="inlineStr">
        <is>
          <t>วัคซีนใดต้องเก็บในช่องแช่แข็งเพื่อความคงตัวของวัคซีน</t>
        </is>
      </c>
      <c r="C57" s="2" t="n"/>
      <c r="D57" s="2" t="inlineStr">
        <is>
          <t>SDS-PAGE Gel Electrophoresis purity analysis</t>
        </is>
      </c>
      <c r="E57" s="2" t="inlineStr">
        <is>
          <t>Isoelectric Focusing (IEF) for charge heterogeneity</t>
        </is>
      </c>
      <c r="F57" s="2" t="inlineStr">
        <is>
          <t>Immunogenicity Neutralizing Antibody Assay</t>
        </is>
      </c>
      <c r="G57" s="2" t="inlineStr">
        <is>
          <t>Polysorbate 20 surfactant to prevent protein aggregation</t>
        </is>
      </c>
      <c r="H57" s="2" t="inlineStr">
        <is>
          <t>Histidine Buffer pH 6.0 formulation stability</t>
        </is>
      </c>
      <c r="I57" s="8" t="inlineStr">
        <is>
          <t>1</t>
        </is>
      </c>
      <c r="J5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Recombinant DNA</t>
        </is>
      </c>
      <c r="M57" s="2" t="inlineStr">
        <is>
          <t>Product</t>
        </is>
      </c>
      <c r="N57" s="2" t="inlineStr">
        <is>
          <t>ข้อ 9 (PLE_CC1_2555 Day 2.md)</t>
        </is>
      </c>
      <c r="O57" s="2" t="inlineStr">
        <is>
          <t>ข้อสอบจริง</t>
        </is>
      </c>
      <c r="P57" s="2" t="inlineStr">
        <is>
          <t>ปี 2555</t>
        </is>
      </c>
    </row>
    <row r="58" ht="13.2" customHeight="1" s="49">
      <c r="A58" s="8" t="inlineStr">
        <is>
          <t>56</t>
        </is>
      </c>
      <c r="B58" s="2" t="inlineStr">
        <is>
          <t>วัคซีนที่ฉีดเพื่อป้องกันการติดเชื้อวัณโรคในเด็กแรกเกิดและเป็นวัคซีนพื้นฐานของประเทศไทย ข้อใดกล่าว ถูกต้อง</t>
        </is>
      </c>
      <c r="C58" s="2" t="n"/>
      <c r="D58" s="2" t="inlineStr">
        <is>
          <t>BCG เป็นวัคซีนเชื้อเป็น (live attenuated vaccine)</t>
        </is>
      </c>
      <c r="E58" s="2" t="inlineStr">
        <is>
          <t>BCG เป็นวัคซีนชนิด toxoid</t>
        </is>
      </c>
      <c r="F58" s="2" t="inlineStr">
        <is>
          <t>BCG เป็นวัคซีนชนิด subunit vaccine</t>
        </is>
      </c>
      <c r="G58" s="2" t="inlineStr">
        <is>
          <t>Tuberculin เป็นวัคซีนเชื้อเป็น (live attenuated vaccine)</t>
        </is>
      </c>
      <c r="H58" s="2" t="inlineStr">
        <is>
          <t>Tuberculin เป็นวัคซีนชนิด toxoid</t>
        </is>
      </c>
      <c r="I58" s="8" t="inlineStr">
        <is>
          <t>1</t>
        </is>
      </c>
      <c r="J58" s="2"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Recombinant DNA</t>
        </is>
      </c>
      <c r="M58" s="2" t="inlineStr">
        <is>
          <t>Product</t>
        </is>
      </c>
      <c r="N58" s="2" t="inlineStr">
        <is>
          <t>ข้อ 12 (PLE_CC1_Practice_Exam.md)</t>
        </is>
      </c>
      <c r="O58" s="2" t="inlineStr">
        <is>
          <t>Mock</t>
        </is>
      </c>
      <c r="P58" s="2" t="inlineStr">
        <is>
          <t>Mock สภาเภสัชฯ Practice</t>
        </is>
      </c>
    </row>
    <row r="59" ht="13.2" customHeight="1" s="49">
      <c r="A59" s="8" t="inlineStr">
        <is>
          <t>57</t>
        </is>
      </c>
      <c r="B59" s="2" t="inlineStr">
        <is>
          <t>วัคซีนใดไม่ได้จัดอยู่ในระบบ expanded program of immunization of Thailand</t>
        </is>
      </c>
      <c r="C59" s="2" t="n"/>
      <c r="D59" s="2" t="inlineStr">
        <is>
          <t>BCG</t>
        </is>
      </c>
      <c r="E59" s="2" t="inlineStr">
        <is>
          <t>OPV</t>
        </is>
      </c>
      <c r="F59" s="2" t="inlineStr">
        <is>
          <t>DTwP</t>
        </is>
      </c>
      <c r="G59" s="2" t="inlineStr">
        <is>
          <t>MMR</t>
        </is>
      </c>
      <c r="H59" s="2" t="inlineStr">
        <is>
          <t>IPV</t>
        </is>
      </c>
      <c r="I59" s="8" t="inlineStr">
        <is>
          <t>1</t>
        </is>
      </c>
      <c r="J59"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Recombinant DNA</t>
        </is>
      </c>
      <c r="M59" s="2" t="inlineStr">
        <is>
          <t>Product</t>
        </is>
      </c>
      <c r="N59" s="2" t="inlineStr">
        <is>
          <t>ข้อ 31 (PLE_CC1_Practice_Exam.md)</t>
        </is>
      </c>
      <c r="O59" s="2" t="inlineStr">
        <is>
          <t>Mock</t>
        </is>
      </c>
      <c r="P59" s="2" t="inlineStr">
        <is>
          <t>Mock สภาเภสัชฯ Practice</t>
        </is>
      </c>
    </row>
    <row r="60" ht="13.2" customHeight="1" s="49">
      <c r="A60" s="8" t="inlineStr">
        <is>
          <t>58</t>
        </is>
      </c>
      <c r="B60" s="2" t="inlineStr">
        <is>
          <t>ข้อใดถูกต้องเกี่ยวกับข้อควรทราบก่อนให้วัคซีน</t>
        </is>
      </c>
      <c r="C60" s="2" t="n"/>
      <c r="D60" s="2" t="inlineStr">
        <is>
          <t>ไม่ให้วัคซีนเชื้อเป็นในหญิงตั้งครรภ์</t>
        </is>
      </c>
      <c r="E60" s="2" t="inlineStr">
        <is>
          <t>Dose ของวัคซีนขึ้นกับน้ำหนัก</t>
        </is>
      </c>
      <c r="F60" s="2" t="inlineStr">
        <is>
          <t>ส่วนประกอบในวัคซีนมีผลน้อยมากต่อการพิจารณาในการให้วัคซีน</t>
        </is>
      </c>
      <c r="G60" s="2" t="inlineStr">
        <is>
          <t>เด็กที่เคยชักจากไข้สูง สามารถให้วัคซีนได้ตามปกติ</t>
        </is>
      </c>
      <c r="H60" s="2" t="inlineStr">
        <is>
          <t>ในผู้ป่วยที่มีภูมิคุ้มกันบกพร่องควรให้วัคซีนเชื้อเป็นเพราะสามารถกระตุ้นภูมิคุ้มกัืนได้ดี</t>
        </is>
      </c>
      <c r="I60" s="8" t="inlineStr">
        <is>
          <t>1</t>
        </is>
      </c>
      <c r="J60" s="2"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Recombinant DNA</t>
        </is>
      </c>
      <c r="M60" s="2" t="inlineStr">
        <is>
          <t>Product</t>
        </is>
      </c>
      <c r="N60" s="2" t="inlineStr">
        <is>
          <t>ข้อ 32 (PLE_CC1_Practice_Exam.md)</t>
        </is>
      </c>
      <c r="O60" s="2" t="inlineStr">
        <is>
          <t>Mock</t>
        </is>
      </c>
      <c r="P60" s="2" t="inlineStr">
        <is>
          <t>Mock สภาเภสัชฯ Practice</t>
        </is>
      </c>
    </row>
    <row r="61" ht="13.2" customHeight="1" s="49">
      <c r="A61" s="8" t="inlineStr">
        <is>
          <t>59</t>
        </is>
      </c>
      <c r="B61" s="2" t="inlineStr">
        <is>
          <t>ข้อใดต่อไปนี้ไม่ใช่ Adverse event following immunization (AEFI) หรือภาวะผิดปกติที่เกิดขึ้นจาก การฉีดวัคซีน</t>
        </is>
      </c>
      <c r="C61" s="2" t="n"/>
      <c r="D61" s="2" t="inlineStr">
        <is>
          <t>Programmatic error</t>
        </is>
      </c>
      <c r="E61" s="2" t="inlineStr">
        <is>
          <t>Vaccine reaction</t>
        </is>
      </c>
      <c r="F61" s="2" t="inlineStr">
        <is>
          <t>Coincidental events</t>
        </is>
      </c>
      <c r="G61" s="2" t="inlineStr">
        <is>
          <t>Injection reaction 237 โรคระบบภูมิคุ้มกัน นักศึกษาเภสัชศาสตร์ชั้นปีที่ 4 รุ่นที่ 22</t>
        </is>
      </c>
      <c r="H61" s="2" t="inlineStr">
        <is>
          <t>Resistant reaction</t>
        </is>
      </c>
      <c r="I61" s="8" t="inlineStr">
        <is>
          <t>1</t>
        </is>
      </c>
      <c r="J61" s="2"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 ข้อ จ. (Resistant reaction): Resistant reaction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Recombinant DNA</t>
        </is>
      </c>
      <c r="M61" s="2" t="inlineStr">
        <is>
          <t>Product</t>
        </is>
      </c>
      <c r="N61" s="2" t="inlineStr">
        <is>
          <t>ข้อ 37 (PLE_CC1_Practice_Exam.md)</t>
        </is>
      </c>
      <c r="O61" s="2" t="inlineStr">
        <is>
          <t>Mock</t>
        </is>
      </c>
      <c r="P61" s="2" t="inlineStr">
        <is>
          <t>Mock สภาเภสัชฯ Practice</t>
        </is>
      </c>
    </row>
    <row r="62" ht="13.2" customHeight="1" s="49">
      <c r="A62" s="8" t="inlineStr">
        <is>
          <t>60</t>
        </is>
      </c>
      <c r="B62" s="2"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2" t="n"/>
      <c r="D62" s="2" t="inlineStr">
        <is>
          <t>นางปอยฝ้ายไม่สามารถรับการฉีดวัคซีนได้ เนื่องจากจะเกิดอันตรายต่อทารกในครรภ์</t>
        </is>
      </c>
      <c r="E62" s="2" t="inlineStr">
        <is>
          <t>นางปอยฝ้ายต้องรับการฉีดวัคซีน 3 คั้ง โดยจะฉีดเดือนที่ 1,2,6</t>
        </is>
      </c>
      <c r="F62" s="2" t="inlineStr">
        <is>
          <t>นางปอยฝ้ายควรได้รีบการฉีดวัคซีน 3 ครั้ง โดยจะฉีดเดือนที่ 0,1,7</t>
        </is>
      </c>
      <c r="G62" s="2" t="inlineStr">
        <is>
          <t>นางปอยฝ้ายควรได้รับการฉีดวัคซีน 1 ครั้ง ระหว่างตั้งครรภ์</t>
        </is>
      </c>
      <c r="H62" s="2" t="inlineStr">
        <is>
          <t>นางปอยฝ้ายควรได้รับการฉีดวัคซีน 2 ครั้ง หลังตั้งครรภ์ทันที 1 เข็มและเข็มที่ 2 ห่างจากเข็มแรก 1 เดือน</t>
        </is>
      </c>
      <c r="I62" s="8" t="inlineStr">
        <is>
          <t>1</t>
        </is>
      </c>
      <c r="J62" s="2"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Recombinant DNA</t>
        </is>
      </c>
      <c r="M62" s="2" t="inlineStr">
        <is>
          <t>Product</t>
        </is>
      </c>
      <c r="N62" s="2" t="inlineStr">
        <is>
          <t>ข้อ 38 (PLE_CC1_Practice_Exam.md)</t>
        </is>
      </c>
      <c r="O62" s="2" t="inlineStr">
        <is>
          <t>Mock</t>
        </is>
      </c>
      <c r="P62" s="2" t="inlineStr">
        <is>
          <t>Mock สภาเภสัชฯ Practice</t>
        </is>
      </c>
    </row>
    <row r="63" ht="13.2" customHeight="1" s="49">
      <c r="A63" s="8" t="inlineStr">
        <is>
          <t>61</t>
        </is>
      </c>
      <c r="B63" s="2"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2" t="n"/>
      <c r="D63" s="2" t="inlineStr">
        <is>
          <t>ฉีด HBV , ได้รับวัคซีนไวรัสตับอักเสบบีในเดือน 0-1-6</t>
        </is>
      </c>
      <c r="E63" s="2" t="inlineStr">
        <is>
          <t>ฉีด HBIG , ได้รับวัคซีนไวรัสตับอักเสบบีในเดือน 0-1-6</t>
        </is>
      </c>
      <c r="F63" s="2" t="inlineStr">
        <is>
          <t>ฉีด HBIG , ได้รับวัคซีนไวรัสตับอักเสบบีในเดือน 0-3-6</t>
        </is>
      </c>
      <c r="G63" s="2" t="inlineStr">
        <is>
          <t>ฉีด DTP-HB , ได้รับวัคซีนไวรัสตับอักเสบบีในเดือน 0-1-6</t>
        </is>
      </c>
      <c r="H63" s="2" t="inlineStr">
        <is>
          <t>ฉีด DTP-HBIG , ได้รับวัคซีนไวรัสตับอักเสบบีในเดือน 0-3-6 สถานการณ์ที่2 จากวัคซีนที่เลือกในข้อแรก เป็นวัคซีนเชื้อชนิดใด</t>
        </is>
      </c>
      <c r="I63" s="8" t="inlineStr">
        <is>
          <t>3</t>
        </is>
      </c>
      <c r="J63" s="2"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Recombinant DNA</t>
        </is>
      </c>
      <c r="M63" s="2" t="inlineStr">
        <is>
          <t>Product</t>
        </is>
      </c>
      <c r="N63" s="2" t="inlineStr">
        <is>
          <t>ข้อ 39 (PLE_CC1_Practice_Exam.md)</t>
        </is>
      </c>
      <c r="O63" s="2" t="inlineStr">
        <is>
          <t>Mock</t>
        </is>
      </c>
      <c r="P63" s="2" t="inlineStr">
        <is>
          <t>Mock สภาเภสัชฯ Practice</t>
        </is>
      </c>
    </row>
    <row r="64" ht="13.2" customHeight="1" s="49">
      <c r="A64" s="8" t="inlineStr">
        <is>
          <t>62</t>
        </is>
      </c>
      <c r="B64" s="2"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2" t="n"/>
      <c r="D64" s="2" t="inlineStr">
        <is>
          <t>Isoelectric Focusing (IEF) for charge heterogeneity</t>
        </is>
      </c>
      <c r="E64" s="2" t="inlineStr">
        <is>
          <t>Immunogenicity Neutralizing Antibody Assay</t>
        </is>
      </c>
      <c r="F64" s="2" t="inlineStr">
        <is>
          <t>Polysorbate 20 surfactant to prevent protein aggregation</t>
        </is>
      </c>
      <c r="G64" s="2" t="inlineStr">
        <is>
          <t>Histidine Buffer pH 6.0 formulation stability</t>
        </is>
      </c>
      <c r="H64" s="2" t="inlineStr">
        <is>
          <t>Recombinant DNA Human Insulin in E. coli</t>
        </is>
      </c>
      <c r="I64" s="8" t="inlineStr">
        <is>
          <t>1</t>
        </is>
      </c>
      <c r="J6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Recombinant DNA</t>
        </is>
      </c>
      <c r="M64" s="2" t="inlineStr">
        <is>
          <t>Product</t>
        </is>
      </c>
      <c r="N64" s="2" t="inlineStr">
        <is>
          <t>ข้อ 36 (PLE_CC1_Practice_Exam.md)</t>
        </is>
      </c>
      <c r="O64" s="2" t="inlineStr">
        <is>
          <t>Mock</t>
        </is>
      </c>
      <c r="P64" s="2" t="inlineStr">
        <is>
          <t>Mock สภาเภสัชฯ Practice</t>
        </is>
      </c>
    </row>
    <row r="65" ht="13.2" customHeight="1" s="49">
      <c r="A65" s="8" t="inlineStr">
        <is>
          <t>63</t>
        </is>
      </c>
      <c r="B65" s="2"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2" t="n"/>
      <c r="D65" s="2" t="inlineStr">
        <is>
          <t>Histidine Buffer pH 6.0 formulation stability</t>
        </is>
      </c>
      <c r="E65" s="2" t="inlineStr">
        <is>
          <t>Recombinant DNA Human Insulin in E. coli</t>
        </is>
      </c>
      <c r="F65" s="2" t="inlineStr">
        <is>
          <t>Monoclonal Antibody IgG1 (CHO Cell Expression)</t>
        </is>
      </c>
      <c r="G65" s="2" t="inlineStr">
        <is>
          <t>Polyethylene Glycol (PEG) Conjugation for extended half-life</t>
        </is>
      </c>
      <c r="H65" s="2" t="inlineStr">
        <is>
          <t>Lyophilization (Freeze-drying) with Trehalose Cryoprotectant</t>
        </is>
      </c>
      <c r="I65" s="8" t="inlineStr">
        <is>
          <t>5</t>
        </is>
      </c>
      <c r="J65" s="2"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Recombinant DNA</t>
        </is>
      </c>
      <c r="M65" s="2" t="inlineStr">
        <is>
          <t>Product</t>
        </is>
      </c>
      <c r="N65" s="2" t="inlineStr">
        <is>
          <t>ข้อ 37 (PLE_CC1_Practice_Exam.md)</t>
        </is>
      </c>
      <c r="O65" s="2" t="inlineStr">
        <is>
          <t>Mock</t>
        </is>
      </c>
      <c r="P65" s="2" t="inlineStr">
        <is>
          <t>Mock สภาเภสัชฯ Practice</t>
        </is>
      </c>
    </row>
    <row r="66" ht="13.2" customHeight="1" s="49">
      <c r="A66" s="8" t="inlineStr">
        <is>
          <t>64</t>
        </is>
      </c>
      <c r="B66" s="2"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2" t="n"/>
      <c r="D66" s="2" t="inlineStr">
        <is>
          <t>Polyethylene Glycol (PEG) Conjugation for extended half-life</t>
        </is>
      </c>
      <c r="E66" s="2" t="inlineStr">
        <is>
          <t>Lyophilization (Freeze-drying) with Trehalose Cryoprotectant</t>
        </is>
      </c>
      <c r="F66" s="2" t="inlineStr">
        <is>
          <t>ELISA Immunoassay for protein quantification</t>
        </is>
      </c>
      <c r="G66" s="2" t="inlineStr">
        <is>
          <t>SDS-PAGE Gel Electrophoresis purity analysis</t>
        </is>
      </c>
      <c r="H66" s="2" t="inlineStr">
        <is>
          <t>Isoelectric Focusing (IEF) for charge heterogeneity</t>
        </is>
      </c>
      <c r="I66" s="8" t="inlineStr">
        <is>
          <t>3</t>
        </is>
      </c>
      <c r="J66" s="2"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Recombinant DNA</t>
        </is>
      </c>
      <c r="M66" s="2" t="inlineStr">
        <is>
          <t>Product</t>
        </is>
      </c>
      <c r="N66" s="2" t="inlineStr">
        <is>
          <t>ข้อ 38 (PLE_CC1_Practice_Exam.md)</t>
        </is>
      </c>
      <c r="O66" s="2" t="inlineStr">
        <is>
          <t>Mock</t>
        </is>
      </c>
      <c r="P66" s="2" t="inlineStr">
        <is>
          <t>Mock สภาเภสัชฯ Practice</t>
        </is>
      </c>
    </row>
    <row r="67" ht="13.2" customHeight="1" s="49">
      <c r="A67" s="8" t="inlineStr">
        <is>
          <t>65</t>
        </is>
      </c>
      <c r="B67" s="2" t="inlineStr">
        <is>
          <t>ลดปัญหาการดื้อยา เรื่องที่ 11 Vaccine</t>
        </is>
      </c>
      <c r="C67" s="2" t="n"/>
      <c r="D67" s="2" t="inlineStr">
        <is>
          <t>SDS-PAGE Gel Electrophoresis purity analysis</t>
        </is>
      </c>
      <c r="E67" s="2" t="inlineStr">
        <is>
          <t>Isoelectric Focusing (IEF) for charge heterogeneity</t>
        </is>
      </c>
      <c r="F67" s="2" t="inlineStr">
        <is>
          <t>Immunogenicity Neutralizing Antibody Assay</t>
        </is>
      </c>
      <c r="G67" s="2" t="inlineStr">
        <is>
          <t>Polysorbate 20 surfactant to prevent protein aggregation</t>
        </is>
      </c>
      <c r="H67" s="2" t="inlineStr">
        <is>
          <t>Histidine Buffer pH 6.0 formulation stability</t>
        </is>
      </c>
      <c r="I67" s="8" t="inlineStr">
        <is>
          <t>1</t>
        </is>
      </c>
      <c r="J6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Recombinant DNA</t>
        </is>
      </c>
      <c r="M67" s="2" t="inlineStr">
        <is>
          <t>Product</t>
        </is>
      </c>
      <c r="N67" s="2" t="inlineStr">
        <is>
          <t>ข้อ 5 (PLE_CC1_Key_Rx20_UBU.md)</t>
        </is>
      </c>
      <c r="O67" s="2" t="inlineStr">
        <is>
          <t>Mock</t>
        </is>
      </c>
      <c r="P67" s="2" t="inlineStr">
        <is>
          <t>Mock Rx20 UBU</t>
        </is>
      </c>
    </row>
    <row r="68" ht="13.2" customHeight="1" s="49">
      <c r="A68" s="8" t="inlineStr">
        <is>
          <t>66</t>
        </is>
      </c>
      <c r="B68" s="2" t="inlineStr">
        <is>
          <t>เด็กแรกเกิดต้องฉีดวัคซีนป้องกันโรคอะไร</t>
        </is>
      </c>
      <c r="C68" s="2" t="n"/>
      <c r="D68" s="2" t="inlineStr">
        <is>
          <t>Polysorbate 20 surfactant to prevent protein aggregation</t>
        </is>
      </c>
      <c r="E68" s="2" t="inlineStr">
        <is>
          <t>Histidine Buffer pH 6.0 formulation stability</t>
        </is>
      </c>
      <c r="F68" s="2" t="inlineStr">
        <is>
          <t>Recombinant DNA Human Insulin in E. coli</t>
        </is>
      </c>
      <c r="G68" s="2" t="inlineStr">
        <is>
          <t>Monoclonal Antibody IgG1 (CHO Cell Expression)</t>
        </is>
      </c>
      <c r="H68" s="2" t="inlineStr">
        <is>
          <t>Polyethylene Glycol (PEG) Conjugation for extended half-life</t>
        </is>
      </c>
      <c r="I68" s="8" t="inlineStr">
        <is>
          <t>1</t>
        </is>
      </c>
      <c r="J6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Recombinant DNA</t>
        </is>
      </c>
      <c r="M68" s="2" t="inlineStr">
        <is>
          <t>Product</t>
        </is>
      </c>
      <c r="N68" s="2" t="inlineStr">
        <is>
          <t>ข้อ 1 (PLE_CC1_Key_Rx20_UBU.md)</t>
        </is>
      </c>
      <c r="O68" s="2" t="inlineStr">
        <is>
          <t>Mock</t>
        </is>
      </c>
      <c r="P68" s="2" t="inlineStr">
        <is>
          <t>Mock Rx20 UBU</t>
        </is>
      </c>
    </row>
    <row r="69" ht="13.2" customHeight="1" s="49">
      <c r="A69" s="8" t="inlineStr">
        <is>
          <t>67</t>
        </is>
      </c>
      <c r="B69" s="2" t="inlineStr">
        <is>
          <t>วัคซีน DTP ต้องฉีดห่างกันกี่เดือน</t>
        </is>
      </c>
      <c r="C69" s="2" t="n"/>
      <c r="D69" s="2" t="inlineStr">
        <is>
          <t>Monoclonal Antibody IgG1 (CHO Cell Expression)</t>
        </is>
      </c>
      <c r="E69" s="2" t="inlineStr">
        <is>
          <t>Polyethylene Glycol (PEG) Conjugation for extended half-life</t>
        </is>
      </c>
      <c r="F69" s="2" t="inlineStr">
        <is>
          <t>Lyophilization (Freeze-drying) with Trehalose Cryoprotectant</t>
        </is>
      </c>
      <c r="G69" s="2" t="inlineStr">
        <is>
          <t>ELISA Immunoassay for protein quantification</t>
        </is>
      </c>
      <c r="H69" s="2" t="inlineStr">
        <is>
          <t>SDS-PAGE Gel Electrophoresis purity analysis</t>
        </is>
      </c>
      <c r="I69" s="8" t="inlineStr">
        <is>
          <t>1</t>
        </is>
      </c>
      <c r="J6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Recombinant DNA</t>
        </is>
      </c>
      <c r="M69" s="2" t="inlineStr">
        <is>
          <t>Product</t>
        </is>
      </c>
      <c r="N69" s="2" t="inlineStr">
        <is>
          <t>ข้อ 4 (PLE_CC1_Key_Rx20_UBU.md)</t>
        </is>
      </c>
      <c r="O69" s="2" t="inlineStr">
        <is>
          <t>Mock</t>
        </is>
      </c>
      <c r="P69" s="2" t="inlineStr">
        <is>
          <t>Mock Rx20 UBU</t>
        </is>
      </c>
    </row>
    <row r="70" ht="13.2" customHeight="1" s="49">
      <c r="A70" s="8" t="inlineStr">
        <is>
          <t>68</t>
        </is>
      </c>
      <c r="B70" s="2"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2" t="n"/>
      <c r="D70" s="2" t="inlineStr">
        <is>
          <t>ELISA Immunoassay for protein quantification</t>
        </is>
      </c>
      <c r="E70" s="2" t="inlineStr">
        <is>
          <t>SDS-PAGE Gel Electrophoresis purity analysis</t>
        </is>
      </c>
      <c r="F70" s="2" t="inlineStr">
        <is>
          <t>Isoelectric Focusing (IEF) for charge heterogeneity</t>
        </is>
      </c>
      <c r="G70" s="2" t="inlineStr">
        <is>
          <t>Immunogenicity Neutralizing Antibody Assay</t>
        </is>
      </c>
      <c r="H70" s="2" t="inlineStr">
        <is>
          <t>Polysorbate 20 surfactant to prevent protein aggregation</t>
        </is>
      </c>
      <c r="I70" s="8" t="inlineStr">
        <is>
          <t>1</t>
        </is>
      </c>
      <c r="J7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Recombinant DNA</t>
        </is>
      </c>
      <c r="M70" s="2" t="inlineStr">
        <is>
          <t>Product</t>
        </is>
      </c>
      <c r="N70" s="2" t="inlineStr">
        <is>
          <t>ข้อ 5 (PLE_CC1_Key_Rx20_UBU.md)</t>
        </is>
      </c>
      <c r="O70" s="2" t="inlineStr">
        <is>
          <t>Mock</t>
        </is>
      </c>
      <c r="P70" s="2" t="inlineStr">
        <is>
          <t>Mock Rx20 UBU</t>
        </is>
      </c>
    </row>
    <row r="71" ht="13.2" customHeight="1" s="49">
      <c r="A71" s="8" t="inlineStr">
        <is>
          <t>69</t>
        </is>
      </c>
      <c r="B71" s="2" t="inlineStr">
        <is>
          <t>ใส่ Alum ใน Vaccine เพื่อเป็น Adjuvant มีประโยชน์อย่างไร</t>
        </is>
      </c>
      <c r="C71" s="2" t="n"/>
      <c r="D71" s="2" t="inlineStr">
        <is>
          <t>Immunogenicity Neutralizing Antibody Assay</t>
        </is>
      </c>
      <c r="E71" s="2" t="inlineStr">
        <is>
          <t>Polysorbate 20 surfactant to prevent protein aggregation</t>
        </is>
      </c>
      <c r="F71" s="2" t="inlineStr">
        <is>
          <t>Histidine Buffer pH 6.0 formulation stability</t>
        </is>
      </c>
      <c r="G71" s="2" t="inlineStr">
        <is>
          <t>Recombinant DNA Human Insulin in E. coli</t>
        </is>
      </c>
      <c r="H71" s="2" t="inlineStr">
        <is>
          <t>Monoclonal Antibody IgG1 (CHO Cell Expression)</t>
        </is>
      </c>
      <c r="I71" s="8" t="inlineStr">
        <is>
          <t>1</t>
        </is>
      </c>
      <c r="J7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Recombinant DNA</t>
        </is>
      </c>
      <c r="M71" s="2" t="inlineStr">
        <is>
          <t>Product</t>
        </is>
      </c>
      <c r="N71" s="2" t="inlineStr">
        <is>
          <t>ข้อ 7 (PLE_CC1_Key_Rx20_UBU.md)</t>
        </is>
      </c>
      <c r="O71" s="2" t="inlineStr">
        <is>
          <t>Mock</t>
        </is>
      </c>
      <c r="P71" s="2" t="inlineStr">
        <is>
          <t>Mock Rx20 UBU</t>
        </is>
      </c>
    </row>
    <row r="72" ht="13.2" customHeight="1" s="49">
      <c r="A72" s="8" t="inlineStr">
        <is>
          <t>70</t>
        </is>
      </c>
      <c r="B72" s="2"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2" t="n"/>
      <c r="D72" s="2" t="inlineStr">
        <is>
          <t>Recombinant DNA Human Insulin in E. coli</t>
        </is>
      </c>
      <c r="E72" s="2" t="inlineStr">
        <is>
          <t>Monoclonal Antibody IgG1 (CHO Cell Expression)</t>
        </is>
      </c>
      <c r="F72" s="2" t="inlineStr">
        <is>
          <t>Polyethylene Glycol (PEG) Conjugation for extended half-life</t>
        </is>
      </c>
      <c r="G72" s="2" t="inlineStr">
        <is>
          <t>Lyophilization (Freeze-drying) with Trehalose Cryoprotectant</t>
        </is>
      </c>
      <c r="H72" s="2" t="inlineStr">
        <is>
          <t>ELISA Immunoassay for protein quantification</t>
        </is>
      </c>
      <c r="I72" s="8" t="inlineStr">
        <is>
          <t>1</t>
        </is>
      </c>
      <c r="J7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Recombinant DNA</t>
        </is>
      </c>
      <c r="M72" s="2" t="inlineStr">
        <is>
          <t>Product</t>
        </is>
      </c>
      <c r="N72" s="2" t="inlineStr">
        <is>
          <t>ข้อ 5 (PLE_CC1_Key_Rx20_UBU.md)</t>
        </is>
      </c>
      <c r="O72" s="2" t="inlineStr">
        <is>
          <t>Mock</t>
        </is>
      </c>
      <c r="P72" s="2" t="inlineStr">
        <is>
          <t>Mock Rx20 UBU</t>
        </is>
      </c>
    </row>
    <row r="73" ht="13.2" customHeight="1" s="49">
      <c r="A73" s="8" t="inlineStr">
        <is>
          <t>71</t>
        </is>
      </c>
      <c r="B73" s="2" t="inlineStr">
        <is>
          <t>ควรใช้วิธีใดในการทาให้วัคซีนประศจากเชื้อ</t>
        </is>
      </c>
      <c r="C73" s="2" t="n"/>
      <c r="D73" s="2" t="inlineStr">
        <is>
          <t>Lyophilization (Freeze-drying) with Trehalose Cryoprotectant</t>
        </is>
      </c>
      <c r="E73" s="2" t="inlineStr">
        <is>
          <t>ELISA Immunoassay for protein quantification</t>
        </is>
      </c>
      <c r="F73" s="2" t="inlineStr">
        <is>
          <t>SDS-PAGE Gel Electrophoresis purity analysis</t>
        </is>
      </c>
      <c r="G73" s="2" t="inlineStr">
        <is>
          <t>Isoelectric Focusing (IEF) for charge heterogeneity</t>
        </is>
      </c>
      <c r="H73" s="2" t="inlineStr">
        <is>
          <t>Immunogenicity Neutralizing Antibody Assay</t>
        </is>
      </c>
      <c r="I73" s="8" t="inlineStr">
        <is>
          <t>1</t>
        </is>
      </c>
      <c r="J7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Recombinant DNA</t>
        </is>
      </c>
      <c r="M73" s="2" t="inlineStr">
        <is>
          <t>Product</t>
        </is>
      </c>
      <c r="N73" s="2" t="inlineStr">
        <is>
          <t>ข้อ 8 (PLE_CC1_Key_Rx20_UBU.md)</t>
        </is>
      </c>
      <c r="O73" s="2" t="inlineStr">
        <is>
          <t>Mock</t>
        </is>
      </c>
      <c r="P73" s="2" t="inlineStr">
        <is>
          <t>Mock Rx20 UBU</t>
        </is>
      </c>
    </row>
    <row r="74" ht="13.2" customHeight="1" s="49">
      <c r="A74" s="8" t="inlineStr">
        <is>
          <t>72</t>
        </is>
      </c>
      <c r="B74" s="2" t="inlineStr">
        <is>
          <t>วัคซีนใดต้องเก็บในช่องแช่แข็งเพื่อความคงตัวของวัคซีน</t>
        </is>
      </c>
      <c r="C74" s="2" t="n"/>
      <c r="D74" s="2" t="inlineStr">
        <is>
          <t>Isoelectric Focusing (IEF) for charge heterogeneity</t>
        </is>
      </c>
      <c r="E74" s="2" t="inlineStr">
        <is>
          <t>Immunogenicity Neutralizing Antibody Assay</t>
        </is>
      </c>
      <c r="F74" s="2" t="inlineStr">
        <is>
          <t>Polysorbate 20 surfactant to prevent protein aggregation</t>
        </is>
      </c>
      <c r="G74" s="2" t="inlineStr">
        <is>
          <t>Histidine Buffer pH 6.0 formulation stability</t>
        </is>
      </c>
      <c r="H74" s="2" t="inlineStr">
        <is>
          <t>Recombinant DNA Human Insulin in E. coli</t>
        </is>
      </c>
      <c r="I74" s="8" t="inlineStr">
        <is>
          <t>1</t>
        </is>
      </c>
      <c r="J7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Recombinant DNA</t>
        </is>
      </c>
      <c r="M74" s="2" t="inlineStr">
        <is>
          <t>Product</t>
        </is>
      </c>
      <c r="N74" s="2" t="inlineStr">
        <is>
          <t>ข้อ 9 (PLE_CC1_Key_Rx20_UBU.md)</t>
        </is>
      </c>
      <c r="O74" s="2" t="inlineStr">
        <is>
          <t>Mock</t>
        </is>
      </c>
      <c r="P74" s="2" t="inlineStr">
        <is>
          <t>Mock Rx20 UBU</t>
        </is>
      </c>
    </row>
    <row r="75" ht="13.2" customHeight="1" s="49">
      <c r="A75" s="8" t="inlineStr">
        <is>
          <t>73</t>
        </is>
      </c>
      <c r="B75" s="2" t="inlineStr">
        <is>
          <t>วัคซีน BCG เปญนชนิดใด</t>
        </is>
      </c>
      <c r="C75" s="2" t="n"/>
      <c r="D75" s="2" t="inlineStr">
        <is>
          <t>เชื้อเปญน</t>
        </is>
      </c>
      <c r="E75" s="2" t="inlineStr">
        <is>
          <t>เชื้อตายทั้งหมด</t>
        </is>
      </c>
      <c r="F75" s="2" t="inlineStr">
        <is>
          <t>เชื้อตายบางสGวน</t>
        </is>
      </c>
      <c r="G75" s="2" t="inlineStr">
        <is>
          <t>toxoid</t>
        </is>
      </c>
      <c r="H75" s="2" t="inlineStr">
        <is>
          <t>Lyophilization (Freeze-drying) with Trehalose Cryoprotectant</t>
        </is>
      </c>
      <c r="I75" s="8" t="inlineStr">
        <is>
          <t>2</t>
        </is>
      </c>
      <c r="J75" s="2"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Recombinant DNA</t>
        </is>
      </c>
      <c r="M75" s="2" t="inlineStr">
        <is>
          <t>Product</t>
        </is>
      </c>
      <c r="N75" s="2" t="inlineStr">
        <is>
          <t>ข้อ 16 (PLE_CC1_Key_Rx20_UBU.md)</t>
        </is>
      </c>
      <c r="O75" s="2" t="inlineStr">
        <is>
          <t>Mock</t>
        </is>
      </c>
      <c r="P75" s="2" t="inlineStr">
        <is>
          <t>Mock Rx20 UBU</t>
        </is>
      </c>
    </row>
    <row r="76" ht="13.2" customHeight="1" s="49">
      <c r="A76" s="8" t="inlineStr">
        <is>
          <t>74</t>
        </is>
      </c>
      <c r="B76" s="2" t="inlineStr">
        <is>
          <t>วัคซีนใดที่ฉีดในเด็กอายุ 6 เดือน</t>
        </is>
      </c>
      <c r="C76" s="2" t="n"/>
      <c r="D76" s="2" t="inlineStr">
        <is>
          <t>HBV, DTP, OPV</t>
        </is>
      </c>
      <c r="E76" s="2" t="inlineStr">
        <is>
          <t>MMR, DTP, OPV</t>
        </is>
      </c>
      <c r="F76" s="2" t="inlineStr">
        <is>
          <t>BCG, HBV, DTP</t>
        </is>
      </c>
      <c r="G76" s="2" t="inlineStr">
        <is>
          <t>JE, HBV, OPV</t>
        </is>
      </c>
      <c r="H76" s="2" t="inlineStr">
        <is>
          <t>MMR, JE,DTP</t>
        </is>
      </c>
      <c r="I76" s="8" t="inlineStr">
        <is>
          <t>1</t>
        </is>
      </c>
      <c r="J76" s="2"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Recombinant DNA</t>
        </is>
      </c>
      <c r="M76" s="2" t="inlineStr">
        <is>
          <t>Product</t>
        </is>
      </c>
      <c r="N76" s="2" t="inlineStr">
        <is>
          <t>ข้อ 2 (PLE_CC1_Key_Rx20_UBU.md)</t>
        </is>
      </c>
      <c r="O76" s="2" t="inlineStr">
        <is>
          <t>Mock</t>
        </is>
      </c>
      <c r="P76" s="2" t="inlineStr">
        <is>
          <t>Mock Rx20 UBU</t>
        </is>
      </c>
    </row>
    <row r="77" ht="13.2" customHeight="1" s="49">
      <c r="A77" s="8" t="inlineStr">
        <is>
          <t>75</t>
        </is>
      </c>
      <c r="B77" s="2" t="inlineStr">
        <is>
          <t>ถ้าวันนี้เป็นวันครบกำหนดฉีดวัคซีนพอดี จะฉีดวัคซีนให้เด็กรายนี้หรือไม่เพราะเหตุใด</t>
        </is>
      </c>
      <c r="C77" s="2" t="n"/>
      <c r="D77" s="2" t="inlineStr">
        <is>
          <t>ฉีดให้ แต่ฉีดวัคซีนเชื้อเป็นและเชื้อตายคนละตำแหน่ง</t>
        </is>
      </c>
      <c r="E77" s="2" t="inlineStr">
        <is>
          <t>ฉีดให้เฉพาะเชื้อตาย</t>
        </is>
      </c>
      <c r="F77" s="2" t="inlineStr">
        <is>
          <t>ไม่ฉีดให้เนื่องจากได้รับหรือสร้างภูมิแล้ว</t>
        </is>
      </c>
      <c r="G77" s="2" t="inlineStr">
        <is>
          <t>ไม่ฉีดให้เนื่องจากมีไข้สูง</t>
        </is>
      </c>
      <c r="H77" s="2" t="inlineStr">
        <is>
          <t>ไม่ฉีดให้เนื่องจากเป็นวัคซีนผสมหลายชนิด</t>
        </is>
      </c>
      <c r="I77" s="8" t="inlineStr">
        <is>
          <t>4</t>
        </is>
      </c>
      <c r="J77" s="2"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Recombinant DNA</t>
        </is>
      </c>
      <c r="M77" s="2" t="inlineStr">
        <is>
          <t>Product</t>
        </is>
      </c>
      <c r="N77" s="2" t="inlineStr">
        <is>
          <t>ข้อ 3 (PLE_CC1_Key_Rx20_UBU.md)</t>
        </is>
      </c>
      <c r="O77" s="2" t="inlineStr">
        <is>
          <t>Mock</t>
        </is>
      </c>
      <c r="P77" s="2" t="inlineStr">
        <is>
          <t>Mock Rx20 UBU</t>
        </is>
      </c>
    </row>
    <row r="78" ht="13.2" customHeight="1" s="49">
      <c r="A78" s="8" t="inlineStr">
        <is>
          <t>76</t>
        </is>
      </c>
      <c r="B78" s="2" t="inlineStr">
        <is>
          <t>ข้อใดคือน้ำที่ใชในการผลิตวัคซีนที่ใช้ในระดับอุตสาหกรรม</t>
        </is>
      </c>
      <c r="C78" s="2" t="n"/>
      <c r="D78" s="2" t="inlineStr">
        <is>
          <t>Purified water</t>
        </is>
      </c>
      <c r="E78" s="2" t="inlineStr">
        <is>
          <t>Distilled water</t>
        </is>
      </c>
      <c r="F78" s="2" t="inlineStr">
        <is>
          <t>Recombinant DNA Human Insulin in E. coli</t>
        </is>
      </c>
      <c r="G78" s="2" t="inlineStr">
        <is>
          <t>Water for injection</t>
        </is>
      </c>
      <c r="H78" s="2" t="inlineStr">
        <is>
          <t>Sterile water for injection</t>
        </is>
      </c>
      <c r="I78" s="8" t="inlineStr">
        <is>
          <t>5</t>
        </is>
      </c>
      <c r="J78" s="2"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Recombinant DNA</t>
        </is>
      </c>
      <c r="M78" s="2" t="inlineStr">
        <is>
          <t>Product</t>
        </is>
      </c>
      <c r="N78" s="2" t="inlineStr">
        <is>
          <t>ข้อ 7 (PLE_CC1_Key_Rx20_UBU.md)</t>
        </is>
      </c>
      <c r="O78" s="2" t="inlineStr">
        <is>
          <t>Mock</t>
        </is>
      </c>
      <c r="P78" s="2" t="inlineStr">
        <is>
          <t>Mock Rx20 UBU</t>
        </is>
      </c>
    </row>
    <row r="79" ht="13.2" customHeight="1" s="49">
      <c r="A79" s="8" t="inlineStr">
        <is>
          <t>77</t>
        </is>
      </c>
      <c r="B79" s="2" t="inlineStr">
        <is>
          <t>ฉีดให้ แต่ฉีดวัคซีนเชื้อเป็นและเชื้อตายคนละ ตำแหน่งกัน</t>
        </is>
      </c>
      <c r="C79" s="2" t="n"/>
      <c r="D79" s="2" t="inlineStr">
        <is>
          <t>Monoclonal Antibody IgG1 (CHO Cell Expression)</t>
        </is>
      </c>
      <c r="E79" s="2" t="inlineStr">
        <is>
          <t>Polyethylene Glycol (PEG) Conjugation for extended half-life</t>
        </is>
      </c>
      <c r="F79" s="2" t="inlineStr">
        <is>
          <t>Lyophilization (Freeze-drying) with Trehalose Cryoprotectant</t>
        </is>
      </c>
      <c r="G79" s="2" t="inlineStr">
        <is>
          <t>ELISA Immunoassay for protein quantification</t>
        </is>
      </c>
      <c r="H79" s="2" t="inlineStr">
        <is>
          <t>SDS-PAGE Gel Electrophoresis purity analysis</t>
        </is>
      </c>
      <c r="I79" s="8" t="inlineStr">
        <is>
          <t>1</t>
        </is>
      </c>
      <c r="J7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Recombinant DNA</t>
        </is>
      </c>
      <c r="M79" s="2" t="inlineStr">
        <is>
          <t>Product</t>
        </is>
      </c>
      <c r="N79" s="2" t="inlineStr">
        <is>
          <t>ข้อ 1 (PLE_CC1_Key_Rx20_UBU.md)</t>
        </is>
      </c>
      <c r="O79" s="2" t="inlineStr">
        <is>
          <t>Mock</t>
        </is>
      </c>
      <c r="P79" s="2" t="inlineStr">
        <is>
          <t>Mock Rx20 UBU</t>
        </is>
      </c>
    </row>
    <row r="80" ht="13.2" customHeight="1" s="49">
      <c r="A80" s="8" t="inlineStr">
        <is>
          <t>78</t>
        </is>
      </c>
      <c r="B80" s="2" t="inlineStr">
        <is>
          <t>ไม่ฉีดให้ เนื่องจากเป็นวัคซีนผสมหลายชนิด</t>
        </is>
      </c>
      <c r="C80" s="2" t="n"/>
      <c r="D80" s="2" t="inlineStr">
        <is>
          <t>ELISA Immunoassay for protein quantification</t>
        </is>
      </c>
      <c r="E80" s="2" t="inlineStr">
        <is>
          <t>SDS-PAGE Gel Electrophoresis purity analysis</t>
        </is>
      </c>
      <c r="F80" s="2" t="inlineStr">
        <is>
          <t>Isoelectric Focusing (IEF) for charge heterogeneity</t>
        </is>
      </c>
      <c r="G80" s="2" t="inlineStr">
        <is>
          <t>Immunogenicity Neutralizing Antibody Assay</t>
        </is>
      </c>
      <c r="H80" s="2" t="inlineStr">
        <is>
          <t>Polysorbate 20 surfactant to prevent protein aggregation</t>
        </is>
      </c>
      <c r="I80" s="8" t="inlineStr">
        <is>
          <t>4</t>
        </is>
      </c>
      <c r="J80" s="2"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Recombinant DNA</t>
        </is>
      </c>
      <c r="M80" s="2" t="inlineStr">
        <is>
          <t>Product</t>
        </is>
      </c>
      <c r="N80" s="2" t="inlineStr">
        <is>
          <t>ข้อ 5 (PLE_CC1_Key_Rx20_UBU.md)</t>
        </is>
      </c>
      <c r="O80" s="2" t="inlineStr">
        <is>
          <t>Mock</t>
        </is>
      </c>
      <c r="P80" s="2" t="inlineStr">
        <is>
          <t>Mock Rx20 UBU</t>
        </is>
      </c>
    </row>
    <row r="81" ht="13.2" customHeight="1" s="49">
      <c r="A81" s="8" t="inlineStr">
        <is>
          <t>79</t>
        </is>
      </c>
      <c r="B81" s="2" t="inlineStr">
        <is>
          <t>การได้รับวัคซีนซ้ำจะทำให้ระดับวัคซีนมากพอจน สามารถกระตุ้นภูมิได้มากขึ้น</t>
        </is>
      </c>
      <c r="C81" s="2" t="n"/>
      <c r="D81" s="2" t="inlineStr">
        <is>
          <t>Immunogenicity Neutralizing Antibody Assay</t>
        </is>
      </c>
      <c r="E81" s="2" t="inlineStr">
        <is>
          <t>Polysorbate 20 surfactant to prevent protein aggregation</t>
        </is>
      </c>
      <c r="F81" s="2" t="inlineStr">
        <is>
          <t>Histidine Buffer pH 6.0 formulation stability</t>
        </is>
      </c>
      <c r="G81" s="2" t="inlineStr">
        <is>
          <t>Recombinant DNA Human Insulin in E. coli</t>
        </is>
      </c>
      <c r="H81" s="2" t="inlineStr">
        <is>
          <t>Monoclonal Antibody IgG1 (CHO Cell Expression)</t>
        </is>
      </c>
      <c r="I81" s="8" t="inlineStr">
        <is>
          <t>1</t>
        </is>
      </c>
      <c r="J8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Recombinant DNA</t>
        </is>
      </c>
      <c r="M81" s="2" t="inlineStr">
        <is>
          <t>Product</t>
        </is>
      </c>
      <c r="N81" s="2" t="inlineStr">
        <is>
          <t>ข้อ 1 (PLE_CC1_Key_Rx20_UBU.md)</t>
        </is>
      </c>
      <c r="O81" s="2" t="inlineStr">
        <is>
          <t>Mock</t>
        </is>
      </c>
      <c r="P81" s="2" t="inlineStr">
        <is>
          <t>Mock Rx20 UBU</t>
        </is>
      </c>
    </row>
    <row r="82" ht="13.2" customHeight="1" s="49">
      <c r="A82" s="8" t="inlineStr">
        <is>
          <t>80</t>
        </is>
      </c>
      <c r="B82" s="2" t="inlineStr">
        <is>
          <t>การฉีดวัคซีนซ้ำจะทำให้สามารถสร้าง antibody บางชนิดได้มากขึ้น</t>
        </is>
      </c>
      <c r="C82" s="2" t="n"/>
      <c r="D82" s="2" t="inlineStr">
        <is>
          <t>Recombinant DNA Human Insulin in E. coli</t>
        </is>
      </c>
      <c r="E82" s="2" t="inlineStr">
        <is>
          <t>Monoclonal Antibody IgG1 (CHO Cell Expression)</t>
        </is>
      </c>
      <c r="F82" s="2" t="inlineStr">
        <is>
          <t>Polyethylene Glycol (PEG) Conjugation for extended half-life</t>
        </is>
      </c>
      <c r="G82" s="2" t="inlineStr">
        <is>
          <t>Lyophilization (Freeze-drying) with Trehalose Cryoprotectant</t>
        </is>
      </c>
      <c r="H82" s="2" t="inlineStr">
        <is>
          <t>ELISA Immunoassay for protein quantification</t>
        </is>
      </c>
      <c r="I82" s="8" t="inlineStr">
        <is>
          <t>1</t>
        </is>
      </c>
      <c r="J8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Recombinant DNA</t>
        </is>
      </c>
      <c r="M82" s="2" t="inlineStr">
        <is>
          <t>Product</t>
        </is>
      </c>
      <c r="N82" s="2" t="inlineStr">
        <is>
          <t>ข้อ 2 (PLE_CC1_Key_Rx20_UBU.md)</t>
        </is>
      </c>
      <c r="O82" s="2" t="inlineStr">
        <is>
          <t>Mock</t>
        </is>
      </c>
      <c r="P82" s="2" t="inlineStr">
        <is>
          <t>Mock Rx20 UBU</t>
        </is>
      </c>
    </row>
    <row r="83" ht="13.2" customHeight="1" s="49">
      <c r="A83" s="8" t="inlineStr">
        <is>
          <t>81</t>
        </is>
      </c>
      <c r="B83" s="2" t="inlineStr">
        <is>
          <t>การฉีดวัคซีนก้อนกำหนดจะช่วยให้ภูมิคุมกันขึ้นได้ เร็วขึ้นและจำนวนมากขึ้น</t>
        </is>
      </c>
      <c r="C83" s="2" t="n"/>
      <c r="D83" s="2" t="inlineStr">
        <is>
          <t>Lyophilization (Freeze-drying) with Trehalose Cryoprotectant</t>
        </is>
      </c>
      <c r="E83" s="2" t="inlineStr">
        <is>
          <t>ELISA Immunoassay for protein quantification</t>
        </is>
      </c>
      <c r="F83" s="2" t="inlineStr">
        <is>
          <t>SDS-PAGE Gel Electrophoresis purity analysis</t>
        </is>
      </c>
      <c r="G83" s="2" t="inlineStr">
        <is>
          <t>Isoelectric Focusing (IEF) for charge heterogeneity</t>
        </is>
      </c>
      <c r="H83" s="2" t="inlineStr">
        <is>
          <t>Immunogenicity Neutralizing Antibody Assay</t>
        </is>
      </c>
      <c r="I83" s="8" t="inlineStr">
        <is>
          <t>1</t>
        </is>
      </c>
      <c r="J8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Recombinant DNA</t>
        </is>
      </c>
      <c r="M83" s="2" t="inlineStr">
        <is>
          <t>Product</t>
        </is>
      </c>
      <c r="N83" s="2" t="inlineStr">
        <is>
          <t>ข้อ 3 (PLE_CC1_Key_Rx20_UBU.md)</t>
        </is>
      </c>
      <c r="O83" s="2" t="inlineStr">
        <is>
          <t>Mock</t>
        </is>
      </c>
      <c r="P83" s="2" t="inlineStr">
        <is>
          <t>Mock Rx20 UBU</t>
        </is>
      </c>
    </row>
    <row r="84" ht="13.2" customHeight="1" s="49">
      <c r="A84" s="8" t="inlineStr">
        <is>
          <t>82</t>
        </is>
      </c>
      <c r="B84" s="2" t="inlineStr">
        <is>
          <t>การเลื่อนฉีดวัคซีนช้ากว่ากำหนดจะทำให้การสร้าง antibody ลดลง</t>
        </is>
      </c>
      <c r="C84" s="2" t="n"/>
      <c r="D84" s="2" t="inlineStr">
        <is>
          <t>Isoelectric Focusing (IEF) for charge heterogeneity</t>
        </is>
      </c>
      <c r="E84" s="2" t="inlineStr">
        <is>
          <t>Immunogenicity Neutralizing Antibody Assay</t>
        </is>
      </c>
      <c r="F84" s="2" t="inlineStr">
        <is>
          <t>Polysorbate 20 surfactant to prevent protein aggregation</t>
        </is>
      </c>
      <c r="G84" s="2" t="inlineStr">
        <is>
          <t>Histidine Buffer pH 6.0 formulation stability</t>
        </is>
      </c>
      <c r="H84" s="2" t="inlineStr">
        <is>
          <t>Recombinant DNA Human Insulin in E. coli</t>
        </is>
      </c>
      <c r="I84" s="8" t="inlineStr">
        <is>
          <t>1</t>
        </is>
      </c>
      <c r="J8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Recombinant DNA</t>
        </is>
      </c>
      <c r="M84" s="2" t="inlineStr">
        <is>
          <t>Product</t>
        </is>
      </c>
      <c r="N84" s="2" t="inlineStr">
        <is>
          <t>ข้อ 4 (PLE_CC1_Key_Rx20_UBU.md)</t>
        </is>
      </c>
      <c r="O84" s="2" t="inlineStr">
        <is>
          <t>Mock</t>
        </is>
      </c>
      <c r="P84" s="2" t="inlineStr">
        <is>
          <t>Mock Rx20 UBU</t>
        </is>
      </c>
    </row>
    <row r="85" ht="13.2" customHeight="1" s="49">
      <c r="A85" s="8" t="inlineStr">
        <is>
          <t>83</t>
        </is>
      </c>
      <c r="B85" s="2" t="inlineStr">
        <is>
          <t>ข้อใดคือน้ำที่ใช้ในการผลิตวัคซีนที่ใช้ในระดับอุตสาหกรรม</t>
        </is>
      </c>
      <c r="C85" s="2" t="n"/>
      <c r="D85" s="2" t="inlineStr">
        <is>
          <t>Histidine Buffer pH 6.0 formulation stability</t>
        </is>
      </c>
      <c r="E85" s="2" t="inlineStr">
        <is>
          <t>Recombinant DNA Human Insulin in E. coli</t>
        </is>
      </c>
      <c r="F85" s="2" t="inlineStr">
        <is>
          <t>Monoclonal Antibody IgG1 (CHO Cell Expression)</t>
        </is>
      </c>
      <c r="G85" s="2" t="inlineStr">
        <is>
          <t>Polyethylene Glycol (PEG) Conjugation for extended half-life</t>
        </is>
      </c>
      <c r="H85" s="2" t="inlineStr">
        <is>
          <t>Lyophilization (Freeze-drying) with Trehalose Cryoprotectant</t>
        </is>
      </c>
      <c r="I85" s="8" t="inlineStr">
        <is>
          <t>1</t>
        </is>
      </c>
      <c r="J8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Recombinant DNA</t>
        </is>
      </c>
      <c r="M85" s="2" t="inlineStr">
        <is>
          <t>Product</t>
        </is>
      </c>
      <c r="N85" s="2" t="inlineStr">
        <is>
          <t>ข้อ 7 (PLE_CC1_Key_Rx20_UBU.md)</t>
        </is>
      </c>
      <c r="O85" s="2" t="inlineStr">
        <is>
          <t>Mock</t>
        </is>
      </c>
      <c r="P85" s="2" t="inlineStr">
        <is>
          <t>Mock Rx20 UBU</t>
        </is>
      </c>
    </row>
    <row r="86" ht="13.2" customHeight="1" s="49">
      <c r="A86" s="8" t="inlineStr">
        <is>
          <t>84</t>
        </is>
      </c>
      <c r="B86" s="2" t="inlineStr">
        <is>
          <t>recombinant DNA</t>
        </is>
      </c>
      <c r="C86" s="2" t="n"/>
      <c r="D86" s="2" t="inlineStr">
        <is>
          <t>Polyethylene Glycol (PEG) Conjugation for extended half-life</t>
        </is>
      </c>
      <c r="E86" s="2" t="inlineStr">
        <is>
          <t>Lyophilization (Freeze-drying) with Trehalose Cryoprotectant</t>
        </is>
      </c>
      <c r="F86" s="2" t="inlineStr">
        <is>
          <t>ELISA Immunoassay for protein quantification</t>
        </is>
      </c>
      <c r="G86" s="2" t="inlineStr">
        <is>
          <t>SDS-PAGE Gel Electrophoresis purity analysis</t>
        </is>
      </c>
      <c r="H86" s="2" t="inlineStr">
        <is>
          <t>Isoelectric Focusing (IEF) for charge heterogeneity</t>
        </is>
      </c>
      <c r="I86" s="8" t="inlineStr">
        <is>
          <t>1</t>
        </is>
      </c>
      <c r="J8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Recombinant DNA</t>
        </is>
      </c>
      <c r="M86" s="2" t="inlineStr">
        <is>
          <t>Product</t>
        </is>
      </c>
      <c r="N86" s="2" t="inlineStr">
        <is>
          <t>ข้อ 2 (PLE_CC1_Key_Rx20_UBU.md)</t>
        </is>
      </c>
      <c r="O86" s="2" t="inlineStr">
        <is>
          <t>Mock</t>
        </is>
      </c>
      <c r="P86" s="2" t="inlineStr">
        <is>
          <t>Mock Rx20 UBU</t>
        </is>
      </c>
    </row>
    <row r="87" ht="13.2" customHeight="1" s="49">
      <c r="A87" s="8" t="inlineStr">
        <is>
          <t>85</t>
        </is>
      </c>
      <c r="B87" s="2"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2" t="n"/>
      <c r="D87" s="2" t="inlineStr">
        <is>
          <t>SDS-PAGE Gel Electrophoresis purity analysis</t>
        </is>
      </c>
      <c r="E87" s="2" t="inlineStr">
        <is>
          <t>Isoelectric Focusing (IEF) for charge heterogeneity</t>
        </is>
      </c>
      <c r="F87" s="2" t="inlineStr">
        <is>
          <t>Immunogenicity Neutralizing Antibody Assay</t>
        </is>
      </c>
      <c r="G87" s="2" t="inlineStr">
        <is>
          <t>Polysorbate 20 surfactant to prevent protein aggregation</t>
        </is>
      </c>
      <c r="H87" s="2" t="inlineStr">
        <is>
          <t>Histidine Buffer pH 6.0 formulation stability</t>
        </is>
      </c>
      <c r="I87" s="8" t="inlineStr">
        <is>
          <t>1</t>
        </is>
      </c>
      <c r="J8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Recombinant DNA</t>
        </is>
      </c>
      <c r="M87" s="2" t="inlineStr">
        <is>
          <t>Product</t>
        </is>
      </c>
      <c r="N87" s="2" t="inlineStr">
        <is>
          <t>ข้อ 5 (PLE_CC1_Key_Rx20_UBU.md)</t>
        </is>
      </c>
      <c r="O87" s="2" t="inlineStr">
        <is>
          <t>Mock</t>
        </is>
      </c>
      <c r="P87" s="2" t="inlineStr">
        <is>
          <t>Mock Rx20 UBU</t>
        </is>
      </c>
    </row>
    <row r="88" ht="13.2" customHeight="1" s="49">
      <c r="A88" s="8" t="inlineStr">
        <is>
          <t>86</t>
        </is>
      </c>
      <c r="B88" s="2" t="inlineStr">
        <is>
          <t>ถามเกี่ยวกับการฉีดวัคซีน ขอใดกลาวผิด</t>
        </is>
      </c>
      <c r="C88" s="2" t="n"/>
      <c r="D88" s="2" t="inlineStr">
        <is>
          <t>Polysorbate 20 surfactant to prevent protein aggregation</t>
        </is>
      </c>
      <c r="E88" s="2" t="inlineStr">
        <is>
          <t>Histidine Buffer pH 6.0 formulation stability</t>
        </is>
      </c>
      <c r="F88" s="2" t="inlineStr">
        <is>
          <t>Recombinant DNA Human Insulin in E. coli</t>
        </is>
      </c>
      <c r="G88" s="2" t="inlineStr">
        <is>
          <t>Monoclonal Antibody IgG1 (CHO Cell Expression)</t>
        </is>
      </c>
      <c r="H88" s="2" t="inlineStr">
        <is>
          <t>Polyethylene Glycol (PEG) Conjugation for extended half-life</t>
        </is>
      </c>
      <c r="I88" s="8" t="inlineStr">
        <is>
          <t>1</t>
        </is>
      </c>
      <c r="J8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Recombinant DNA</t>
        </is>
      </c>
      <c r="M88" s="2" t="inlineStr">
        <is>
          <t>Product</t>
        </is>
      </c>
      <c r="N88" s="2" t="inlineStr">
        <is>
          <t>ข้อ 1 (PLE_CC1_Key_Rx20_UBU.md)</t>
        </is>
      </c>
      <c r="O88" s="2" t="inlineStr">
        <is>
          <t>Mock</t>
        </is>
      </c>
      <c r="P88" s="2" t="inlineStr">
        <is>
          <t>Mock Rx20 UBU</t>
        </is>
      </c>
    </row>
    <row r="89" ht="13.2" customHeight="1" s="49">
      <c r="A89" s="8" t="inlineStr">
        <is>
          <t>87</t>
        </is>
      </c>
      <c r="B89" s="2" t="inlineStr">
        <is>
          <t>หากสุนัขไม่ตายภายใน 10 วันให้หยุดการฉีดวัคซีนได้</t>
        </is>
      </c>
      <c r="C89" s="2" t="n"/>
      <c r="D89" s="2" t="inlineStr">
        <is>
          <t>Monoclonal Antibody IgG1 (CHO Cell Expression)</t>
        </is>
      </c>
      <c r="E89" s="2" t="inlineStr">
        <is>
          <t>Polyethylene Glycol (PEG) Conjugation for extended half-life</t>
        </is>
      </c>
      <c r="F89" s="2" t="inlineStr">
        <is>
          <t>Lyophilization (Freeze-drying) with Trehalose Cryoprotectant</t>
        </is>
      </c>
      <c r="G89" s="2" t="inlineStr">
        <is>
          <t>ELISA Immunoassay for protein quantification</t>
        </is>
      </c>
      <c r="H89" s="2" t="inlineStr">
        <is>
          <t>SDS-PAGE Gel Electrophoresis purity analysis</t>
        </is>
      </c>
      <c r="I89" s="8" t="inlineStr">
        <is>
          <t>1</t>
        </is>
      </c>
      <c r="J8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Recombinant DNA</t>
        </is>
      </c>
      <c r="M89" s="2" t="inlineStr">
        <is>
          <t>Product</t>
        </is>
      </c>
      <c r="N89" s="2" t="inlineStr">
        <is>
          <t>ข้อ 2 (PLE_CC1_Key_Rx20_UBU.md)</t>
        </is>
      </c>
      <c r="O89" s="2" t="inlineStr">
        <is>
          <t>Mock</t>
        </is>
      </c>
      <c r="P89" s="2" t="inlineStr">
        <is>
          <t>Mock Rx20 UBU</t>
        </is>
      </c>
    </row>
    <row r="90" ht="13.2" customHeight="1" s="49">
      <c r="A90" s="8" t="inlineStr">
        <is>
          <t>88</t>
        </is>
      </c>
      <c r="B90" s="2" t="inlineStr">
        <is>
          <t>วัคซีนพิษสุนัขบ้าชนิดฉีดเข้ากล้ามเนื้อสามารถเปลี่ยนไปใชผลิตภัณฑของบริษัทผู้ผลิตอื่นได้</t>
        </is>
      </c>
      <c r="C90" s="2" t="n"/>
      <c r="D90" s="2" t="inlineStr">
        <is>
          <t>ELISA Immunoassay for protein quantification</t>
        </is>
      </c>
      <c r="E90" s="2" t="inlineStr">
        <is>
          <t>SDS-PAGE Gel Electrophoresis purity analysis</t>
        </is>
      </c>
      <c r="F90" s="2" t="inlineStr">
        <is>
          <t>Isoelectric Focusing (IEF) for charge heterogeneity</t>
        </is>
      </c>
      <c r="G90" s="2" t="inlineStr">
        <is>
          <t>Immunogenicity Neutralizing Antibody Assay</t>
        </is>
      </c>
      <c r="H90" s="2" t="inlineStr">
        <is>
          <t>Polysorbate 20 surfactant to prevent protein aggregation</t>
        </is>
      </c>
      <c r="I90" s="8" t="inlineStr">
        <is>
          <t>1</t>
        </is>
      </c>
      <c r="J9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Recombinant DNA</t>
        </is>
      </c>
      <c r="M90" s="2" t="inlineStr">
        <is>
          <t>Product</t>
        </is>
      </c>
      <c r="N90" s="2" t="inlineStr">
        <is>
          <t>ข้อ 3 (PLE_CC1_Key_Rx20_UBU.md)</t>
        </is>
      </c>
      <c r="O90" s="2" t="inlineStr">
        <is>
          <t>Mock</t>
        </is>
      </c>
      <c r="P90" s="2" t="inlineStr">
        <is>
          <t>Mock Rx20 UBU</t>
        </is>
      </c>
    </row>
    <row r="91" ht="13.2" customHeight="1" s="49">
      <c r="A91" s="8" t="inlineStr">
        <is>
          <t>89</t>
        </is>
      </c>
      <c r="B91" s="2"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2" t="n"/>
      <c r="D91" s="2" t="inlineStr">
        <is>
          <t>Immunogenicity Neutralizing Antibody Assay</t>
        </is>
      </c>
      <c r="E91" s="2" t="inlineStr">
        <is>
          <t>Polysorbate 20 surfactant to prevent protein aggregation</t>
        </is>
      </c>
      <c r="F91" s="2" t="inlineStr">
        <is>
          <t>Histidine Buffer pH 6.0 formulation stability</t>
        </is>
      </c>
      <c r="G91" s="2" t="inlineStr">
        <is>
          <t>Recombinant DNA Human Insulin in E. coli</t>
        </is>
      </c>
      <c r="H91" s="2" t="inlineStr">
        <is>
          <t>Monoclonal Antibody IgG1 (CHO Cell Expression)</t>
        </is>
      </c>
      <c r="I91" s="8" t="inlineStr">
        <is>
          <t>2</t>
        </is>
      </c>
      <c r="J91" s="2"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Recombinant DNA</t>
        </is>
      </c>
      <c r="M91" s="2" t="inlineStr">
        <is>
          <t>Product</t>
        </is>
      </c>
      <c r="N91" s="2" t="inlineStr">
        <is>
          <t>ข้อ 4 (PLE_CC1_Key_Rx20_UBU.md)</t>
        </is>
      </c>
      <c r="O91" s="2" t="inlineStr">
        <is>
          <t>Mock</t>
        </is>
      </c>
      <c r="P91" s="2" t="inlineStr">
        <is>
          <t>Mock Rx20 UBU</t>
        </is>
      </c>
    </row>
    <row r="92" ht="13.2" customHeight="1" s="49">
      <c r="A92" s="8" t="inlineStr">
        <is>
          <t>90</t>
        </is>
      </c>
      <c r="B92" s="2" t="inlineStr">
        <is>
          <t>วัคซีนบาดทะยักเปนวัคซีนประเภทใด</t>
        </is>
      </c>
      <c r="C92" s="2" t="n"/>
      <c r="D92" s="2" t="inlineStr">
        <is>
          <t>Recombinant DNA Human Insulin in E. coli</t>
        </is>
      </c>
      <c r="E92" s="2" t="inlineStr">
        <is>
          <t>Monoclonal Antibody IgG1 (CHO Cell Expression)</t>
        </is>
      </c>
      <c r="F92" s="2" t="inlineStr">
        <is>
          <t>Polyethylene Glycol (PEG) Conjugation for extended half-life</t>
        </is>
      </c>
      <c r="G92" s="2" t="inlineStr">
        <is>
          <t>Lyophilization (Freeze-drying) with Trehalose Cryoprotectant</t>
        </is>
      </c>
      <c r="H92" s="2" t="inlineStr">
        <is>
          <t>ELISA Immunoassay for protein quantification</t>
        </is>
      </c>
      <c r="I92" s="8" t="inlineStr">
        <is>
          <t>1</t>
        </is>
      </c>
      <c r="J9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Recombinant DNA</t>
        </is>
      </c>
      <c r="M92" s="2" t="inlineStr">
        <is>
          <t>Product</t>
        </is>
      </c>
      <c r="N92" s="2" t="inlineStr">
        <is>
          <t>ข้อ 2 (PLE_CC1_Key_Rx20_UBU.md)</t>
        </is>
      </c>
      <c r="O92" s="2" t="inlineStr">
        <is>
          <t>Mock</t>
        </is>
      </c>
      <c r="P92" s="2" t="inlineStr">
        <is>
          <t>Mock Rx20 UBU</t>
        </is>
      </c>
    </row>
    <row r="93" ht="13.2" customHeight="1" s="49">
      <c r="A93" s="8" t="inlineStr">
        <is>
          <t>91</t>
        </is>
      </c>
      <c r="B93" s="2" t="inlineStr">
        <is>
          <t>Lived atenuated vaccine</t>
        </is>
      </c>
      <c r="C93" s="2" t="n"/>
      <c r="D93" s="2" t="inlineStr">
        <is>
          <t>Lyophilization (Freeze-drying) with Trehalose Cryoprotectant</t>
        </is>
      </c>
      <c r="E93" s="2" t="inlineStr">
        <is>
          <t>ELISA Immunoassay for protein quantification</t>
        </is>
      </c>
      <c r="F93" s="2" t="inlineStr">
        <is>
          <t>SDS-PAGE Gel Electrophoresis purity analysis</t>
        </is>
      </c>
      <c r="G93" s="2" t="inlineStr">
        <is>
          <t>Isoelectric Focusing (IEF) for charge heterogeneity</t>
        </is>
      </c>
      <c r="H93" s="2" t="inlineStr">
        <is>
          <t>Immunogenicity Neutralizing Antibody Assay</t>
        </is>
      </c>
      <c r="I93" s="8" t="inlineStr">
        <is>
          <t>1</t>
        </is>
      </c>
      <c r="J9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Recombinant DNA</t>
        </is>
      </c>
      <c r="M93" s="2" t="inlineStr">
        <is>
          <t>Product</t>
        </is>
      </c>
      <c r="N93" s="2" t="inlineStr">
        <is>
          <t>ข้อ 2 (PLE_CC1_Key_Rx20_UBU.md)</t>
        </is>
      </c>
      <c r="O93" s="2" t="inlineStr">
        <is>
          <t>Mock</t>
        </is>
      </c>
      <c r="P93" s="2" t="inlineStr">
        <is>
          <t>Mock Rx20 UBU</t>
        </is>
      </c>
    </row>
    <row r="94" ht="13.2" customHeight="1" s="49">
      <c r="A94" s="8" t="inlineStr">
        <is>
          <t>92</t>
        </is>
      </c>
      <c r="B94" s="2" t="inlineStr">
        <is>
          <t>Killed whole cell vaccine</t>
        </is>
      </c>
      <c r="C94" s="2" t="n"/>
      <c r="D94" s="2" t="inlineStr">
        <is>
          <t>Isoelectric Focusing (IEF) for charge heterogeneity</t>
        </is>
      </c>
      <c r="E94" s="2" t="inlineStr">
        <is>
          <t>Immunogenicity Neutralizing Antibody Assay</t>
        </is>
      </c>
      <c r="F94" s="2" t="inlineStr">
        <is>
          <t>Polysorbate 20 surfactant to prevent protein aggregation</t>
        </is>
      </c>
      <c r="G94" s="2" t="inlineStr">
        <is>
          <t>Histidine Buffer pH 6.0 formulation stability</t>
        </is>
      </c>
      <c r="H94" s="2" t="inlineStr">
        <is>
          <t>Recombinant DNA Human Insulin in E. coli</t>
        </is>
      </c>
      <c r="I94" s="8" t="inlineStr">
        <is>
          <t>1</t>
        </is>
      </c>
      <c r="J9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Recombinant DNA</t>
        </is>
      </c>
      <c r="M94" s="2" t="inlineStr">
        <is>
          <t>Product</t>
        </is>
      </c>
      <c r="N94" s="2" t="inlineStr">
        <is>
          <t>ข้อ 3 (PLE_CC1_Key_Rx20_UBU.md)</t>
        </is>
      </c>
      <c r="O94" s="2" t="inlineStr">
        <is>
          <t>Mock</t>
        </is>
      </c>
      <c r="P94" s="2" t="inlineStr">
        <is>
          <t>Mock Rx20 UBU</t>
        </is>
      </c>
    </row>
    <row r="95" ht="13.2" customHeight="1" s="49">
      <c r="A95" s="8" t="inlineStr">
        <is>
          <t>93</t>
        </is>
      </c>
      <c r="B95" s="2" t="inlineStr">
        <is>
          <t>Subunit vaccine</t>
        </is>
      </c>
      <c r="C95" s="2" t="n"/>
      <c r="D95" s="2" t="inlineStr">
        <is>
          <t>Histidine Buffer pH 6.0 formulation stability</t>
        </is>
      </c>
      <c r="E95" s="2" t="inlineStr">
        <is>
          <t>Recombinant DNA Human Insulin in E. coli</t>
        </is>
      </c>
      <c r="F95" s="2" t="inlineStr">
        <is>
          <t>Monoclonal Antibody IgG1 (CHO Cell Expression)</t>
        </is>
      </c>
      <c r="G95" s="2" t="inlineStr">
        <is>
          <t>Polyethylene Glycol (PEG) Conjugation for extended half-life</t>
        </is>
      </c>
      <c r="H95" s="2" t="inlineStr">
        <is>
          <t>Lyophilization (Freeze-drying) with Trehalose Cryoprotectant</t>
        </is>
      </c>
      <c r="I95" s="8" t="inlineStr">
        <is>
          <t>1</t>
        </is>
      </c>
      <c r="J9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Recombinant DNA</t>
        </is>
      </c>
      <c r="M95" s="2" t="inlineStr">
        <is>
          <t>Product</t>
        </is>
      </c>
      <c r="N95" s="2" t="inlineStr">
        <is>
          <t>ข้อ 4 (PLE_CC1_Key_Rx20_UBU.md)</t>
        </is>
      </c>
      <c r="O95" s="2" t="inlineStr">
        <is>
          <t>Mock</t>
        </is>
      </c>
      <c r="P95" s="2" t="inlineStr">
        <is>
          <t>Mock Rx20 UBU</t>
        </is>
      </c>
    </row>
    <row r="96" ht="13.2" customHeight="1" s="49">
      <c r="A96" s="8" t="inlineStr">
        <is>
          <t>94</t>
        </is>
      </c>
      <c r="B96" s="2" t="inlineStr">
        <is>
          <t>Acellular vaccine</t>
        </is>
      </c>
      <c r="C96" s="2" t="n"/>
      <c r="D96" s="2" t="inlineStr">
        <is>
          <t>Polyethylene Glycol (PEG) Conjugation for extended half-life</t>
        </is>
      </c>
      <c r="E96" s="2" t="inlineStr">
        <is>
          <t>Lyophilization (Freeze-drying) with Trehalose Cryoprotectant</t>
        </is>
      </c>
      <c r="F96" s="2" t="inlineStr">
        <is>
          <t>ELISA Immunoassay for protein quantification</t>
        </is>
      </c>
      <c r="G96" s="2" t="inlineStr">
        <is>
          <t>SDS-PAGE Gel Electrophoresis purity analysis</t>
        </is>
      </c>
      <c r="H96" s="2" t="inlineStr">
        <is>
          <t>Isoelectric Focusing (IEF) for charge heterogeneity</t>
        </is>
      </c>
      <c r="I96" s="8" t="inlineStr">
        <is>
          <t>5</t>
        </is>
      </c>
      <c r="J96" s="2"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Recombinant DNA</t>
        </is>
      </c>
      <c r="M96" s="2" t="inlineStr">
        <is>
          <t>Product</t>
        </is>
      </c>
      <c r="N96" s="2" t="inlineStr">
        <is>
          <t>ข้อ 5 (PLE_CC1_Key_Rx20_UBU.md)</t>
        </is>
      </c>
      <c r="O96" s="2" t="inlineStr">
        <is>
          <t>Mock</t>
        </is>
      </c>
      <c r="P96" s="2" t="inlineStr">
        <is>
          <t>Mock Rx20 UBU</t>
        </is>
      </c>
    </row>
    <row r="97" ht="13.2" customHeight="1" s="49">
      <c r="A97" s="8" t="inlineStr">
        <is>
          <t>95</t>
        </is>
      </c>
      <c r="B97" s="2" t="inlineStr">
        <is>
          <t>หากแพทยตองการสั่งฉีดวัคซีนบาดทะยักในผูปวยราย นี้ ขอใดถูกตอง</t>
        </is>
      </c>
      <c r="C97" s="2" t="n"/>
      <c r="D97" s="2" t="inlineStr">
        <is>
          <t>SDS-PAGE Gel Electrophoresis purity analysis</t>
        </is>
      </c>
      <c r="E97" s="2" t="inlineStr">
        <is>
          <t>Isoelectric Focusing (IEF) for charge heterogeneity</t>
        </is>
      </c>
      <c r="F97" s="2" t="inlineStr">
        <is>
          <t>Immunogenicity Neutralizing Antibody Assay</t>
        </is>
      </c>
      <c r="G97" s="2" t="inlineStr">
        <is>
          <t>Polysorbate 20 surfactant to prevent protein aggregation</t>
        </is>
      </c>
      <c r="H97" s="2" t="inlineStr">
        <is>
          <t>Histidine Buffer pH 6.0 formulation stability</t>
        </is>
      </c>
      <c r="I97" s="8" t="inlineStr">
        <is>
          <t>1</t>
        </is>
      </c>
      <c r="J9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Recombinant DNA</t>
        </is>
      </c>
      <c r="M97" s="2" t="inlineStr">
        <is>
          <t>Product</t>
        </is>
      </c>
      <c r="N97" s="2" t="inlineStr">
        <is>
          <t>ข้อ 3 (PLE_CC1_Key_Rx20_UBU.md)</t>
        </is>
      </c>
      <c r="O97" s="2" t="inlineStr">
        <is>
          <t>Mock</t>
        </is>
      </c>
      <c r="P97" s="2" t="inlineStr">
        <is>
          <t>Mock Rx20 UBU</t>
        </is>
      </c>
    </row>
    <row r="98" ht="13.2" customHeight="1" s="49">
      <c r="A98" s="8" t="inlineStr">
        <is>
          <t>96</t>
        </is>
      </c>
      <c r="B98" s="2"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2" t="n"/>
      <c r="D98" s="2" t="inlineStr">
        <is>
          <t>Polysorbate 20 surfactant to prevent protein aggregation</t>
        </is>
      </c>
      <c r="E98" s="2" t="inlineStr">
        <is>
          <t>Histidine Buffer pH 6.0 formulation stability</t>
        </is>
      </c>
      <c r="F98" s="2" t="inlineStr">
        <is>
          <t>Recombinant DNA Human Insulin in E. coli</t>
        </is>
      </c>
      <c r="G98" s="2" t="inlineStr">
        <is>
          <t>Monoclonal Antibody IgG1 (CHO Cell Expression)</t>
        </is>
      </c>
      <c r="H98" s="2" t="inlineStr">
        <is>
          <t>Polyethylene Glycol (PEG) Conjugation for extended half-life</t>
        </is>
      </c>
      <c r="I98" s="8" t="inlineStr">
        <is>
          <t>1</t>
        </is>
      </c>
      <c r="J9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Recombinant DNA</t>
        </is>
      </c>
      <c r="M98" s="2" t="inlineStr">
        <is>
          <t>Product</t>
        </is>
      </c>
      <c r="N98" s="2" t="inlineStr">
        <is>
          <t>ข้อ 5 (PLE_CC1_Key_Rx20_UBU.md)</t>
        </is>
      </c>
      <c r="O98" s="2" t="inlineStr">
        <is>
          <t>Mock</t>
        </is>
      </c>
      <c r="P98" s="2" t="inlineStr">
        <is>
          <t>Mock Rx20 UBU</t>
        </is>
      </c>
    </row>
    <row r="99" ht="13.2" customHeight="1" s="49">
      <c r="A99" s="8" t="inlineStr">
        <is>
          <t>97</t>
        </is>
      </c>
      <c r="B99" s="2" t="inlineStr">
        <is>
          <t>ขอใดถูกเกี่ยวกับการฉีดวัคซีนพิษสุนัขบ้า</t>
        </is>
      </c>
      <c r="C99" s="2" t="n"/>
      <c r="D99" s="2" t="inlineStr">
        <is>
          <t>Monoclonal Antibody IgG1 (CHO Cell Expression)</t>
        </is>
      </c>
      <c r="E99" s="2" t="inlineStr">
        <is>
          <t>Polyethylene Glycol (PEG) Conjugation for extended half-life</t>
        </is>
      </c>
      <c r="F99" s="2" t="inlineStr">
        <is>
          <t>Lyophilization (Freeze-drying) with Trehalose Cryoprotectant</t>
        </is>
      </c>
      <c r="G99" s="2" t="inlineStr">
        <is>
          <t>ELISA Immunoassay for protein quantification</t>
        </is>
      </c>
      <c r="H99" s="2" t="inlineStr">
        <is>
          <t>SDS-PAGE Gel Electrophoresis purity analysis</t>
        </is>
      </c>
      <c r="I99" s="8" t="inlineStr">
        <is>
          <t>1</t>
        </is>
      </c>
      <c r="J9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Recombinant DNA</t>
        </is>
      </c>
      <c r="M99" s="2" t="inlineStr">
        <is>
          <t>Product</t>
        </is>
      </c>
      <c r="N99" s="2" t="inlineStr">
        <is>
          <t>ข้อ 4 (PLE_CC1_Key_Rx20_UBU.md)</t>
        </is>
      </c>
      <c r="O99" s="2" t="inlineStr">
        <is>
          <t>Mock</t>
        </is>
      </c>
      <c r="P99" s="2" t="inlineStr">
        <is>
          <t>Mock Rx20 UBU</t>
        </is>
      </c>
    </row>
    <row r="100" ht="13.2" customHeight="1" s="49">
      <c r="A100" s="8" t="inlineStr">
        <is>
          <t>98</t>
        </is>
      </c>
      <c r="B100" s="2" t="inlineStr">
        <is>
          <t>หากจะฉีด Equine Ig พร้อมกับวัคซีนพิษสุนัขบ้า ใหฉีดที่แขนข้างเดียวกัน ตอบ 1 recall</t>
        </is>
      </c>
      <c r="C100" s="2" t="n"/>
      <c r="D100" s="2" t="inlineStr">
        <is>
          <t>ELISA Immunoassay for protein quantification</t>
        </is>
      </c>
      <c r="E100" s="2" t="inlineStr">
        <is>
          <t>SDS-PAGE Gel Electrophoresis purity analysis</t>
        </is>
      </c>
      <c r="F100" s="2" t="inlineStr">
        <is>
          <t>Isoelectric Focusing (IEF) for charge heterogeneity</t>
        </is>
      </c>
      <c r="G100" s="2" t="inlineStr">
        <is>
          <t>Immunogenicity Neutralizing Antibody Assay</t>
        </is>
      </c>
      <c r="H100" s="2" t="inlineStr">
        <is>
          <t>Polysorbate 20 surfactant to prevent protein aggregation</t>
        </is>
      </c>
      <c r="I100" s="8" t="inlineStr">
        <is>
          <t>1</t>
        </is>
      </c>
      <c r="J10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Recombinant DNA</t>
        </is>
      </c>
      <c r="M100" s="2" t="inlineStr">
        <is>
          <t>Product</t>
        </is>
      </c>
      <c r="N100" s="2" t="inlineStr">
        <is>
          <t>ข้อ 5 (PLE_CC1_Key_Rx20_UBU.md)</t>
        </is>
      </c>
      <c r="O100" s="2" t="inlineStr">
        <is>
          <t>Mock</t>
        </is>
      </c>
      <c r="P100" s="2" t="inlineStr">
        <is>
          <t>Mock Rx20 UBU</t>
        </is>
      </c>
    </row>
    <row r="101" ht="13.2" customHeight="1" s="49">
      <c r="A101" s="8" t="inlineStr">
        <is>
          <t>99</t>
        </is>
      </c>
      <c r="B101" s="2" t="inlineStr">
        <is>
          <t>หากไมทราบประวัติการไดรับวัคซีน ควรไดรับการฉีดวัคซีนอยางไร</t>
        </is>
      </c>
      <c r="C101" s="2" t="n"/>
      <c r="D101" s="2" t="inlineStr">
        <is>
          <t>Immunogenicity Neutralizing Antibody Assay</t>
        </is>
      </c>
      <c r="E101" s="2" t="inlineStr">
        <is>
          <t>Polysorbate 20 surfactant to prevent protein aggregation</t>
        </is>
      </c>
      <c r="F101" s="2" t="inlineStr">
        <is>
          <t>Histidine Buffer pH 6.0 formulation stability</t>
        </is>
      </c>
      <c r="G101" s="2" t="inlineStr">
        <is>
          <t>Recombinant DNA Human Insulin in E. coli</t>
        </is>
      </c>
      <c r="H101" s="2" t="inlineStr">
        <is>
          <t>Monoclonal Antibody IgG1 (CHO Cell Expression)</t>
        </is>
      </c>
      <c r="I101" s="8" t="inlineStr">
        <is>
          <t>1</t>
        </is>
      </c>
      <c r="J10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Recombinant DNA</t>
        </is>
      </c>
      <c r="M101" s="2" t="inlineStr">
        <is>
          <t>Product</t>
        </is>
      </c>
      <c r="N101" s="2" t="inlineStr">
        <is>
          <t>ข้อ 5 (PLE_CC1_Key_Rx20_UBU.md)</t>
        </is>
      </c>
      <c r="O101" s="2" t="inlineStr">
        <is>
          <t>Mock</t>
        </is>
      </c>
      <c r="P101" s="2" t="inlineStr">
        <is>
          <t>Mock Rx20 UBU</t>
        </is>
      </c>
    </row>
    <row r="102" ht="13.2" customHeight="1" s="49">
      <c r="A102" s="8" t="inlineStr">
        <is>
          <t>100</t>
        </is>
      </c>
      <c r="B102" s="2" t="inlineStr">
        <is>
          <t>ฉีดวัคซีนบาดทะยัก</t>
        </is>
      </c>
      <c r="C102" s="2" t="n"/>
      <c r="D102" s="2" t="inlineStr">
        <is>
          <t>Recombinant DNA Human Insulin in E. coli</t>
        </is>
      </c>
      <c r="E102" s="2" t="inlineStr">
        <is>
          <t>Monoclonal Antibody IgG1 (CHO Cell Expression)</t>
        </is>
      </c>
      <c r="F102" s="2" t="inlineStr">
        <is>
          <t>Polyethylene Glycol (PEG) Conjugation for extended half-life</t>
        </is>
      </c>
      <c r="G102" s="2" t="inlineStr">
        <is>
          <t>Lyophilization (Freeze-drying) with Trehalose Cryoprotectant</t>
        </is>
      </c>
      <c r="H102" s="2" t="inlineStr">
        <is>
          <t>ELISA Immunoassay for protein quantification</t>
        </is>
      </c>
      <c r="I102" s="8" t="inlineStr">
        <is>
          <t>1</t>
        </is>
      </c>
      <c r="J10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Recombinant DNA</t>
        </is>
      </c>
      <c r="M102" s="2" t="inlineStr">
        <is>
          <t>Product</t>
        </is>
      </c>
      <c r="N102" s="2" t="inlineStr">
        <is>
          <t>ข้อ 1 (PLE_CC1_Key_Rx20_UBU.md)</t>
        </is>
      </c>
      <c r="O102" s="2" t="inlineStr">
        <is>
          <t>Mock</t>
        </is>
      </c>
      <c r="P102" s="2" t="inlineStr">
        <is>
          <t>Mock Rx20 UBU</t>
        </is>
      </c>
    </row>
    <row r="103" ht="13.2" customHeight="1" s="49">
      <c r="A103" s="8" t="inlineStr">
        <is>
          <t>101</t>
        </is>
      </c>
      <c r="B103" s="2" t="inlineStr">
        <is>
          <t>ฉีดวัคซีนปองกันพิษสุนัขบา</t>
        </is>
      </c>
      <c r="C103" s="2" t="n"/>
      <c r="D103" s="2" t="inlineStr">
        <is>
          <t>Lyophilization (Freeze-drying) with Trehalose Cryoprotectant</t>
        </is>
      </c>
      <c r="E103" s="2" t="inlineStr">
        <is>
          <t>ELISA Immunoassay for protein quantification</t>
        </is>
      </c>
      <c r="F103" s="2" t="inlineStr">
        <is>
          <t>SDS-PAGE Gel Electrophoresis purity analysis</t>
        </is>
      </c>
      <c r="G103" s="2" t="inlineStr">
        <is>
          <t>Isoelectric Focusing (IEF) for charge heterogeneity</t>
        </is>
      </c>
      <c r="H103" s="2" t="inlineStr">
        <is>
          <t>Immunogenicity Neutralizing Antibody Assay</t>
        </is>
      </c>
      <c r="I103" s="8" t="inlineStr">
        <is>
          <t>1</t>
        </is>
      </c>
      <c r="J10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Recombinant DNA</t>
        </is>
      </c>
      <c r="M103" s="2" t="inlineStr">
        <is>
          <t>Product</t>
        </is>
      </c>
      <c r="N103" s="2" t="inlineStr">
        <is>
          <t>ข้อ 2 (PLE_CC1_Key_Rx20_UBU.md)</t>
        </is>
      </c>
      <c r="O103" s="2" t="inlineStr">
        <is>
          <t>Mock</t>
        </is>
      </c>
      <c r="P103" s="2" t="inlineStr">
        <is>
          <t>Mock Rx20 UBU</t>
        </is>
      </c>
    </row>
    <row r="104" ht="13.2" customHeight="1" s="49">
      <c r="A104" s="8" t="inlineStr">
        <is>
          <t>102</t>
        </is>
      </c>
      <c r="B104" s="2" t="inlineStr">
        <is>
          <t>ฉีดอิมมูโนโกลบูลิน และ วัคซีนปองกันพิษสุนัขบา</t>
        </is>
      </c>
      <c r="C104" s="2" t="n"/>
      <c r="D104" s="2" t="inlineStr">
        <is>
          <t>Isoelectric Focusing (IEF) for charge heterogeneity</t>
        </is>
      </c>
      <c r="E104" s="2" t="inlineStr">
        <is>
          <t>Immunogenicity Neutralizing Antibody Assay</t>
        </is>
      </c>
      <c r="F104" s="2" t="inlineStr">
        <is>
          <t>Polysorbate 20 surfactant to prevent protein aggregation</t>
        </is>
      </c>
      <c r="G104" s="2" t="inlineStr">
        <is>
          <t>Histidine Buffer pH 6.0 formulation stability</t>
        </is>
      </c>
      <c r="H104" s="2" t="inlineStr">
        <is>
          <t>Recombinant DNA Human Insulin in E. coli</t>
        </is>
      </c>
      <c r="I104" s="8" t="inlineStr">
        <is>
          <t>1</t>
        </is>
      </c>
      <c r="J10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Recombinant DNA</t>
        </is>
      </c>
      <c r="M104" s="2" t="inlineStr">
        <is>
          <t>Product</t>
        </is>
      </c>
      <c r="N104" s="2" t="inlineStr">
        <is>
          <t>ข้อ 4 (PLE_CC1_Key_Rx20_UBU.md)</t>
        </is>
      </c>
      <c r="O104" s="2" t="inlineStr">
        <is>
          <t>Mock</t>
        </is>
      </c>
      <c r="P104" s="2" t="inlineStr">
        <is>
          <t>Mock Rx20 UBU</t>
        </is>
      </c>
    </row>
    <row r="105" ht="13.2" customHeight="1" s="49">
      <c r="A105" s="8" t="inlineStr">
        <is>
          <t>103</t>
        </is>
      </c>
      <c r="B105" s="2"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2" t="n"/>
      <c r="D105" s="2" t="inlineStr">
        <is>
          <t>Histidine Buffer pH 6.0 formulation stability</t>
        </is>
      </c>
      <c r="E105" s="2" t="inlineStr">
        <is>
          <t>Recombinant DNA Human Insulin in E. coli</t>
        </is>
      </c>
      <c r="F105" s="2" t="inlineStr">
        <is>
          <t>Monoclonal Antibody IgG1 (CHO Cell Expression)</t>
        </is>
      </c>
      <c r="G105" s="2" t="inlineStr">
        <is>
          <t>Polyethylene Glycol (PEG) Conjugation for extended half-life</t>
        </is>
      </c>
      <c r="H105" s="2" t="inlineStr">
        <is>
          <t>Lyophilization (Freeze-drying) with Trehalose Cryoprotectant</t>
        </is>
      </c>
      <c r="I105" s="8" t="inlineStr">
        <is>
          <t>1</t>
        </is>
      </c>
      <c r="J10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Recombinant DNA</t>
        </is>
      </c>
      <c r="M105" s="2" t="inlineStr">
        <is>
          <t>Product</t>
        </is>
      </c>
      <c r="N105" s="2" t="inlineStr">
        <is>
          <t>ข้อ 5 (PLE_CC1_Key_Rx20_UBU.md)</t>
        </is>
      </c>
      <c r="O105" s="2" t="inlineStr">
        <is>
          <t>Mock</t>
        </is>
      </c>
      <c r="P105" s="2" t="inlineStr">
        <is>
          <t>Mock Rx20 UBU</t>
        </is>
      </c>
    </row>
    <row r="106" ht="13.2" customHeight="1" s="49">
      <c r="A106" s="8" t="inlineStr">
        <is>
          <t>104</t>
        </is>
      </c>
      <c r="B106" s="2" t="inlineStr">
        <is>
          <t>ข้อใดถูกต้องเกี่ยวกับ Insulin ที่ได้จากการทำ Recombinant DNA</t>
        </is>
      </c>
      <c r="C106" s="2" t="n"/>
      <c r="D106" s="2" t="inlineStr">
        <is>
          <t>นำ Beta-cell ไปเพาะเลี้ยงในหลอดทดลอง แล้วสกัด Insulin ออกมา</t>
        </is>
      </c>
      <c r="E106" s="2" t="inlineStr">
        <is>
          <t>นำยีนที่สร้าง Insulin ของคน ไปทำ PCR แล้วเก็บเกี่ยวโปรตีน</t>
        </is>
      </c>
      <c r="F106" s="2" t="inlineStr">
        <is>
          <t>ตัดต่อยีนสร้าง Insulin ให้กับยีสต์ แล้วเอายีสต์ไปเลี้ยง เพื่อให้สร้าง Insulin ออกมา</t>
        </is>
      </c>
      <c r="G106" s="2" t="inlineStr">
        <is>
          <t>ใช้ Agrobacteria นำส่งยีนที่ต้องการไปสู่เซลล์ของสัตว์ทดลอง ให้ผลิต Insulin</t>
        </is>
      </c>
      <c r="H106" s="2" t="inlineStr">
        <is>
          <t>สกัด Insulin จากสัตว์ทดลองไปตัดต่อโครงสร้าง แล้วนำมาใช้ในคน</t>
        </is>
      </c>
      <c r="I106" s="8" t="inlineStr">
        <is>
          <t>3</t>
        </is>
      </c>
      <c r="J106" s="2"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Recombinant DNA</t>
        </is>
      </c>
      <c r="M106" s="2" t="inlineStr">
        <is>
          <t>Product</t>
        </is>
      </c>
      <c r="N106" s="2" t="inlineStr">
        <is>
          <t>ข้อ 79 (PLE_CC1_Key_Rx20_UBU.md)</t>
        </is>
      </c>
      <c r="O106" s="2" t="inlineStr">
        <is>
          <t>Mock</t>
        </is>
      </c>
      <c r="P106" s="2" t="inlineStr">
        <is>
          <t>Mock Rx20 UBU</t>
        </is>
      </c>
    </row>
    <row r="107" ht="13.2" customHeight="1" s="49">
      <c r="A107" s="2" t="n">
        <v>105</v>
      </c>
      <c r="B107" s="2" t="inlineStr">
        <is>
          <t>ข้อใดไม่ใช่ปัจจัยที่มีผลต่อการเกิด Immunogenicity ของยาชีววัตถุ (Biological Products)</t>
        </is>
      </c>
      <c r="C107" s="2" t="n"/>
      <c r="D107" s="2" t="inlineStr">
        <is>
          <t>โครงสร้างที่ไม่คล้ายกับ Human endogenous</t>
        </is>
      </c>
      <c r="E107" s="2" t="inlineStr">
        <is>
          <t>การเกิดการเสื่อมสลายและการรวมกลุ่มของ protein</t>
        </is>
      </c>
      <c r="F107" s="2" t="inlineStr">
        <is>
          <t>Excipient ของ formulation ที่ส่งผลต่อการเปลี่ยนแปลง conformation</t>
        </is>
      </c>
      <c r="G107" s="2" t="inlineStr">
        <is>
          <t>ขนาดและความถี่ในการให้ยา</t>
        </is>
      </c>
      <c r="H107" s="2" t="inlineStr">
        <is>
          <t>อัตราการให้เข้าสู่ systemic circulation ที่น้อยกว่า IV bolus</t>
        </is>
      </c>
      <c r="I107" s="8" t="inlineStr">
        <is>
          <t>3</t>
        </is>
      </c>
      <c r="J107" s="2"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2" t="n"/>
      <c r="L107" s="2" t="inlineStr">
        <is>
          <t>Biotech Products</t>
        </is>
      </c>
      <c r="M107" s="2" t="inlineStr">
        <is>
          <t>Product</t>
        </is>
      </c>
      <c r="N107" s="2" t="inlineStr">
        <is>
          <t>Mock PLE-CC 1 ข้อ 64</t>
        </is>
      </c>
      <c r="O107" s="2" t="inlineStr">
        <is>
          <t>Mock</t>
        </is>
      </c>
      <c r="P107" s="2" t="inlineStr">
        <is>
          <t>Mock RxCU83</t>
        </is>
      </c>
    </row>
    <row r="108" ht="13.2" customHeight="1" s="49">
      <c r="A108" s="2" t="n">
        <v>106</v>
      </c>
      <c r="B108" s="2" t="inlineStr">
        <is>
          <t>ข้อใดเป็น excipients ที่นิยมใช้ใน formulation ของ injectable monoclonal antibody เพื่อลดการเกิด aggregation และเพิ่ม stability</t>
        </is>
      </c>
      <c r="C108" s="2" t="n"/>
      <c r="D108" s="2" t="inlineStr">
        <is>
          <t>Sorbitol</t>
        </is>
      </c>
      <c r="E108" s="2" t="inlineStr">
        <is>
          <t>Mannitol</t>
        </is>
      </c>
      <c r="F108" s="2" t="inlineStr">
        <is>
          <t>Polysorbate 80</t>
        </is>
      </c>
      <c r="G108" s="2" t="inlineStr">
        <is>
          <t>Sodium Chloride</t>
        </is>
      </c>
      <c r="H108" s="2" t="inlineStr">
        <is>
          <t>PEG 400</t>
        </is>
      </c>
      <c r="I108" s="8" t="inlineStr">
        <is>
          <t>3</t>
        </is>
      </c>
      <c r="J108" s="2"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2" t="n"/>
      <c r="L108" s="2" t="inlineStr">
        <is>
          <t>Biotech Products</t>
        </is>
      </c>
      <c r="M108" s="2" t="inlineStr">
        <is>
          <t>Product</t>
        </is>
      </c>
      <c r="N108" s="2" t="inlineStr">
        <is>
          <t>Mock PLE-CC 1 ข้อ 73</t>
        </is>
      </c>
      <c r="O108" s="2" t="inlineStr">
        <is>
          <t>Mock</t>
        </is>
      </c>
      <c r="P108" s="2" t="inlineStr">
        <is>
          <t>Mock RxCU83</t>
        </is>
      </c>
    </row>
    <row r="109" ht="13.2" customHeight="1" s="49">
      <c r="A109" s="2" t="n">
        <v>107</v>
      </c>
      <c r="B109" s="2" t="inlineStr">
        <is>
          <t>ข้อใดคือลักษณะและข้อกำหนดที่ถูกต้องของการขึ้นทะเบียนยาชีววัตถุคล้ายคลึง (Biosimilar) เทียบกับ Reference biological drug</t>
        </is>
      </c>
      <c r="C109" s="2" t="n"/>
      <c r="D109" s="2" t="inlineStr">
        <is>
          <t>ใช้เกณฑ์มาตรฐานเดียวกับยาชื่อสามัญ (Generic drug) โดยทดสอบเพียงการละลายในหลอดทดลอง</t>
        </is>
      </c>
      <c r="E109" s="2" t="inlineStr">
        <is>
          <t>ต้องแสดงข้อมูล Biosimilar comparability ครบถ้วนทั้ง Quality, Safety และ Clinical Efficacy</t>
        </is>
      </c>
      <c r="F109" s="2" t="inlineStr">
        <is>
          <t>ไม่ต้องทำการทดสอบ Clinical และ Non-clinical หากกระบวนการหมักเหมือนเดิม</t>
        </is>
      </c>
      <c r="G109" s="2" t="inlineStr">
        <is>
          <t>ไม่ต้องแสดงข้อมูล Immunogenicity เพราะถือว่าเป็นโปรตีนที่เหมือนกับต้นแบบ 100%</t>
        </is>
      </c>
      <c r="H109" s="2" t="inlineStr">
        <is>
          <t>ถือว่าเป็น generic drug ของยา Reference เพราะมีโครงสร้างโปรตีนขนาดเล็กคล้ายกัน</t>
        </is>
      </c>
      <c r="I109" s="8" t="inlineStr">
        <is>
          <t>2</t>
        </is>
      </c>
      <c r="J109" s="2"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2" t="n"/>
      <c r="L109" s="2" t="inlineStr">
        <is>
          <t>Biotech Products</t>
        </is>
      </c>
      <c r="M109" s="2" t="inlineStr">
        <is>
          <t>Product</t>
        </is>
      </c>
      <c r="N109" s="2" t="inlineStr">
        <is>
          <t>Mock PLE-CC 1 ข้อ 82</t>
        </is>
      </c>
      <c r="O109" s="2" t="inlineStr">
        <is>
          <t>Mock</t>
        </is>
      </c>
      <c r="P109" s="2" t="inlineStr">
        <is>
          <t>Mock RxCU83</t>
        </is>
      </c>
    </row>
    <row r="110" ht="409.6" customHeight="1" s="49">
      <c r="A110" s="35" t="n">
        <v>108</v>
      </c>
      <c r="B110" s="34" t="inlineStr">
        <is>
          <t>สารก่อฟิล์ม ในการเคลือบเม็ดยา</t>
        </is>
      </c>
      <c r="C110" s="35" t="n"/>
      <c r="D110" s="34" t="inlineStr">
        <is>
          <t>Hypromellose (HPMC) ✅ Film-forming agent</t>
        </is>
      </c>
      <c r="E110" s="34" t="inlineStr">
        <is>
          <t>Macrogol 400 (PEG 400\) ❌ Plasticizer</t>
        </is>
      </c>
      <c r="F110" s="34" t="inlineStr">
        <is>
          <t>Carnauba wax ❌ Polishing agent</t>
        </is>
      </c>
      <c r="G110" s="34" t="inlineStr">
        <is>
          <t>Dibutyl phthalate ❌ Plasticizer</t>
        </is>
      </c>
      <c r="H110" s="34" t="inlineStr">
        <is>
          <t>SiO₂ (Colloidal silicon dioxide) ❌ Glidant/Anti-caking agent</t>
        </is>
      </c>
      <c r="I110" s="35" t="n">
        <v>1</v>
      </c>
      <c r="J110" s="34" t="inlineStr">
        <is>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35" t="n"/>
      <c r="L110" s="34" t="inlineStr">
        <is>
          <t>Biotechnology &amp; Biological Products</t>
        </is>
      </c>
      <c r="M110" s="35" t="inlineStr">
        <is>
          <t>Product</t>
        </is>
      </c>
      <c r="N110" s="34" t="inlineStr">
        <is>
          <t>ข้อสอบจริง Product ปี 2564 ข้อ 66</t>
        </is>
      </c>
      <c r="O110" s="35" t="inlineStr">
        <is>
          <t>ข้อสอบจริง</t>
        </is>
      </c>
      <c r="P110" s="35" t="inlineStr">
        <is>
          <t>ปี 2564</t>
        </is>
      </c>
    </row>
    <row r="111" ht="409.6" customHeight="1" s="49">
      <c r="A111" s="35" t="n">
        <v>109</v>
      </c>
      <c r="B111" s="34" t="inlineStr">
        <is>
          <t>สารก่อฟิล์ม ในการเคลือบเม็ดยา ต้นฉบับ: Day 2 ข้อ 20</t>
        </is>
      </c>
      <c r="C111" s="35" t="n"/>
      <c r="D111" s="34" t="inlineStr">
        <is>
          <t>Hypromellose</t>
        </is>
      </c>
      <c r="E111" s="34" t="inlineStr">
        <is>
          <t>Macrogol 400</t>
        </is>
      </c>
      <c r="F111" s="34" t="inlineStr">
        <is>
          <t>Carnauba wax</t>
        </is>
      </c>
      <c r="G111" s="34" t="inlineStr">
        <is>
          <t>Dibutyl phthalate</t>
        </is>
      </c>
      <c r="H111" s="34" t="inlineStr">
        <is>
          <t>SiO₂</t>
        </is>
      </c>
      <c r="I111" s="35" t="n">
        <v>1</v>
      </c>
      <c r="J111" s="34" t="inlineStr">
        <is>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1" s="35" t="n"/>
      <c r="L111" s="34" t="inlineStr">
        <is>
          <t>Biotechnology &amp; Biological Products</t>
        </is>
      </c>
      <c r="M111" s="35" t="inlineStr">
        <is>
          <t>Product</t>
        </is>
      </c>
      <c r="N111" s="34" t="inlineStr">
        <is>
          <t>ข้อสอบจริง Product ปี 2563 ข้อ 28</t>
        </is>
      </c>
      <c r="O111" s="35" t="inlineStr">
        <is>
          <t>ข้อสอบจริง</t>
        </is>
      </c>
      <c r="P111" s="35" t="inlineStr">
        <is>
          <t>ปี 2563</t>
        </is>
      </c>
    </row>
    <row r="112" ht="409.6" customHeight="1" s="49">
      <c r="A112" s="35" t="n">
        <v>110</v>
      </c>
      <c r="B112" s="34" t="inlineStr">
        <is>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is>
      </c>
      <c r="C112" s="35" t="n"/>
      <c r="D112" s="34" t="inlineStr">
        <is>
          <t>ความปลอดภัย</t>
        </is>
      </c>
      <c r="E112" s="34" t="inlineStr">
        <is>
          <t>ราคา</t>
        </is>
      </c>
      <c r="F112" s="34" t="inlineStr">
        <is>
          <t>ขนาดยา</t>
        </is>
      </c>
      <c r="G112" s="34" t="inlineStr">
        <is>
          <t>ระยะเวลาในการใช้งาน</t>
        </is>
      </c>
      <c r="H112" s="34" t="inlineStr">
        <is>
          <t>อายุ |</t>
        </is>
      </c>
      <c r="I112" s="35" t="n">
        <v>1</v>
      </c>
      <c r="J112" s="34" t="inlineStr">
        <is>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2" s="35" t="n"/>
      <c r="L112" s="34" t="inlineStr">
        <is>
          <t>Biotechnology &amp; Biological Products</t>
        </is>
      </c>
      <c r="M112" s="35" t="inlineStr">
        <is>
          <t>Product</t>
        </is>
      </c>
      <c r="N112" s="34" t="inlineStr">
        <is>
          <t>ข้อสอบจริง Product ปี 2562 ข้อ 3</t>
        </is>
      </c>
      <c r="O112" s="35" t="inlineStr">
        <is>
          <t>ข้อสอบจริง</t>
        </is>
      </c>
      <c r="P112" s="35" t="inlineStr">
        <is>
          <t>ปี 2562</t>
        </is>
      </c>
    </row>
    <row r="113" ht="409.6" customHeight="1" s="49">
      <c r="A113" s="35" t="n">
        <v>111</v>
      </c>
      <c r="B113" s="34" t="inlineStr">
        <is>
          <t>หากลูกค้าที่ซื้อยา กลับมาที่ร้านแล้วพบว่ายาเคลือบน้ำตาล dextromethorphan นั่นเป็นจุดด่าง ข้อใดถูกต้อง</t>
        </is>
      </c>
      <c r="C113" s="35" t="n"/>
      <c r="D113" s="34" t="inlineStr">
        <is>
          <t>เรียกว่า chipping</t>
        </is>
      </c>
      <c r="E113" s="34" t="inlineStr">
        <is>
          <t>นิยมใช้สีที่ไม่ละลายน้ำเพื่อลดสีย้ายที่</t>
        </is>
      </c>
      <c r="F113" s="34" t="inlineStr">
        <is>
          <t>การใช้สีละลายน้ำสามารถลดปัญหาสีย้ายที่</t>
        </is>
      </c>
      <c r="G113" s="34" t="inlineStr">
        <is>
          <t>การเคลือบสีมักใช้ผสมกับ carnauba wax</t>
        </is>
      </c>
      <c r="H113" s="34" t="inlineStr">
        <is>
          <t>เกิดจากการทำการเคลือบสีในขั้นตอน sealing</t>
        </is>
      </c>
      <c r="I113" s="35" t="n">
        <v>1</v>
      </c>
      <c r="J113" s="34"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35" t="n"/>
      <c r="L113" s="34" t="inlineStr">
        <is>
          <t>Biotechnology &amp; Biological Products</t>
        </is>
      </c>
      <c r="M113" s="35" t="inlineStr">
        <is>
          <t>Product</t>
        </is>
      </c>
      <c r="N113" s="34" t="inlineStr">
        <is>
          <t>ข้อสอบจริง Product ปี 2561 ข้อ 57</t>
        </is>
      </c>
      <c r="O113" s="35" t="inlineStr">
        <is>
          <t>ข้อสอบจริง</t>
        </is>
      </c>
      <c r="P113" s="35" t="inlineStr">
        <is>
          <t>ปี 2561</t>
        </is>
      </c>
    </row>
    <row r="114" ht="409.6" customHeight="1" s="49">
      <c r="A114" s="35" t="n">
        <v>112</v>
      </c>
      <c r="B114" s="34"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t>
        </is>
      </c>
      <c r="C114" s="35" t="inlineStr">
        <is>
          <t>[แนบรูป: ข้อสอบ Product ปี 2561 รหัสรูปภาพ image112]</t>
        </is>
      </c>
      <c r="D114" s="34" t="inlineStr">
        <is>
          <t>แกน X เป็นความเข้มข้นของสาร B</t>
        </is>
      </c>
      <c r="E114" s="34" t="inlineStr">
        <is>
          <t>กราฟที่ได้มาตรฐาน ควรมีจุดไม่เกิน 3 จุด</t>
        </is>
      </c>
      <c r="F114" s="34" t="inlineStr">
        <is>
          <t>แกน Y คืออัตราส่วนระหว่างความเข้มข้นสาร A และ B</t>
        </is>
      </c>
      <c r="G114" s="34" t="inlineStr">
        <is>
          <t>การมี internal standard solution ทำให้ค่า R² ห่างจาก 1 มากขึ้น</t>
        </is>
      </c>
      <c r="H114" s="34" t="inlineStr">
        <is>
          <t>ผลกราฟที่ได้ แสดงว่าสารไม่ได้มาตรฐาน เนื่องจาก linearity ไม่ได้มาตรฐาน</t>
        </is>
      </c>
      <c r="I114" s="35" t="n">
        <v>1</v>
      </c>
      <c r="J114" s="34"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35" t="n"/>
      <c r="L114" s="34" t="inlineStr">
        <is>
          <t>Biotechnology &amp; Biological Products</t>
        </is>
      </c>
      <c r="M114" s="35" t="inlineStr">
        <is>
          <t>Product</t>
        </is>
      </c>
      <c r="N114" s="34" t="inlineStr">
        <is>
          <t>ข้อสอบจริง Product ปี 2561 ข้อ 94</t>
        </is>
      </c>
      <c r="O114" s="35" t="inlineStr">
        <is>
          <t>ข้อสอบจริง</t>
        </is>
      </c>
      <c r="P114" s="35" t="inlineStr">
        <is>
          <t>ปี 2561</t>
        </is>
      </c>
    </row>
    <row r="115" ht="409.6" customHeight="1" s="49">
      <c r="A115" s="35" t="n">
        <v>113</v>
      </c>
      <c r="B115" s="34" t="inlineStr">
        <is>
          <t>Insulin gargine ผลิตมาจากอะไร</t>
        </is>
      </c>
      <c r="C115" s="35" t="n"/>
      <c r="D115" s="34" t="inlineStr">
        <is>
          <t>ตับอ่อนของวัว</t>
        </is>
      </c>
      <c r="E115" s="34" t="inlineStr">
        <is>
          <t>ตับอ่อนของหมู</t>
        </is>
      </c>
      <c r="F115" s="34" t="inlineStr">
        <is>
          <t>ตับอ่อนของคน</t>
        </is>
      </c>
      <c r="G115" s="34" t="inlineStr">
        <is>
          <t>Recombinant DNA</t>
        </is>
      </c>
      <c r="H115" s="34" t="inlineStr">
        <is>
          <t>Recombinant DNA E.coli</t>
        </is>
      </c>
      <c r="I115" s="35" t="n">
        <v>1</v>
      </c>
      <c r="J115" s="34"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35" t="n"/>
      <c r="L115" s="34" t="inlineStr">
        <is>
          <t>Biotechnology &amp; Biological Products</t>
        </is>
      </c>
      <c r="M115" s="35" t="inlineStr">
        <is>
          <t>Product</t>
        </is>
      </c>
      <c r="N115" s="34" t="inlineStr">
        <is>
          <t>ข้อสอบจริง Product ปี 2559 ข้อ 5</t>
        </is>
      </c>
      <c r="O115" s="35" t="inlineStr">
        <is>
          <t>ข้อสอบจริง</t>
        </is>
      </c>
      <c r="P115" s="35" t="inlineStr">
        <is>
          <t>ปี 2559</t>
        </is>
      </c>
    </row>
    <row r="116" ht="409.6" customHeight="1" s="49">
      <c r="A116" s="35" t="n">
        <v>114</v>
      </c>
      <c r="B116" s="34" t="inlineStr">
        <is>
          <t>Vaccine ที่มีส่วนผสมของ aluminium เป็น adjuvant สามารถบริหารได้ทางใด</t>
        </is>
      </c>
      <c r="C116" s="35" t="n"/>
      <c r="D116" s="34" t="inlineStr">
        <is>
          <t>IV</t>
        </is>
      </c>
      <c r="E116" s="34" t="inlineStr">
        <is>
          <t>IM</t>
        </is>
      </c>
      <c r="F116" s="34" t="inlineStr">
        <is>
          <t>SC</t>
        </is>
      </c>
      <c r="G116" s="34" t="inlineStr">
        <is>
          <t>ID</t>
        </is>
      </c>
      <c r="H116" s="34" t="inlineStr">
        <is>
          <t>IM \+ SC</t>
        </is>
      </c>
      <c r="I116" s="35" t="n">
        <v>1</v>
      </c>
      <c r="J116" s="34"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35" t="n"/>
      <c r="L116" s="34" t="inlineStr">
        <is>
          <t>Biotechnology &amp; Biological Products</t>
        </is>
      </c>
      <c r="M116" s="35" t="inlineStr">
        <is>
          <t>Product</t>
        </is>
      </c>
      <c r="N116" s="34" t="inlineStr">
        <is>
          <t>ข้อสอบจริง Product ปี 2559 ข้อ 9</t>
        </is>
      </c>
      <c r="O116" s="35" t="inlineStr">
        <is>
          <t>ข้อสอบจริง</t>
        </is>
      </c>
      <c r="P116" s="35" t="inlineStr">
        <is>
          <t>ปี 2559</t>
        </is>
      </c>
    </row>
    <row r="117" ht="409.6" customHeight="1" s="49">
      <c r="A117" s="35" t="n">
        <v>115</v>
      </c>
      <c r="B117" s="34" t="inlineStr">
        <is>
          <t>Vaccine ใดจัดอยู่ในกลุ่มเดียวกับ JE</t>
        </is>
      </c>
      <c r="C117" s="35" t="n"/>
      <c r="D117" s="34" t="inlineStr">
        <is>
          <t>OPV</t>
        </is>
      </c>
      <c r="E117" s="34" t="inlineStr">
        <is>
          <t>HBV</t>
        </is>
      </c>
      <c r="F117" s="34" t="inlineStr">
        <is>
          <t>DTwP</t>
        </is>
      </c>
      <c r="G117" s="34" t="inlineStr">
        <is>
          <t>MMT</t>
        </is>
      </c>
      <c r="H117" s="34" t="n"/>
      <c r="I117" s="35" t="n">
        <v>1</v>
      </c>
      <c r="J117" s="34"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35" t="n"/>
      <c r="L117" s="34" t="inlineStr">
        <is>
          <t>Biotechnology &amp; Biological Products</t>
        </is>
      </c>
      <c r="M117" s="35" t="inlineStr">
        <is>
          <t>Product</t>
        </is>
      </c>
      <c r="N117" s="34" t="inlineStr">
        <is>
          <t>ข้อสอบจริง Product ปี 2559 ข้อ 11</t>
        </is>
      </c>
      <c r="O117" s="35" t="inlineStr">
        <is>
          <t>ข้อสอบจริง</t>
        </is>
      </c>
      <c r="P117" s="35" t="inlineStr">
        <is>
          <t>ปี 2559</t>
        </is>
      </c>
    </row>
    <row r="118" ht="409.6" customHeight="1" s="49">
      <c r="A118" s="35" t="n">
        <v>116</v>
      </c>
      <c r="B118" s="34" t="inlineStr">
        <is>
          <t>Vaccine ที่มีส่วนผสมของ aluminium เป็น adjuvant สามารถบริหารได้ทางใด</t>
        </is>
      </c>
      <c r="C118" s="35" t="n"/>
      <c r="D118" s="34" t="inlineStr">
        <is>
          <t>IV</t>
        </is>
      </c>
      <c r="E118" s="34" t="inlineStr">
        <is>
          <t>IM</t>
        </is>
      </c>
      <c r="F118" s="34" t="inlineStr">
        <is>
          <t>SC</t>
        </is>
      </c>
      <c r="G118" s="34" t="inlineStr">
        <is>
          <t>ID</t>
        </is>
      </c>
      <c r="H118" s="34" t="inlineStr">
        <is>
          <t>IM \+ SC</t>
        </is>
      </c>
      <c r="I118" s="35" t="n">
        <v>1</v>
      </c>
      <c r="J118" s="34"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35" t="n"/>
      <c r="L118" s="34" t="inlineStr">
        <is>
          <t>Biotechnology &amp; Biological Products</t>
        </is>
      </c>
      <c r="M118" s="35" t="inlineStr">
        <is>
          <t>Product</t>
        </is>
      </c>
      <c r="N118" s="34" t="inlineStr">
        <is>
          <t>ข้อสอบจริง Product ปี 2559 ข้อ 10</t>
        </is>
      </c>
      <c r="O118" s="35" t="inlineStr">
        <is>
          <t>ข้อสอบจริง</t>
        </is>
      </c>
      <c r="P118" s="35" t="inlineStr">
        <is>
          <t>ปี 2559</t>
        </is>
      </c>
    </row>
    <row r="119" ht="409.6" customHeight="1" s="49">
      <c r="A119" s="35" t="n">
        <v>117</v>
      </c>
      <c r="B119" s="34"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35" t="n"/>
      <c r="D119" s="34" t="inlineStr">
        <is>
          <t>ต้องจัดเตรียมยาในสภาวะแวดล้อมที่ห้องควบคุมความดันเป็นบวก (Positive pressure room)</t>
        </is>
      </c>
      <c r="E119" s="34" t="inlineStr">
        <is>
          <t>ต้องทำภายในตู้ปลอดภัยทางชีวภาพ (Biological Safety Cabinet: BSC Class II Type B2) หรือตู้แบบปิด (Isolator)</t>
        </is>
      </c>
      <c r="F119" s="34" t="inlineStr">
        <is>
          <t>เจ้าหน้าที่ผู้เตรียมยาต้องสวมใส่ชุดสวมคลุมป้องกันชนิดปราศจากขุย (Lint-free protective gown)</t>
        </is>
      </c>
      <c r="G119" s="34" t="inlineStr">
        <is>
          <t>หลีกเลี่ยงหรือห้ามไม่ให้สตรีมีครรภ์เข้ามามีส่วนร่วมในการเตรียมผสมเคมีบำบัด</t>
        </is>
      </c>
      <c r="H119" s="34" t="inlineStr">
        <is>
          <t>ต้องเก็บกักและติดป้ายแสดงสัญญาณเตือนสารอันตรายรอบบริเวณเตรียมการวิเคราะห์อย่างเข้มงวด</t>
        </is>
      </c>
      <c r="I119" s="35" t="n">
        <v>1</v>
      </c>
      <c r="J119" s="34"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35" t="n"/>
      <c r="L119" s="34" t="inlineStr">
        <is>
          <t>Biotechnology &amp; Biological Products</t>
        </is>
      </c>
      <c r="M119" s="35" t="inlineStr">
        <is>
          <t>Product</t>
        </is>
      </c>
      <c r="N119" s="34" t="inlineStr">
        <is>
          <t>ข้อสอบจริง Product ปี 2558 ข้อ 27</t>
        </is>
      </c>
      <c r="O119" s="35" t="inlineStr">
        <is>
          <t>ข้อสอบจริง</t>
        </is>
      </c>
      <c r="P119" s="35" t="inlineStr">
        <is>
          <t>ปี 2558</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409.6" customHeight="1" s="49">
      <c r="A3" s="35" t="n">
        <v>1</v>
      </c>
      <c r="B3" s="34" t="inlineStr">
        <is>
          <t>สมุนไพรใดต่อไปนี้ สามารถใช้รักษาเชื้อราได้</t>
        </is>
      </c>
      <c r="C3" s="35" t="n"/>
      <c r="D3" s="34" t="inlineStr">
        <is>
          <t>ทิงเจอร์ทองพันชั่ง</t>
        </is>
      </c>
      <c r="E3" s="34" t="inlineStr">
        <is>
          <t>โลชั่นเลดพังพอน</t>
        </is>
      </c>
      <c r="F3" s="34" t="inlineStr">
        <is>
          <t>ทิงเจอร์ไพล</t>
        </is>
      </c>
      <c r="G3" s="34" t="inlineStr">
        <is>
          <t>ครีมใบบับก</t>
        </is>
      </c>
      <c r="H3" s="34" t="inlineStr">
        <is>
          <t>ครีมเม็ดน้อยน่า</t>
        </is>
      </c>
      <c r="I3" s="35" t="n">
        <v>1</v>
      </c>
      <c r="J3" s="34" t="inlineStr">
        <is>
          <t>✅ คำตอบที่ถูกต้อง: ข้อ ก. ทิงเจอร์ทองพันชั่ง
💡 Background:
คำถามข้อสอบจริงใบประกอบวิชาชีพ PLE-CC 1 (Product) ปี 2567 ข้อ 11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 s="35" t="n"/>
      <c r="L3" s="34" t="inlineStr">
        <is>
          <t>Herbal Products &amp; Standardization</t>
        </is>
      </c>
      <c r="M3" s="35" t="inlineStr">
        <is>
          <t>Product</t>
        </is>
      </c>
      <c r="N3" s="34" t="inlineStr">
        <is>
          <t>ข้อสอบจริง Product ปี 2567 ข้อ 11</t>
        </is>
      </c>
      <c r="O3" s="35" t="inlineStr">
        <is>
          <t>ข้อสอบจริง</t>
        </is>
      </c>
      <c r="P3" s="35" t="inlineStr">
        <is>
          <t>ปี 2567</t>
        </is>
      </c>
    </row>
    <row r="4" ht="409.6" customHeight="1" s="49">
      <c r="A4" s="35" t="n">
        <v>2</v>
      </c>
      <c r="B4" s="34" t="inlineStr">
        <is>
          <t>ส่วนประกอบของ MDI ส่วนใดที่ควบคุมการปรับละอองฝอยของยา</t>
        </is>
      </c>
      <c r="C4" s="35" t="inlineStr">
        <is>
          <t>[แนบรูป: ข้อสอบ Product ปี 2564 รหัสรูปภาพ image69]</t>
        </is>
      </c>
      <c r="D4" s="34" t="inlineStr">
        <is>
          <t>Actuator – ตัวครอบพลาสติกที่ใช้กดพ่นยาและนำละอองยาเข้าสู่ปาก มีช่องพ่นยา (mouthpiece) อยู่ในชิ้นส่วนนี้</t>
        </is>
      </c>
      <c r="E4" s="34" t="inlineStr">
        <is>
          <t>Metered valve – วาล์วจ่ายยา ทำหน้าที่ควบคุมให้ยาถูกพ่นออกมาในปริมาณที่แน่นอนทุกครั้งที่กด และเป็นส่วนปรับละอองฝอยของยาด้วย</t>
        </is>
      </c>
      <c r="F4" s="34" t="inlineStr">
        <is>
          <t>Mouthpiece – ช่องสำหรับอมและสูดดมยาเข้าสู่ทางเดินหายใจ</t>
        </is>
      </c>
      <c r="G4" s="34" t="inlineStr">
        <is>
          <t>Canister – กระป๋องบรรจุยา ภายในบรรจุตัวยาและสารขับดัน (propellant) เพื่อช่วยพ่นยาออกมาเป็นละออง</t>
        </is>
      </c>
      <c r="H4" s="34" t="inlineStr">
        <is>
          <t>Rotating disk – แผ่นหรือกลไกหมุนภายในชุดวาล์ว ช่วยในการทำงานของวาล์วจ่ายยา ให้รับและปล่อยยาปริมาณคงที่ในแต่ละครั้ง (มีในบางการออกแบบของ MDI) [แนบรูป: ข้อสอบ Product ปี 2564 รหัสรูปภาพ image69]</t>
        </is>
      </c>
      <c r="I4" s="35" t="n">
        <v>1</v>
      </c>
      <c r="J4" s="34" t="inlineStr">
        <is>
          <t>✅ คำตอบที่ถูกต้อง: ข้อ ก. Actuator – ตัวครอบพลาสติกที่ใช้กดพ่นยาและนำละอองยาเข้าสู่ปาก มีช่องพ่นยา (mouthpiece) อยู่ในชิ้นส่วนนี้
💡 Background:
คำถามข้อสอบจริงใบประกอบวิชาชีพ PLE-CC 1 (Product) ปี 2564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4" s="35" t="n"/>
      <c r="L4" s="34" t="inlineStr">
        <is>
          <t>Herbal Products &amp; Standardization</t>
        </is>
      </c>
      <c r="M4" s="35" t="inlineStr">
        <is>
          <t>Product</t>
        </is>
      </c>
      <c r="N4" s="34" t="inlineStr">
        <is>
          <t>ข้อสอบจริง Product ปี 2564 ข้อ 2</t>
        </is>
      </c>
      <c r="O4" s="35" t="inlineStr">
        <is>
          <t>ข้อสอบจริง</t>
        </is>
      </c>
      <c r="P4" s="35" t="inlineStr">
        <is>
          <t>ปี 2564</t>
        </is>
      </c>
    </row>
    <row r="5" ht="409.6" customHeight="1" s="49">
      <c r="A5" s="35" t="n">
        <v>3</v>
      </c>
      <c r="B5" s="34" t="inlineStr">
        <is>
          <t>ผลการวิเคราะห์ยาแคปซูลขมิ้นชันด้วย Total yeast and mold counts ได้ผล 5 x 10^4 CFU/g ข้อใดกล่าวถูกต้อง เมื่อเปรียบเทียบกับตารางกำหนดปริมาณจุลินทรีย์ของยาเตรียมสมุนไพร ดังตารางข้างล่างนี้ | เชื้อ | A/B | C | | :---- | :---- | :---- | | Total Bacteria | 5 x 10^7 | 5 x 10^6 | | Total Yeast and mold | 5 x 10^4 | 5 x 10^3 | | S. aureus | ต้องไม่พบเชื้อดังกล่าว |  | | P. aeruginosa |  |  | เมื่อ A = internal use ที่ต้องผ่านกระบวนการลดเชื้อก่อนใช้งาน เช่น การให้ความร้อน B = external use C = internal use ทั่วไป</t>
        </is>
      </c>
      <c r="C5" s="35" t="n"/>
      <c r="D5" s="34" t="inlineStr">
        <is>
          <t>ผ่านเกณฑ์มาตรฐาน เนื่องจากมีค่าไม่เกิน 5×10^7</t>
        </is>
      </c>
      <c r="E5" s="34" t="inlineStr">
        <is>
          <t>ผ่านเกณฑ์มาตรฐาน เนื่องจากมีค่าไม่เกิน 5×10^4</t>
        </is>
      </c>
      <c r="F5" s="34" t="inlineStr">
        <is>
          <t>ไม่ผ่านเกณฑ์มาตรฐาน เนื่องจากมีค่าเกิน 5×10^3</t>
        </is>
      </c>
      <c r="G5" s="34" t="inlineStr">
        <is>
          <t>ไม่ผ่านเกณฑ์มาตรฐาน เนื่องจากต้องตรวจไม่พบใน 10 g</t>
        </is>
      </c>
      <c r="H5" s="34" t="inlineStr">
        <is>
          <t>ไม่สามารถประเมินได้ เนื่องจากไม่มีเกณฑ์ระบุไว้</t>
        </is>
      </c>
      <c r="I5" s="35" t="n">
        <v>1</v>
      </c>
      <c r="J5" s="34" t="inlineStr">
        <is>
          <t>✅ คำตอบที่ถูกต้อง: ข้อ ก. ผ่านเกณฑ์มาตรฐาน เนื่องจากมีค่าไม่เกิน 5×10^7
💡 Background:
คำถามข้อสอบจริงใบประกอบวิชาชีพ PLE-CC 1 (Product) ปี 2564 ข้อ 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5" s="35" t="n"/>
      <c r="L5" s="34" t="inlineStr">
        <is>
          <t>Herbal Products &amp; Standardization</t>
        </is>
      </c>
      <c r="M5" s="35" t="inlineStr">
        <is>
          <t>Product</t>
        </is>
      </c>
      <c r="N5" s="34" t="inlineStr">
        <is>
          <t>ข้อสอบจริง Product ปี 2564 ข้อ 86</t>
        </is>
      </c>
      <c r="O5" s="35" t="inlineStr">
        <is>
          <t>ข้อสอบจริง</t>
        </is>
      </c>
      <c r="P5" s="35" t="inlineStr">
        <is>
          <t>ปี 2564</t>
        </is>
      </c>
    </row>
    <row r="6" ht="409.6" customHeight="1" s="49">
      <c r="A6" s="35" t="n">
        <v>4</v>
      </c>
      <c r="B6" s="34" t="inlineStr">
        <is>
          <t>สมุนไพรใดสามารถบรรเทาอาการปวดได้</t>
        </is>
      </c>
      <c r="C6" s="35" t="n"/>
      <c r="D6" s="34" t="inlineStr">
        <is>
          <t>ประสะกระเพรา ❌ ใช้เกี่ยวกับอาการท้องอืด ท้องเฟ้อ ขับลม</t>
        </is>
      </c>
      <c r="E6" s="34" t="inlineStr">
        <is>
          <t>ยาผสมเถาวัลย์เปรียง ✅ บรรเทาอาการปวดกล้ามเนื้อ/ข้อ</t>
        </is>
      </c>
      <c r="F6" s="34" t="inlineStr">
        <is>
          <t>ขิง ❌ เด่นด้านแก้คลื่นไส้ ขับลม ลดอักเสบเล็กน้อย</t>
        </is>
      </c>
      <c r="G6" s="34" t="inlineStr">
        <is>
          <t>พญาสัตบรรณ ❌ ใช้ตามภูมิปัญญา ไม่ใช่ตัวหลักสำหรับแก้ปวด</t>
        </is>
      </c>
      <c r="H6" s="34" t="inlineStr">
        <is>
          <t>เหง้าข่า ❌ ใช้ขับลม แก้ท้องอืด</t>
        </is>
      </c>
      <c r="I6" s="35" t="n">
        <v>1</v>
      </c>
      <c r="J6" s="34" t="inlineStr">
        <is>
          <t>✅ คำตอบที่ถูกต้อง: ข้อ ก. ประสะกระเพรา ❌ ใช้เกี่ยวกับอาการท้องอืด ท้องเฟ้อ ขับลม
💡 Background:
คำถามข้อสอบจริงใบประกอบวิชาชีพ PLE-CC 1 (Product) ปี 2564 ข้อ 170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6" s="35" t="n"/>
      <c r="L6" s="34" t="inlineStr">
        <is>
          <t>Herbal Products &amp; Standardization</t>
        </is>
      </c>
      <c r="M6" s="35" t="inlineStr">
        <is>
          <t>Product</t>
        </is>
      </c>
      <c r="N6" s="34" t="inlineStr">
        <is>
          <t>ข้อสอบจริง Product ปี 2564 ข้อ 170</t>
        </is>
      </c>
      <c r="O6" s="35" t="inlineStr">
        <is>
          <t>ข้อสอบจริง</t>
        </is>
      </c>
      <c r="P6" s="35" t="inlineStr">
        <is>
          <t>ปี 2564</t>
        </is>
      </c>
    </row>
    <row r="7" ht="409.6" customHeight="1" s="49">
      <c r="A7" s="35" t="n">
        <v>5</v>
      </c>
      <c r="B7" s="34" t="inlineStr">
        <is>
          <t>ตามสาธารณสุขมูลฐาน 2561 อะไรที่จะใช้รักษาโรคที่เกิดจากราได้</t>
        </is>
      </c>
      <c r="C7" s="35" t="n"/>
      <c r="D7" s="34" t="inlineStr">
        <is>
          <t>พลู ❌ ใช้แก้ท้องอืด ท้องเฟ้อ และมีฤทธิ์ฆ่าเชื้อบางชนิด แต่ไม่ใช่ตัวหลักในโรคเชื้อรา</t>
        </is>
      </c>
      <c r="E7" s="34" t="inlineStr">
        <is>
          <t>ทองพันชั่ง ✅ ใช้รักษาโรคผิวหนังจากเชื้อรา</t>
        </is>
      </c>
      <c r="F7" s="34" t="inlineStr">
        <is>
          <t>เปลือกมังคุด ❌ มีฤทธิ์ต้านเชื้อและฝาดสมาน ใช้กับแผล/ผิวหนังบางอย่าง แต่ไม่ใช่ตัวเด่น</t>
        </is>
      </c>
      <c r="G7" s="34" t="inlineStr">
        <is>
          <t>พญายอ ❌ ใช้รักษาเริม งูสวัด แผลอักเสบ</t>
        </is>
      </c>
      <c r="H7" s="34" t="inlineStr">
        <is>
          <t>ว่านหางจระเข้ ❌ ใช้สมานแผล ลดการระคายเคือง/แผลไฟไหม้</t>
        </is>
      </c>
      <c r="I7" s="35" t="n">
        <v>1</v>
      </c>
      <c r="J7" s="34" t="inlineStr">
        <is>
          <t>✅ คำตอบที่ถูกต้อง: ข้อ ก. พลู ❌ ใช้แก้ท้องอืด ท้องเฟ้อ และมีฤทธิ์ฆ่าเชื้อบางชนิด แต่ไม่ใช่ตัวหลักในโรคเชื้อรา
💡 Background:
คำถามข้อสอบจริงใบประกอบวิชาชีพ PLE-CC 1 (Product) ปี 2564 ข้อ 172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7" s="35" t="n"/>
      <c r="L7" s="34" t="inlineStr">
        <is>
          <t>Herbal Products &amp; Standardization</t>
        </is>
      </c>
      <c r="M7" s="35" t="inlineStr">
        <is>
          <t>Product</t>
        </is>
      </c>
      <c r="N7" s="34" t="inlineStr">
        <is>
          <t>ข้อสอบจริง Product ปี 2564 ข้อ 172</t>
        </is>
      </c>
      <c r="O7" s="35" t="inlineStr">
        <is>
          <t>ข้อสอบจริง</t>
        </is>
      </c>
      <c r="P7" s="35" t="inlineStr">
        <is>
          <t>ปี 2564</t>
        </is>
      </c>
    </row>
    <row r="8" ht="409.6" customHeight="1" s="49">
      <c r="A8" s="35" t="n">
        <v>6</v>
      </c>
      <c r="B8" s="34" t="inlineStr">
        <is>
          <t>สารสำคัญที่มีสรรพคุณลดปวดในเจลพริกคือสารใด</t>
        </is>
      </c>
      <c r="C8" s="35" t="n"/>
      <c r="D8" s="34" t="inlineStr">
        <is>
          <t>Piperalin</t>
        </is>
      </c>
      <c r="E8" s="34" t="inlineStr">
        <is>
          <t>Capsaicin</t>
        </is>
      </c>
      <c r="F8" s="34" t="inlineStr">
        <is>
          <t>Eugenol</t>
        </is>
      </c>
      <c r="G8" s="34" t="inlineStr">
        <is>
          <t>Volatile oil</t>
        </is>
      </c>
      <c r="H8" s="34" t="inlineStr">
        <is>
          <t>Curcuminoid</t>
        </is>
      </c>
      <c r="I8" s="35" t="n">
        <v>1</v>
      </c>
      <c r="J8" s="34" t="inlineStr">
        <is>
          <t>✅ คำตอบที่ถูกต้อง: ข้อ ก. Piperalin
💡 Background:
คำถามข้อสอบจริงใบประกอบวิชาชีพ PLE-CC 1 (Product) ปี 2564 ข้อ 173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8" s="35" t="n"/>
      <c r="L8" s="34" t="inlineStr">
        <is>
          <t>Herbal Products &amp; Standardization</t>
        </is>
      </c>
      <c r="M8" s="35" t="inlineStr">
        <is>
          <t>Product</t>
        </is>
      </c>
      <c r="N8" s="34" t="inlineStr">
        <is>
          <t>ข้อสอบจริง Product ปี 2564 ข้อ 173</t>
        </is>
      </c>
      <c r="O8" s="35" t="inlineStr">
        <is>
          <t>ข้อสอบจริง</t>
        </is>
      </c>
      <c r="P8" s="35" t="inlineStr">
        <is>
          <t>ปี 2564</t>
        </is>
      </c>
    </row>
    <row r="9" ht="409.6" customHeight="1" s="49">
      <c r="A9" s="35" t="n">
        <v>7</v>
      </c>
      <c r="B9" s="34" t="inlineStr">
        <is>
          <t>สมุนไพรที่ใช้ในการขับพยาธิ</t>
        </is>
      </c>
      <c r="C9" s="35" t="n"/>
      <c r="D9" s="34" t="inlineStr">
        <is>
          <t>น้ำมันมะพร้าว</t>
        </is>
      </c>
      <c r="E9" s="34" t="inlineStr">
        <is>
          <t>ใบตำลึง</t>
        </is>
      </c>
      <c r="F9" s="34" t="inlineStr">
        <is>
          <t>เปลือกมังคุด</t>
        </is>
      </c>
      <c r="G9" s="34" t="inlineStr">
        <is>
          <t>เมล็ดฟักทอง</t>
        </is>
      </c>
      <c r="H9" s="34" t="inlineStr">
        <is>
          <t>เมล็ดแมงลัก</t>
        </is>
      </c>
      <c r="I9" s="35" t="n">
        <v>1</v>
      </c>
      <c r="J9" s="34" t="inlineStr">
        <is>
          <t>✅ คำตอบที่ถูกต้อง: ข้อ ก. น้ำมันมะพร้าว
💡 Background:
คำถามข้อสอบจริงใบประกอบวิชาชีพ PLE-CC 1 (Product) ปี 2564 ข้อ 174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9" s="35" t="n"/>
      <c r="L9" s="34" t="inlineStr">
        <is>
          <t>Herbal Products &amp; Standardization</t>
        </is>
      </c>
      <c r="M9" s="35" t="inlineStr">
        <is>
          <t>Product</t>
        </is>
      </c>
      <c r="N9" s="34" t="inlineStr">
        <is>
          <t>ข้อสอบจริง Product ปี 2564 ข้อ 174</t>
        </is>
      </c>
      <c r="O9" s="35" t="inlineStr">
        <is>
          <t>ข้อสอบจริง</t>
        </is>
      </c>
      <c r="P9" s="35" t="inlineStr">
        <is>
          <t>ปี 2564</t>
        </is>
      </c>
    </row>
    <row r="10" ht="409.6" customHeight="1" s="49">
      <c r="A10" s="35" t="n">
        <v>8</v>
      </c>
      <c r="B10" s="34" t="inlineStr">
        <is>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is>
      </c>
      <c r="C10" s="35" t="n"/>
      <c r="D10" s="34" t="inlineStr">
        <is>
          <t>กระเจี๊ยบแดง ✅ ใช้แก้ขัดเบา/ขับปัสสาวะ</t>
        </is>
      </c>
      <c r="E10" s="34" t="inlineStr">
        <is>
          <t>ช้าพลู ❌ ใช้แก้ท้องอืด ขับลม</t>
        </is>
      </c>
      <c r="F10" s="34" t="inlineStr">
        <is>
          <t>รางจืด ❌ ใช้ถอนพิษ/แก้เมาสารพิษตามภูมิปัญญา</t>
        </is>
      </c>
      <c r="G10" s="34" t="inlineStr">
        <is>
          <t>ฟ้าทะลายโจร ❌ ใช้บรรเทาอาการหวัด เจ็บคอ</t>
        </is>
      </c>
      <c r="H10" s="34" t="inlineStr">
        <is>
          <t>หญ้าปักกิ่ง ❌ ใช้ตามภูมิปัญญาด้านอื่น ไม่ใช่ตัวหลักแก้ขัดเบา</t>
        </is>
      </c>
      <c r="I10" s="35" t="n">
        <v>1</v>
      </c>
      <c r="J10" s="34" t="inlineStr">
        <is>
          <t>✅ คำตอบที่ถูกต้อง: ข้อ ก. กระเจี๊ยบแดง ✅ ใช้แก้ขัดเบา/ขับปัสสาวะ
💡 Background:
คำถามข้อสอบจริงใบประกอบวิชาชีพ PLE-CC 1 (Product) ปี 2564 ข้อ 175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0" s="35" t="n"/>
      <c r="L10" s="34" t="inlineStr">
        <is>
          <t>Herbal Products &amp; Standardization</t>
        </is>
      </c>
      <c r="M10" s="35" t="inlineStr">
        <is>
          <t>Product</t>
        </is>
      </c>
      <c r="N10" s="34" t="inlineStr">
        <is>
          <t>ข้อสอบจริง Product ปี 2564 ข้อ 175</t>
        </is>
      </c>
      <c r="O10" s="35" t="inlineStr">
        <is>
          <t>ข้อสอบจริง</t>
        </is>
      </c>
      <c r="P10" s="35" t="inlineStr">
        <is>
          <t>ปี 2564</t>
        </is>
      </c>
    </row>
    <row r="11" ht="409.6" customHeight="1" s="49">
      <c r="A11" s="35" t="n">
        <v>9</v>
      </c>
      <c r="B11" s="34" t="inlineStr">
        <is>
          <t>ตำรับสมุนไพรใดสามารถใช้รักษาเชื้อราได้</t>
        </is>
      </c>
      <c r="C11" s="35" t="n"/>
      <c r="D11" s="34" t="inlineStr">
        <is>
          <t>ทิงเจอร์พลู</t>
        </is>
      </c>
      <c r="E11" s="34" t="inlineStr">
        <is>
          <t>ทิงเจอร์เสลดพังพอน</t>
        </is>
      </c>
      <c r="F11" s="34" t="inlineStr">
        <is>
          <t>ครีมมะหาด</t>
        </is>
      </c>
      <c r="G11" s="34" t="inlineStr">
        <is>
          <t>ทิงเจอร์ทองพันชั่ง</t>
        </is>
      </c>
      <c r="H11" s="34" t="inlineStr">
        <is>
          <t>ครีมผักบุ้งทะเล</t>
        </is>
      </c>
      <c r="I11" s="35" t="n">
        <v>1</v>
      </c>
      <c r="J11" s="34" t="inlineStr">
        <is>
          <t>✅ คำตอบที่ถูกต้อง: ข้อ ก. ทิงเจอร์พลู
💡 Background:
คำถามข้อสอบจริงใบประกอบวิชาชีพ PLE-CC 1 (Product) ปี 2564 ข้อ 176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1" s="35" t="n"/>
      <c r="L11" s="34" t="inlineStr">
        <is>
          <t>Herbal Products &amp; Standardization</t>
        </is>
      </c>
      <c r="M11" s="35" t="inlineStr">
        <is>
          <t>Product</t>
        </is>
      </c>
      <c r="N11" s="34" t="inlineStr">
        <is>
          <t>ข้อสอบจริง Product ปี 2564 ข้อ 176</t>
        </is>
      </c>
      <c r="O11" s="35" t="inlineStr">
        <is>
          <t>ข้อสอบจริง</t>
        </is>
      </c>
      <c r="P11" s="35" t="inlineStr">
        <is>
          <t>ปี 2564</t>
        </is>
      </c>
    </row>
    <row r="12" ht="409.6" customHeight="1" s="49">
      <c r="A12" s="35" t="n">
        <v>10</v>
      </c>
      <c r="B12" s="34" t="inlineStr">
        <is>
          <t>สมุนไพรมีสรรพคุณช่วยเลิกบุหรี่</t>
        </is>
      </c>
      <c r="C12" s="35" t="n"/>
      <c r="D12" s="34" t="inlineStr">
        <is>
          <t>หญ้าหนวดแมว ❌ ใช้ขับปัสสาวะ/นิ่วในทางเดินปัสสาวะ</t>
        </is>
      </c>
      <c r="E12" s="34" t="inlineStr">
        <is>
          <t>รางจืด ❌ ใช้ถอนพิษตามภูมิปัญญา</t>
        </is>
      </c>
      <c r="F12" s="34" t="inlineStr">
        <is>
          <t>กระเจี๊ยบแดง ❌ ขับปัสสาวะ แก้ขัดเบา</t>
        </is>
      </c>
      <c r="G12" s="34" t="inlineStr">
        <is>
          <t>หญ้าดอกขาว ✅ ช่วยเลิกบุหรี่ ลดความอยากบุหรี่</t>
        </is>
      </c>
      <c r="H12" s="34" t="inlineStr">
        <is>
          <t>ขิง ❌ แก้คลื่นไส้ ขับลม</t>
        </is>
      </c>
      <c r="I12" s="35" t="n">
        <v>1</v>
      </c>
      <c r="J12" s="34" t="inlineStr">
        <is>
          <t>✅ คำตอบที่ถูกต้อง: ข้อ ก. หญ้าหนวดแมว ❌ ใช้ขับปัสสาวะ/นิ่วในทางเดินปัสสาวะ
💡 Background:
คำถามข้อสอบจริงใบประกอบวิชาชีพ PLE-CC 1 (Product) ปี 2564 ข้อ 177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2" s="35" t="n"/>
      <c r="L12" s="34" t="inlineStr">
        <is>
          <t>Herbal Products &amp; Standardization</t>
        </is>
      </c>
      <c r="M12" s="35" t="inlineStr">
        <is>
          <t>Product</t>
        </is>
      </c>
      <c r="N12" s="34" t="inlineStr">
        <is>
          <t>ข้อสอบจริง Product ปี 2564 ข้อ 177</t>
        </is>
      </c>
      <c r="O12" s="35" t="inlineStr">
        <is>
          <t>ข้อสอบจริง</t>
        </is>
      </c>
      <c r="P12" s="35" t="inlineStr">
        <is>
          <t>ปี 2564</t>
        </is>
      </c>
    </row>
    <row r="13" ht="409.6" customHeight="1" s="49">
      <c r="A13" s="35" t="n">
        <v>11</v>
      </c>
      <c r="B13" s="34" t="inlineStr">
        <is>
          <t>สมุนไพรในใดมีหลักฐานเชิงประจักษ์ช่วยลดระดับน้ำตาลได้</t>
        </is>
      </c>
      <c r="C13" s="35" t="n"/>
      <c r="D13" s="34" t="inlineStr">
        <is>
          <t>ดอกแค ❌ มีคุณค่าทางอาหาร แต่ไม่ใช่สมุนไพรหลักลดน้ำตาล</t>
        </is>
      </c>
      <c r="E13" s="34" t="inlineStr">
        <is>
          <t>ขี้เหล็ก ❌ เด่นด้านช่วยระบาย/เป็นยาระงับประสาทอ่อน ๆ</t>
        </is>
      </c>
      <c r="F13" s="34" t="inlineStr">
        <is>
          <t>มะระขี้นก ✅ มีหลักฐานช่วยลดระดับน้ำตาล</t>
        </is>
      </c>
      <c r="G13" s="34" t="inlineStr">
        <is>
          <t>ทองพันชั่ง ❌ ใช้ต้านเชื้อรา/โรคผิวหนัง</t>
        </is>
      </c>
      <c r="H13" s="34" t="inlineStr">
        <is>
          <t>ฟ้าทะลายโจร ❌ เด่นด้านหวัด เจ็บคอ และต้านการอักเสบ</t>
        </is>
      </c>
      <c r="I13" s="35" t="n">
        <v>1</v>
      </c>
      <c r="J13" s="34" t="inlineStr">
        <is>
          <t>✅ คำตอบที่ถูกต้อง: ข้อ ก. ดอกแค ❌ มีคุณค่าทางอาหาร แต่ไม่ใช่สมุนไพรหลักลดน้ำตาล
💡 Background:
คำถามข้อสอบจริงใบประกอบวิชาชีพ PLE-CC 1 (Product) ปี 2564 ข้อ 178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3" s="35" t="n"/>
      <c r="L13" s="34" t="inlineStr">
        <is>
          <t>Herbal Products &amp; Standardization</t>
        </is>
      </c>
      <c r="M13" s="35" t="inlineStr">
        <is>
          <t>Product</t>
        </is>
      </c>
      <c r="N13" s="34" t="inlineStr">
        <is>
          <t>ข้อสอบจริง Product ปี 2564 ข้อ 178</t>
        </is>
      </c>
      <c r="O13" s="35" t="inlineStr">
        <is>
          <t>ข้อสอบจริง</t>
        </is>
      </c>
      <c r="P13" s="35" t="inlineStr">
        <is>
          <t>ปี 2564</t>
        </is>
      </c>
    </row>
    <row r="14" ht="409.6" customHeight="1" s="49">
      <c r="A14" s="35" t="n">
        <v>12</v>
      </c>
      <c r="B14" s="34" t="inlineStr">
        <is>
          <t>สมุนไพรช่วยลดอาการปวด อักเสบ ตามบัญชียาหลักแห่งชาติคือข้อใด</t>
        </is>
      </c>
      <c r="C14" s="35" t="n"/>
      <c r="D14" s="34" t="inlineStr">
        <is>
          <t>เถาวัลย์เปรียง ✅ ลดปวด ลดอักเสบ ปวดกล้ามเนื้อ/ข้อ</t>
        </is>
      </c>
      <c r="E14" s="34" t="inlineStr">
        <is>
          <t>หญ้าหนวดแมว ❌ ขับปัสสาวะ ใช้เกี่ยวกับนิ่ว/ทางเดินปัสสาวะ</t>
        </is>
      </c>
      <c r="F14" s="34" t="inlineStr">
        <is>
          <t>หญ้าปักกิ่ง ❌ ใช้ตามภูมิปัญญาอื่น ไม่ใช่ตัวหลักลดปวด</t>
        </is>
      </c>
      <c r="G14" s="34" t="inlineStr">
        <is>
          <t>ช้าพลู ❌ ขับลม แก้ท้องอืด</t>
        </is>
      </c>
      <c r="H14" s="34" t="inlineStr">
        <is>
          <t>เห็ดหลินจือ ❌ ใช้เป็นสมุนไพรเสริมสุขภาพ/ภูมิคุ้มกัน PLE_CC1_2564_Day1_Key</t>
        </is>
      </c>
      <c r="I14" s="35" t="n">
        <v>1</v>
      </c>
      <c r="J14" s="34" t="inlineStr">
        <is>
          <t>✅ คำตอบที่ถูกต้อง: ข้อ ก. เถาวัลย์เปรียง ✅ ลดปวด ลดอักเสบ ปวดกล้ามเนื้อ/ข้อ
💡 Background:
คำถามข้อสอบจริงใบประกอบวิชาชีพ PLE-CC 1 (Product) ปี 2564 ข้อ 179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4" s="35" t="n"/>
      <c r="L14" s="34" t="inlineStr">
        <is>
          <t>Herbal Products &amp; Standardization</t>
        </is>
      </c>
      <c r="M14" s="35" t="inlineStr">
        <is>
          <t>Product</t>
        </is>
      </c>
      <c r="N14" s="34" t="inlineStr">
        <is>
          <t>ข้อสอบจริง Product ปี 2564 ข้อ 179</t>
        </is>
      </c>
      <c r="O14" s="35" t="inlineStr">
        <is>
          <t>ข้อสอบจริง</t>
        </is>
      </c>
      <c r="P14" s="35" t="inlineStr">
        <is>
          <t>ปี 2564</t>
        </is>
      </c>
    </row>
    <row r="15" ht="409.6" customHeight="1" s="49">
      <c r="A15" s="35" t="n">
        <v>13</v>
      </c>
      <c r="B15" s="34" t="inlineStr">
        <is>
          <t>สมุนไพรในบัญชียาหลักที่มีฤทธิ์ขับปัสสาวะคือข้อใด?</t>
        </is>
      </c>
      <c r="C15" s="35" t="n"/>
      <c r="D15" s="34" t="inlineStr">
        <is>
          <t>กระเจี๊ยบแดง ✅ ขับปัสสาวะ / แก้ขัดเบา</t>
        </is>
      </c>
      <c r="E15" s="34" t="inlineStr">
        <is>
          <t>ขิง ❌ แก้คลื่นไส้ ขับลม</t>
        </is>
      </c>
      <c r="F15" s="34" t="inlineStr">
        <is>
          <t>กระชาย ❌ ใช้บำรุงร่างกาย ขับลม</t>
        </is>
      </c>
      <c r="G15" s="34" t="inlineStr">
        <is>
          <t>ฟ้าทะลายโจร ❌ หวัด เจ็บคอ ต้านการอักเสบ</t>
        </is>
      </c>
      <c r="H15" s="34" t="inlineStr">
        <is>
          <t>ยอ ❌ ใช้ตามภูมิปัญญาอื่น ไม่ใช่สมุนไพรขับปัสสาวะหลัก PLE_CC1_2564_Day1_Q</t>
        </is>
      </c>
      <c r="I15" s="35" t="n">
        <v>1</v>
      </c>
      <c r="J15" s="34" t="inlineStr">
        <is>
          <t>✅ คำตอบที่ถูกต้อง: ข้อ ก. กระเจี๊ยบแดง ✅ ขับปัสสาวะ / แก้ขัดเบา
💡 Background:
คำถามข้อสอบจริงใบประกอบวิชาชีพ PLE-CC 1 (Product) ปี 2564 ข้อ 180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5" s="35" t="n"/>
      <c r="L15" s="34" t="inlineStr">
        <is>
          <t>Herbal Products &amp; Standardization</t>
        </is>
      </c>
      <c r="M15" s="35" t="inlineStr">
        <is>
          <t>Product</t>
        </is>
      </c>
      <c r="N15" s="34" t="inlineStr">
        <is>
          <t>ข้อสอบจริง Product ปี 2564 ข้อ 180</t>
        </is>
      </c>
      <c r="O15" s="35" t="inlineStr">
        <is>
          <t>ข้อสอบจริง</t>
        </is>
      </c>
      <c r="P15" s="35" t="inlineStr">
        <is>
          <t>ปี 2564</t>
        </is>
      </c>
    </row>
    <row r="16" ht="409.6" customHeight="1" s="49">
      <c r="A16" s="35" t="n">
        <v>14</v>
      </c>
      <c r="B16" s="34" t="inlineStr">
        <is>
          <t>สมุนไพรใดที่มีฤทธิ์ขับปัสสาวะ และควรหลีกเลี่ยงในผู้ป่วยโรคหัวใจ?</t>
        </is>
      </c>
      <c r="C16" s="35" t="n"/>
      <c r="D16" s="34" t="inlineStr">
        <is>
          <t>หญ้าหนวดแมว ✅ ขับปัสสาวะ → ระวังในผู้ป่วยโรคหัวใจ</t>
        </is>
      </c>
      <c r="E16" s="34" t="inlineStr">
        <is>
          <t>หญ้าปักกิ่ง ❌ ไม่ใช่สมุนไพรหลักด้านขับปัสสาวะ</t>
        </is>
      </c>
      <c r="F16" s="34" t="inlineStr">
        <is>
          <t>เถาวัลย์เปรียง ❌ ลดปวด ลดอักเสบ</t>
        </is>
      </c>
      <c r="G16" s="34" t="inlineStr">
        <is>
          <t>ใบชุมเห็ดเทศ ❌ ใช้เป็นยาระบาย</t>
        </is>
      </c>
      <c r="H16" s="34" t="inlineStr">
        <is>
          <t>ใบพญายอ ❌ ใช้รักษาเริม งูสวัด แผลอักเสบ PLE_CC1_2564_Day2_Key</t>
        </is>
      </c>
      <c r="I16" s="35" t="n">
        <v>1</v>
      </c>
      <c r="J16" s="34" t="inlineStr">
        <is>
          <t>✅ คำตอบที่ถูกต้อง: ข้อ ก. หญ้าหนวดแมว ✅ ขับปัสสาวะ → ระวังในผู้ป่วยโรคหัวใจ
💡 Background:
คำถามข้อสอบจริงใบประกอบวิชาชีพ PLE-CC 1 (Product) ปี 2564 ข้อ 181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6" s="35" t="n"/>
      <c r="L16" s="34" t="inlineStr">
        <is>
          <t>Herbal Products &amp; Standardization</t>
        </is>
      </c>
      <c r="M16" s="35" t="inlineStr">
        <is>
          <t>Product</t>
        </is>
      </c>
      <c r="N16" s="34" t="inlineStr">
        <is>
          <t>ข้อสอบจริง Product ปี 2564 ข้อ 181</t>
        </is>
      </c>
      <c r="O16" s="35" t="inlineStr">
        <is>
          <t>ข้อสอบจริง</t>
        </is>
      </c>
      <c r="P16" s="35" t="inlineStr">
        <is>
          <t>ปี 2564</t>
        </is>
      </c>
    </row>
    <row r="17" ht="409.6" customHeight="1" s="49">
      <c r="A17" s="35" t="n">
        <v>15</v>
      </c>
      <c r="B17" s="34" t="inlineStr">
        <is>
          <t>สมุนไพรใดมีอันตรกิริยากับยาต้านไวรัส HIV?</t>
        </is>
      </c>
      <c r="C17" s="35" t="n"/>
      <c r="D17" s="34" t="inlineStr">
        <is>
          <t>ขิง</t>
        </is>
      </c>
      <c r="E17" s="34" t="inlineStr">
        <is>
          <t>ขมิ้น</t>
        </is>
      </c>
      <c r="F17" s="34" t="inlineStr">
        <is>
          <t>ฟ้าทะลายโจร</t>
        </is>
      </c>
      <c r="G17" s="34" t="inlineStr">
        <is>
          <t>หญ้าหนวดแมว</t>
        </is>
      </c>
      <c r="H17" s="34" t="inlineStr">
        <is>
          <t>St. John’s wort</t>
        </is>
      </c>
      <c r="I17" s="35" t="n">
        <v>1</v>
      </c>
      <c r="J17" s="34" t="inlineStr">
        <is>
          <t>✅ คำตอบที่ถูกต้อง: ข้อ ก. ขิง
💡 Background:
คำถามข้อสอบจริงใบประกอบวิชาชีพ PLE-CC 1 (Product) ปี 2564 ข้อ 182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7" s="35" t="n"/>
      <c r="L17" s="34" t="inlineStr">
        <is>
          <t>Herbal Products &amp; Standardization</t>
        </is>
      </c>
      <c r="M17" s="35" t="inlineStr">
        <is>
          <t>Product</t>
        </is>
      </c>
      <c r="N17" s="34" t="inlineStr">
        <is>
          <t>ข้อสอบจริง Product ปี 2564 ข้อ 182</t>
        </is>
      </c>
      <c r="O17" s="35" t="inlineStr">
        <is>
          <t>ข้อสอบจริง</t>
        </is>
      </c>
      <c r="P17" s="35" t="inlineStr">
        <is>
          <t>ปี 2564</t>
        </is>
      </c>
    </row>
    <row r="18" ht="409.6" customHeight="1" s="49">
      <c r="A18" s="35" t="n">
        <v>16</v>
      </c>
      <c r="B18" s="34" t="inlineStr">
        <is>
          <t>ยาสมุนไพรใดต้องระวังมากที่สุดในผู้ป่วยรายนี้?</t>
        </is>
      </c>
      <c r="C18" s="35" t="n"/>
      <c r="D18" s="34" t="inlineStr">
        <is>
          <t>ฟ้าทะลายโจร</t>
        </is>
      </c>
      <c r="E18" s="34" t="inlineStr">
        <is>
          <t>หญ้าหนวดแมว</t>
        </is>
      </c>
      <c r="F18" s="34" t="inlineStr">
        <is>
          <t>ขมิ้นชัน</t>
        </is>
      </c>
      <c r="G18" s="34" t="inlineStr">
        <is>
          <t>ชุมเห็ดเทศ</t>
        </is>
      </c>
      <c r="H18" s="34" t="inlineStr">
        <is>
          <t>ขิง</t>
        </is>
      </c>
      <c r="I18" s="35" t="n">
        <v>1</v>
      </c>
      <c r="J18" s="34" t="inlineStr">
        <is>
          <t>✅ คำตอบที่ถูกต้อง: ข้อ ก. ฟ้าทะลายโจร
💡 Background:
คำถามข้อสอบจริงใบประกอบวิชาชีพ PLE-CC 1 (Product) ปี 2564 ข้อ 184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8" s="35" t="n"/>
      <c r="L18" s="34" t="inlineStr">
        <is>
          <t>Herbal Products &amp; Standardization</t>
        </is>
      </c>
      <c r="M18" s="35" t="inlineStr">
        <is>
          <t>Product</t>
        </is>
      </c>
      <c r="N18" s="34" t="inlineStr">
        <is>
          <t>ข้อสอบจริง Product ปี 2564 ข้อ 184</t>
        </is>
      </c>
      <c r="O18" s="35" t="inlineStr">
        <is>
          <t>ข้อสอบจริง</t>
        </is>
      </c>
      <c r="P18" s="35" t="inlineStr">
        <is>
          <t>ปี 2564</t>
        </is>
      </c>
    </row>
    <row r="19" ht="409.6" customHeight="1" s="49">
      <c r="A19" s="35" t="n">
        <v>17</v>
      </c>
      <c r="B19" s="34" t="inlineStr">
        <is>
          <t>สมุนไพรที่เกิดอันตรกิริยากับยาต้าน HIV มากที่สุดคือข้อใด?</t>
        </is>
      </c>
      <c r="C19" s="35" t="n"/>
      <c r="D19" s="34" t="inlineStr">
        <is>
          <t>ขิง</t>
        </is>
      </c>
      <c r="E19" s="34" t="inlineStr">
        <is>
          <t>ขมิ้นชัน</t>
        </is>
      </c>
      <c r="F19" s="34" t="inlineStr">
        <is>
          <t>ฟ้าทะลายโจร</t>
        </is>
      </c>
      <c r="G19" s="34" t="inlineStr">
        <is>
          <t>หญ้าหนวดแมว</t>
        </is>
      </c>
      <c r="H19" s="34" t="inlineStr">
        <is>
          <t>St. John's wort</t>
        </is>
      </c>
      <c r="I19" s="35" t="n">
        <v>1</v>
      </c>
      <c r="J19" s="34" t="inlineStr">
        <is>
          <t>✅ คำตอบที่ถูกต้อง: ข้อ ก. ขิง
💡 Background:
คำถามข้อสอบจริงใบประกอบวิชาชีพ PLE-CC 1 (Product) ปี 2564 ข้อ 185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9" s="35" t="n"/>
      <c r="L19" s="34" t="inlineStr">
        <is>
          <t>Herbal Products &amp; Standardization</t>
        </is>
      </c>
      <c r="M19" s="35" t="inlineStr">
        <is>
          <t>Product</t>
        </is>
      </c>
      <c r="N19" s="34" t="inlineStr">
        <is>
          <t>ข้อสอบจริง Product ปี 2564 ข้อ 185</t>
        </is>
      </c>
      <c r="O19" s="35" t="inlineStr">
        <is>
          <t>ข้อสอบจริง</t>
        </is>
      </c>
      <c r="P19" s="35" t="inlineStr">
        <is>
          <t>ปี 2564</t>
        </is>
      </c>
    </row>
    <row r="20" ht="409.6" customHeight="1" s="49">
      <c r="A20" s="35" t="n">
        <v>18</v>
      </c>
      <c r="B20" s="34" t="inlineStr">
        <is>
          <t>การสกัด Tea Tree Oil จากใบและกิ่งสด ใช้วิธีใด?</t>
        </is>
      </c>
      <c r="C20" s="35" t="n"/>
      <c r="D20" s="34" t="inlineStr">
        <is>
          <t>Soxhlet extraction ❌ เหมาะกับสารสกัดจากพืชแห้ง ใช้ตัวทำละลาย ไม่เหมาะกับ volatile oil</t>
        </is>
      </c>
      <c r="E20" s="34" t="inlineStr">
        <is>
          <t>สกัดด้วยน้ำ ❌ น้ำมันหอมระเหยไม่ละลายน้ำ</t>
        </is>
      </c>
      <c r="F20" s="34" t="inlineStr">
        <is>
          <t>กลั่นด้วยไอน้ำ ✅ วิธีมาตรฐานสำหรับ volatile oil เช่น tea tree oil</t>
        </is>
      </c>
      <c r="G20" s="34" t="inlineStr">
        <is>
          <t>Enfleurage ❌ ใช้สกัดน้ำมันหอมจากดอกไม้ที่บอบบาง เช่น jasmine</t>
        </is>
      </c>
      <c r="H20" s="34" t="inlineStr">
        <is>
          <t>Alcohol:น้ำ 70% ❌ ใช้สกัดสารกลุ่ม polar เช่น flavonoids, glycosides</t>
        </is>
      </c>
      <c r="I20" s="35" t="n">
        <v>1</v>
      </c>
      <c r="J20" s="34" t="inlineStr">
        <is>
          <t>✅ คำตอบที่ถูกต้อง: ข้อ ก. Soxhlet extraction ❌ เหมาะกับสารสกัดจากพืชแห้ง ใช้ตัวทำละลาย ไม่เหมาะกับ volatile oil
💡 Background:
คำถามข้อสอบจริงใบประกอบวิชาชีพ PLE-CC 1 (Product) ปี 2564 ข้อ 186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0" s="35" t="n"/>
      <c r="L20" s="34" t="inlineStr">
        <is>
          <t>Herbal Products &amp; Standardization</t>
        </is>
      </c>
      <c r="M20" s="35" t="inlineStr">
        <is>
          <t>Product</t>
        </is>
      </c>
      <c r="N20" s="34" t="inlineStr">
        <is>
          <t>ข้อสอบจริง Product ปี 2564 ข้อ 186</t>
        </is>
      </c>
      <c r="O20" s="35" t="inlineStr">
        <is>
          <t>ข้อสอบจริง</t>
        </is>
      </c>
      <c r="P20" s="35" t="inlineStr">
        <is>
          <t>ปี 2564</t>
        </is>
      </c>
    </row>
    <row r="21" ht="409.6" customHeight="1" s="49">
      <c r="A21" s="35" t="n">
        <v>19</v>
      </c>
      <c r="B21" s="34" t="inlineStr">
        <is>
          <t>สมุนไพรที่ตีกับยาเก๊าท์คือข้อใด?</t>
        </is>
      </c>
      <c r="C21" s="35" t="n"/>
      <c r="D21" s="34" t="inlineStr">
        <is>
          <t>ฟ้าทะลายโจร</t>
        </is>
      </c>
      <c r="E21" s="34" t="inlineStr">
        <is>
          <t>หญ้าหนวดแมว</t>
        </is>
      </c>
      <c r="F21" s="34" t="inlineStr">
        <is>
          <t>ขิง</t>
        </is>
      </c>
      <c r="G21" s="34" t="inlineStr">
        <is>
          <t>ขมิ้นชัน</t>
        </is>
      </c>
      <c r="H21" s="34" t="inlineStr">
        <is>
          <t>St. John's wort</t>
        </is>
      </c>
      <c r="I21" s="35" t="n">
        <v>1</v>
      </c>
      <c r="J21" s="34" t="inlineStr">
        <is>
          <t>✅ คำตอบที่ถูกต้อง: ข้อ ก. ฟ้าทะลายโจร
💡 Background:
คำถามข้อสอบจริงใบประกอบวิชาชีพ PLE-CC 1 (Product) ปี 2564 ข้อ 187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1" s="35" t="n"/>
      <c r="L21" s="34" t="inlineStr">
        <is>
          <t>Herbal Products &amp; Standardization</t>
        </is>
      </c>
      <c r="M21" s="35" t="inlineStr">
        <is>
          <t>Product</t>
        </is>
      </c>
      <c r="N21" s="34" t="inlineStr">
        <is>
          <t>ข้อสอบจริง Product ปี 2564 ข้อ 187</t>
        </is>
      </c>
      <c r="O21" s="35" t="inlineStr">
        <is>
          <t>ข้อสอบจริง</t>
        </is>
      </c>
      <c r="P21" s="35" t="inlineStr">
        <is>
          <t>ปี 2564</t>
        </is>
      </c>
    </row>
    <row r="22" ht="409.6" customHeight="1" s="49">
      <c r="A22" s="35" t="n">
        <v>20</v>
      </c>
      <c r="B22" s="34" t="inlineStr">
        <is>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is>
      </c>
      <c r="C22" s="35" t="n"/>
      <c r="D22" s="34" t="inlineStr">
        <is>
          <t>พลู</t>
        </is>
      </c>
      <c r="E22" s="34" t="inlineStr">
        <is>
          <t>บัวบก</t>
        </is>
      </c>
      <c r="F22" s="34" t="inlineStr">
        <is>
          <t>ทองพันชั่ง</t>
        </is>
      </c>
      <c r="G22" s="34" t="inlineStr">
        <is>
          <t>เปลือกมังคุด</t>
        </is>
      </c>
      <c r="H22" s="34" t="inlineStr">
        <is>
          <t>เมล็ดพันธุ์ชั่ง</t>
        </is>
      </c>
      <c r="I22" s="35" t="n">
        <v>1</v>
      </c>
      <c r="J22" s="34" t="inlineStr">
        <is>
          <t>✅ คำตอบที่ถูกต้อง: ข้อ ก. พลู
💡 Background:
คำถามข้อสอบจริงใบประกอบวิชาชีพ PLE-CC 1 (Product) ปี 2564 ข้อ 188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2" s="35" t="n"/>
      <c r="L22" s="34" t="inlineStr">
        <is>
          <t>Herbal Products &amp; Standardization</t>
        </is>
      </c>
      <c r="M22" s="35" t="inlineStr">
        <is>
          <t>Product</t>
        </is>
      </c>
      <c r="N22" s="34" t="inlineStr">
        <is>
          <t>ข้อสอบจริง Product ปี 2564 ข้อ 188</t>
        </is>
      </c>
      <c r="O22" s="35" t="inlineStr">
        <is>
          <t>ข้อสอบจริง</t>
        </is>
      </c>
      <c r="P22" s="35" t="inlineStr">
        <is>
          <t>ปี 2564</t>
        </is>
      </c>
    </row>
    <row r="23" ht="409.6" customHeight="1" s="49">
      <c r="A23" s="35" t="n">
        <v>21</v>
      </c>
      <c r="B23" s="34" t="inlineStr">
        <is>
          <t>ข้อใดถูกต้องเกี่ยวกับการควบคุมคุณภาพผงยาสมุนไพร โดยใช้กล้องจุลทรรศน์ (พญายอ รักษาเริม)?</t>
        </is>
      </c>
      <c r="C23" s="35" t="n"/>
      <c r="D23" s="34" t="inlineStr">
        <is>
          <t>ควรพบ Cork cells, Sclereids</t>
        </is>
      </c>
      <c r="E23" s="34" t="inlineStr">
        <is>
          <t>ควรพบ Cork cells, Stomata</t>
        </is>
      </c>
      <c r="F23" s="34" t="inlineStr">
        <is>
          <t>ไม่ควรพบ Sclereids, Stomata</t>
        </is>
      </c>
      <c r="G23" s="34" t="inlineStr">
        <is>
          <t>ควรพบ Stomata, Palisade</t>
        </is>
      </c>
      <c r="H23" s="34" t="inlineStr">
        <is>
          <t>ควรพบ Stomata ไม่ควรพบ Palisade</t>
        </is>
      </c>
      <c r="I23" s="35" t="n">
        <v>1</v>
      </c>
      <c r="J23" s="34" t="inlineStr">
        <is>
          <t>✅ คำตอบที่ถูกต้อง: ข้อ ก. ควรพบ Cork cells, Sclereids
💡 Background:
คำถามข้อสอบจริงใบประกอบวิชาชีพ PLE-CC 1 (Product) ปี 2564 ข้อ 189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3" s="35" t="n"/>
      <c r="L23" s="34" t="inlineStr">
        <is>
          <t>Herbal Products &amp; Standardization</t>
        </is>
      </c>
      <c r="M23" s="35" t="inlineStr">
        <is>
          <t>Product</t>
        </is>
      </c>
      <c r="N23" s="34" t="inlineStr">
        <is>
          <t>ข้อสอบจริง Product ปี 2564 ข้อ 189</t>
        </is>
      </c>
      <c r="O23" s="35" t="inlineStr">
        <is>
          <t>ข้อสอบจริง</t>
        </is>
      </c>
      <c r="P23" s="35" t="inlineStr">
        <is>
          <t>ปี 2564</t>
        </is>
      </c>
    </row>
    <row r="24" ht="409.6" customHeight="1" s="49">
      <c r="A24" s="35" t="n">
        <v>22</v>
      </c>
      <c r="B24" s="34" t="inlineStr">
        <is>
          <t>สมุนไพรบรรเทาอาการคันและผิวหนังแห้งคือข้อใด?</t>
        </is>
      </c>
      <c r="C24" s="35" t="n"/>
      <c r="D24" s="34" t="inlineStr">
        <is>
          <t>ยาขี้ผึ้งไพล</t>
        </is>
      </c>
      <c r="E24" s="34" t="inlineStr">
        <is>
          <t>ยาครีมบัวบก</t>
        </is>
      </c>
      <c r="F24" s="34" t="inlineStr">
        <is>
          <t>ยาเมล็ดน้อยหน่า</t>
        </is>
      </c>
      <c r="G24" s="34" t="inlineStr">
        <is>
          <t>ยาเจลว่านหางจระเข้</t>
        </is>
      </c>
      <c r="H24" s="34" t="inlineStr">
        <is>
          <t>ยาน้ำใสเปลือกมังคุด</t>
        </is>
      </c>
      <c r="I24" s="35" t="n">
        <v>1</v>
      </c>
      <c r="J24" s="34" t="inlineStr">
        <is>
          <t>✅ คำตอบที่ถูกต้อง: ข้อ ก. ยาขี้ผึ้งไพล
💡 Background:
คำถามข้อสอบจริงใบประกอบวิชาชีพ PLE-CC 1 (Product) ปี 2564 ข้อ 190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4" s="35" t="n"/>
      <c r="L24" s="34" t="inlineStr">
        <is>
          <t>Herbal Products &amp; Standardization</t>
        </is>
      </c>
      <c r="M24" s="35" t="inlineStr">
        <is>
          <t>Product</t>
        </is>
      </c>
      <c r="N24" s="34" t="inlineStr">
        <is>
          <t>ข้อสอบจริง Product ปี 2564 ข้อ 190</t>
        </is>
      </c>
      <c r="O24" s="35" t="inlineStr">
        <is>
          <t>ข้อสอบจริง</t>
        </is>
      </c>
      <c r="P24" s="35" t="inlineStr">
        <is>
          <t>ปี 2564</t>
        </is>
      </c>
    </row>
    <row r="25" ht="409.6" customHeight="1" s="49">
      <c r="A25" s="35" t="n">
        <v>23</v>
      </c>
      <c r="B25" s="34" t="inlineStr">
        <is>
          <t>ข้อใดเป็นสมุนไพรในบัญชียาหลักแห่งชาติที่ใช้รักษาอาการข้างต้น (เริมที่อวัยวะเพศ) ได้? A. ยาครีมบัวบก</t>
        </is>
      </c>
      <c r="C25" s="35" t="n"/>
      <c r="D25" s="34" t="n"/>
      <c r="E25" s="34" t="inlineStr">
        <is>
          <t>ยาทิงเจอร์ทองพันชั่ง</t>
        </is>
      </c>
      <c r="F25" s="34" t="inlineStr">
        <is>
          <t>ยาครีมพญายอ</t>
        </is>
      </c>
      <c r="G25" s="34" t="inlineStr">
        <is>
          <t>ยาน้ำเปลือกมังคุด</t>
        </is>
      </c>
      <c r="H25" s="34" t="inlineStr">
        <is>
          <t>ยาทิงเจอร์...</t>
        </is>
      </c>
      <c r="I25" s="35" t="n">
        <v>1</v>
      </c>
      <c r="J25" s="34" t="inlineStr">
        <is>
          <t>✅ คำตอบที่ถูกต้อง: ข้อ ก. 
💡 Background:
คำถามข้อสอบจริงใบประกอบวิชาชีพ PLE-CC 1 (Product) ปี 2564 ข้อ 191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5" s="35" t="n"/>
      <c r="L25" s="34" t="inlineStr">
        <is>
          <t>Herbal Products &amp; Standardization</t>
        </is>
      </c>
      <c r="M25" s="35" t="inlineStr">
        <is>
          <t>Product</t>
        </is>
      </c>
      <c r="N25" s="34" t="inlineStr">
        <is>
          <t>ข้อสอบจริง Product ปี 2564 ข้อ 191</t>
        </is>
      </c>
      <c r="O25" s="35" t="inlineStr">
        <is>
          <t>ข้อสอบจริง</t>
        </is>
      </c>
      <c r="P25" s="35" t="inlineStr">
        <is>
          <t>ปี 2564</t>
        </is>
      </c>
    </row>
    <row r="26" ht="409.6" customHeight="1" s="49">
      <c r="A26" s="35" t="n">
        <v>24</v>
      </c>
      <c r="B26" s="34" t="inlineStr">
        <is>
          <t>ข้อใดถูกต้องเกี่ยวกับการควบคุมคุณภาพผงยาสมุนไพร โดยใช้กล้องจุลทรรศน์ (พญายอ รักษาเริม) ต้นฉบับ: Day 1 ข้อ 70</t>
        </is>
      </c>
      <c r="C26" s="35" t="n"/>
      <c r="D26" s="34" t="inlineStr">
        <is>
          <t>ควรพบ cork cells, sclereids</t>
        </is>
      </c>
      <c r="E26" s="34" t="inlineStr">
        <is>
          <t>ควรพบ cork cells, stomata</t>
        </is>
      </c>
      <c r="F26" s="34" t="inlineStr">
        <is>
          <t>ไม่ควรพบ sclereids, stomata</t>
        </is>
      </c>
      <c r="G26" s="34" t="inlineStr">
        <is>
          <t>ควรพบ stomata, palisade</t>
        </is>
      </c>
      <c r="H26" s="34" t="inlineStr">
        <is>
          <t>ควรพบ stomata ไม่ควรพบ palisade</t>
        </is>
      </c>
      <c r="I26" s="35" t="n">
        <v>4</v>
      </c>
      <c r="J26" s="34" t="inlineStr">
        <is>
          <t>✅ คำตอบที่ถูกต้อง: ข้อ ง. ควรพบ stomata, palisade
💡 Background:
คำถามข้อสอบจริงใบประกอบวิชาชีพ PLE-CC 1 (Product) ปี 2563 ข้อ 66
🎯 ทำไมข้อนี้ถึงถูก:
ข้อ ง.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6" s="35" t="n"/>
      <c r="L26" s="34" t="inlineStr">
        <is>
          <t>Herbal Products &amp; Standardization</t>
        </is>
      </c>
      <c r="M26" s="35" t="inlineStr">
        <is>
          <t>Product</t>
        </is>
      </c>
      <c r="N26" s="34" t="inlineStr">
        <is>
          <t>ข้อสอบจริง Product ปี 2563 ข้อ 66</t>
        </is>
      </c>
      <c r="O26" s="35" t="inlineStr">
        <is>
          <t>ข้อสอบจริง</t>
        </is>
      </c>
      <c r="P26" s="35" t="inlineStr">
        <is>
          <t>ปี 2563</t>
        </is>
      </c>
    </row>
    <row r="27" ht="409.6" customHeight="1" s="49">
      <c r="A27" s="35" t="n">
        <v>25</v>
      </c>
      <c r="B27" s="34" t="inlineStr">
        <is>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is>
      </c>
      <c r="C27" s="35" t="n"/>
      <c r="D27" s="34" t="inlineStr">
        <is>
          <t>ผ่านเกณฑ์มาตรฐาน เนื่องจากมีค่าไม่เกิน 5×10⁷</t>
        </is>
      </c>
      <c r="E27" s="34" t="inlineStr">
        <is>
          <t>ผ่านเกณฑ์มาตรฐาน เนื่องจากมีค่าไม่เกิน 5×10⁴</t>
        </is>
      </c>
      <c r="F27" s="34" t="inlineStr">
        <is>
          <t>ไม่ผ่านเกณฑ์มาตรฐาน เนื่องจากมีค่าเกิน 5×10³</t>
        </is>
      </c>
      <c r="G27" s="34" t="inlineStr">
        <is>
          <t>ไม่ผ่านเกณฑ์มาตรฐาน เนื่องจากต้องตรวจไม่พบใน 10 g</t>
        </is>
      </c>
      <c r="H27" s="34" t="inlineStr">
        <is>
          <t>ไม่สามารถประเมินได้ เนื่องจากไม่มีเกณฑ์ระบุไว้</t>
        </is>
      </c>
      <c r="I27" s="35" t="n">
        <v>3</v>
      </c>
      <c r="J27" s="34" t="inlineStr">
        <is>
          <t>✅ คำตอบที่ถูกต้อง: ข้อ ค. ไม่ผ่านเกณฑ์มาตรฐาน เนื่องจากมีค่าเกิน 5×10³
💡 Background:
คำถามข้อสอบจริงใบประกอบวิชาชีพ PLE-CC 1 (Product) ปี 2563 ข้อ 67
🎯 ทำไมข้อนี้ถึงถูก:
ข้อ ค.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7" s="35" t="n"/>
      <c r="L27" s="34" t="inlineStr">
        <is>
          <t>Herbal Products &amp; Standardization</t>
        </is>
      </c>
      <c r="M27" s="35" t="inlineStr">
        <is>
          <t>Product</t>
        </is>
      </c>
      <c r="N27" s="34" t="inlineStr">
        <is>
          <t>ข้อสอบจริง Product ปี 2563 ข้อ 67</t>
        </is>
      </c>
      <c r="O27" s="35" t="inlineStr">
        <is>
          <t>ข้อสอบจริง</t>
        </is>
      </c>
      <c r="P27" s="35" t="inlineStr">
        <is>
          <t>ปี 2563</t>
        </is>
      </c>
    </row>
    <row r="28" ht="409.6" customHeight="1" s="49">
      <c r="A28" s="35" t="n">
        <v>26</v>
      </c>
      <c r="B28" s="34" t="inlineStr">
        <is>
          <t>สร้าง micelle กักตัวยาไว้ในแกนกลางที่ชอบไขมัน เพิ่มความสามารถในการละลายรวม   ผลคือเพิ่มอัตราการละลายและ bioavailability | | :---- | ## สถานการณ์ที่ 8 ผู้ป่วยหญิงไทยแสบร้อนกลางอก เรอเปรี้ยว เป็นหลังกินข้าวกับตอนนอน กินยาลดกรดชนิดน้ำแล้วบรรเทาอาการได้ 3-4 สัปดาห์ เป็นก็เป็นอีก ขณะนี้ตั้งครรภ์ได้ 5 เดือน ข้อ 93. สมุนไพรใดช่วยลดอาการท้องอืด ในผู้ป่วยโรคแผลในกระเพาะ</t>
        </is>
      </c>
      <c r="C28" s="35" t="n"/>
      <c r="D28" s="34" t="inlineStr">
        <is>
          <t>ขมิ้นชัน</t>
        </is>
      </c>
      <c r="E28" s="34" t="inlineStr">
        <is>
          <t>เถาวัลย์เปรียง</t>
        </is>
      </c>
      <c r="F28" s="34" t="inlineStr">
        <is>
          <t>หญ้าหนวดแมว</t>
        </is>
      </c>
      <c r="G28" s="34" t="inlineStr">
        <is>
          <t>ไพล</t>
        </is>
      </c>
      <c r="H28" s="34" t="inlineStr">
        <is>
          <t>ตะไคร้ |</t>
        </is>
      </c>
      <c r="I28" s="35" t="n">
        <v>1</v>
      </c>
      <c r="J28" s="34" t="inlineStr">
        <is>
          <t>✅ คำตอบที่ถูกต้อง: ข้อ ก. ขมิ้นชัน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8" s="35" t="n"/>
      <c r="L28" s="34" t="inlineStr">
        <is>
          <t>Herbal Products &amp; Standardization</t>
        </is>
      </c>
      <c r="M28" s="35" t="inlineStr">
        <is>
          <t>Product</t>
        </is>
      </c>
      <c r="N28" s="34" t="inlineStr">
        <is>
          <t>ข้อสอบจริง Product ปี 2562 ข้อ 2</t>
        </is>
      </c>
      <c r="O28" s="35" t="inlineStr">
        <is>
          <t>ข้อสอบจริง</t>
        </is>
      </c>
      <c r="P28" s="35" t="inlineStr">
        <is>
          <t>ปี 2562</t>
        </is>
      </c>
    </row>
    <row r="29" ht="409.6" customHeight="1" s="49">
      <c r="A29" s="35" t="n">
        <v>27</v>
      </c>
      <c r="B29" s="34" t="inlineStr">
        <is>
          <t>มีฤทธิ์สมานแผลในกระเพาะอาหาร (antiulcer) — curcumin ยับยั้ง NF-κB ลดการอักเสบ กระตุ้นการสร้าง mucus ปกป้องเยื่อบุกระเพาะ และมีฤทธิ์ต้านอนุมูลอิสระ   จึงเป็นตัวเลือกเดียวที่ทั้งแก้ท้องอืด “และ” ปลอดภัย/เป็นประโยชน์ในผู้ป่วยที่มีแผลในกระเพาะ | | :---- | ข้อ 94. การปลดปล่อยยาในรูปแบบ matrix เป็นแบบใด</t>
        </is>
      </c>
      <c r="C29" s="35" t="n"/>
      <c r="D29" s="34" t="inlineStr">
        <is>
          <t>Dissolution</t>
        </is>
      </c>
      <c r="E29" s="34" t="inlineStr">
        <is>
          <t>Disintegration</t>
        </is>
      </c>
      <c r="F29" s="34" t="inlineStr">
        <is>
          <t>Content uniformity / weight variation</t>
        </is>
      </c>
      <c r="G29" s="34" t="inlineStr">
        <is>
          <t>Assay</t>
        </is>
      </c>
      <c r="H29" s="34" t="inlineStr">
        <is>
          <t>Impurity |</t>
        </is>
      </c>
      <c r="I29" s="35" t="n">
        <v>1</v>
      </c>
      <c r="J29" s="34" t="inlineStr">
        <is>
          <t>✅ คำตอบที่ถูกต้อง: ข้อ ก. Dissolution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9" s="35" t="n"/>
      <c r="L29" s="34" t="inlineStr">
        <is>
          <t>Herbal Products &amp; Standardization</t>
        </is>
      </c>
      <c r="M29" s="35" t="inlineStr">
        <is>
          <t>Product</t>
        </is>
      </c>
      <c r="N29" s="34" t="inlineStr">
        <is>
          <t>ข้อสอบจริง Product ปี 2562 ข้อ 2</t>
        </is>
      </c>
      <c r="O29" s="35" t="inlineStr">
        <is>
          <t>ข้อสอบจริง</t>
        </is>
      </c>
      <c r="P29" s="35" t="inlineStr">
        <is>
          <t>ปี 2562</t>
        </is>
      </c>
    </row>
    <row r="30" ht="409.6" customHeight="1" s="49">
      <c r="A30" s="35" t="n">
        <v>28</v>
      </c>
      <c r="B30" s="34" t="inlineStr">
        <is>
          <t>เป็นฐานสีขาวสำหรับผสมกับสารสีอื่นให้ได้เฉดที่ต้องการ   กรณี cyclophosphamide ซึ่งไวต่อแสงและความชื้น การมี TiO₂ ในชั้นเคลือบจึงมีความสำคัญเชิงความคงตัวด้วย | | :---- | # วันที่ 2 ## สถานการณ์ที่ 1 ชายไทย 53 ปี มีโรคประจำตัวความดันโลหิต ได้รับยา amlodipine 20 mg 1x1 ต่อมาผู้ป่วยได้รับวินิจฉัยเป็น depression ได้รับยา fluoxetine 20 mg 1x1 hs. ข้อ 8. จากตารางที่ให้ เป็นการทำ method validation ในพารามิเตอร์ใด ตารางแสดง %ADD 3 ค่า 80 100 120 และค่าเฉลี่ย ทำในสาร 3 ชนิด และทุกอันมี %RSD เป็นการทำ validation เรื่องอะไร</t>
        </is>
      </c>
      <c r="C30" s="35" t="n"/>
      <c r="D30" s="34" t="inlineStr">
        <is>
          <t>ละลาย iodine ที่บดละเอียดในน้ำที่อุณหภูมิห้อง</t>
        </is>
      </c>
      <c r="E30" s="34" t="inlineStr">
        <is>
          <t>ละลาย iodine ในสารละลาย potassium iodide</t>
        </is>
      </c>
      <c r="F30" s="34" t="inlineStr">
        <is>
          <t>ละลาย iodine ในน้ำเดือด</t>
        </is>
      </c>
      <c r="G30" s="34" t="inlineStr">
        <is>
          <t>ละลาย iodine โดยใช้ ethanol เป็น co-solvent</t>
        </is>
      </c>
      <c r="H30" s="34" t="inlineStr">
        <is>
          <t>ละลาย iodine โดยใช้ tween 80 เป็นสารช่วยละลาย |</t>
        </is>
      </c>
      <c r="I30" s="35" t="n">
        <v>5</v>
      </c>
      <c r="J30" s="34" t="inlineStr">
        <is>
          <t>✅ คำตอบที่ถูกต้อง: ข้อ จ. 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0" s="35" t="n"/>
      <c r="L30" s="34" t="inlineStr">
        <is>
          <t>Herbal Products &amp; Standardization</t>
        </is>
      </c>
      <c r="M30" s="35" t="inlineStr">
        <is>
          <t>Product</t>
        </is>
      </c>
      <c r="N30" s="34" t="inlineStr">
        <is>
          <t>ข้อสอบจริง Product ปี 2562 ข้อ 3</t>
        </is>
      </c>
      <c r="O30" s="35" t="inlineStr">
        <is>
          <t>ข้อสอบจริง</t>
        </is>
      </c>
      <c r="P30" s="35" t="inlineStr">
        <is>
          <t>ปี 2562</t>
        </is>
      </c>
    </row>
    <row r="31" ht="409.6" customHeight="1" s="49">
      <c r="A31" s="35" t="n">
        <v>29</v>
      </c>
      <c r="B31" s="34" t="inlineStr">
        <is>
          <t>เติมน้ำที่เหลือให้ครบปริมาตร (qs to 100 ml)   ถ้าทำสลับลำดับ คือเติมน้ำครบก่อนแล้วค่อยเติมไอโอดีน จะละลายไม่หมด | | :---- | ข้อ 24. Iodine lugol solution ต้องบรรจุในภาชนะใด</t>
        </is>
      </c>
      <c r="C31" s="35" t="n"/>
      <c r="D31" s="34" t="inlineStr">
        <is>
          <t>HPLC</t>
        </is>
      </c>
      <c r="E31" s="34" t="inlineStr">
        <is>
          <t>UV</t>
        </is>
      </c>
      <c r="F31" s="34" t="inlineStr">
        <is>
          <t>Polarimeter</t>
        </is>
      </c>
      <c r="G31" s="34" t="inlineStr">
        <is>
          <t>Infrared spectoscope</t>
        </is>
      </c>
      <c r="H31" s="34" t="inlineStr">
        <is>
          <t>NMR |</t>
        </is>
      </c>
      <c r="I31" s="35" t="n">
        <v>5</v>
      </c>
      <c r="J31" s="34" t="inlineStr">
        <is>
          <t>✅ คำตอบที่ถูกต้อง: ข้อ จ. NMR | คำอธิบาย การวิเคราะห์ยาเม็ดคุมกำเนิดที่มีตัวยาสองชนิดผสมกันต้องใช้ HPLC ด้วยเหตุผล 3 ประการ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1" s="35" t="n"/>
      <c r="L31" s="34" t="inlineStr">
        <is>
          <t>Herbal Products &amp; Standardization</t>
        </is>
      </c>
      <c r="M31" s="35" t="inlineStr">
        <is>
          <t>Product</t>
        </is>
      </c>
      <c r="N31" s="34" t="inlineStr">
        <is>
          <t>ข้อสอบจริง Product ปี 2562 ข้อ 3</t>
        </is>
      </c>
      <c r="O31" s="35" t="inlineStr">
        <is>
          <t>ข้อสอบจริง</t>
        </is>
      </c>
      <c r="P31" s="35" t="inlineStr">
        <is>
          <t>ปี 2562</t>
        </is>
      </c>
    </row>
    <row r="32" ht="409.6" customHeight="1" s="49">
      <c r="A32" s="35" t="n">
        <v>30</v>
      </c>
      <c r="B32" s="34" t="inlineStr">
        <is>
          <t>ผลของ ADA มี 2 ด้าน คือทำให้ยาถูกทำลายและประสิทธิภาพลดลง (neutralizing antibody) และทำให้เกิดปฏิกิริยาภูมิแพ้/แพ้รุนแรง (infusion reaction, anaphylaxis)   สำหรับ trastuzumab โดยเฉพาะ ยังต้องเฝ้าระวังความปลอดภัยด้านหัวใจ (cardiotoxicity — ลด LVEF, heart failure) ซึ่งเป็น ADR สำคัญของยากลุ่มนี้   ดังนั้นการขึ้นทะเบียน biosimilar จึงต้องมีข้อมูล comparative immunogenicity study และการเฝ้าระวังหลังการตลาด (pharmacovigilance) ที่เข้มงวด | | :---- | ข้อ 60. ผู้ป่วยต้องผสม trastuzumab สำหรับพร้อมฉีด (IV preparation) อย่างไร</t>
        </is>
      </c>
      <c r="C32" s="35" t="n"/>
      <c r="D32" s="34" t="inlineStr">
        <is>
          <t>Propellant</t>
        </is>
      </c>
      <c r="E32" s="34" t="inlineStr">
        <is>
          <t>Glidant</t>
        </is>
      </c>
      <c r="F32" s="34" t="inlineStr">
        <is>
          <t>Cosolvent</t>
        </is>
      </c>
      <c r="G32" s="34" t="inlineStr">
        <is>
          <t>Antioxidant</t>
        </is>
      </c>
      <c r="H32" s="34" t="inlineStr">
        <is>
          <t>Wetting agent |</t>
        </is>
      </c>
      <c r="I32" s="35" t="n">
        <v>1</v>
      </c>
      <c r="J32" s="34" t="inlineStr">
        <is>
          <t>✅ คำตอบที่ถูกต้อง: ข้อ ก. Propellant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2" s="35" t="n"/>
      <c r="L32" s="34" t="inlineStr">
        <is>
          <t>Herbal Products &amp; Standardization</t>
        </is>
      </c>
      <c r="M32" s="35" t="inlineStr">
        <is>
          <t>Product</t>
        </is>
      </c>
      <c r="N32" s="34" t="inlineStr">
        <is>
          <t>ข้อสอบจริง Product ปี 2562 ข้อ 3</t>
        </is>
      </c>
      <c r="O32" s="35" t="inlineStr">
        <is>
          <t>ข้อสอบจริง</t>
        </is>
      </c>
      <c r="P32" s="35" t="inlineStr">
        <is>
          <t>ปี 2562</t>
        </is>
      </c>
    </row>
    <row r="33" ht="409.6" customHeight="1" s="49">
      <c r="A33" s="35" t="n">
        <v>31</v>
      </c>
      <c r="B33" s="34" t="inlineStr">
        <is>
          <t>หากต้องการตรวจสอบคุณภาพผงสมุนไพรของใบพญายอ ด้วยวิธีการส่องกล้องจุลทรรศน์ ควรพบเนื้อเยื่อส่วนใดบ้าง</t>
        </is>
      </c>
      <c r="C33" s="35" t="n"/>
      <c r="D33" s="34" t="inlineStr">
        <is>
          <t>พบ cortex และ xylem</t>
        </is>
      </c>
      <c r="E33" s="34" t="inlineStr">
        <is>
          <t>พบ cork และ stomata</t>
        </is>
      </c>
      <c r="F33" s="34" t="inlineStr">
        <is>
          <t>พบ cortex และ cambium</t>
        </is>
      </c>
      <c r="G33" s="34" t="inlineStr">
        <is>
          <t>พบ scleried และ stomata</t>
        </is>
      </c>
      <c r="H33" s="34" t="inlineStr">
        <is>
          <t>พบ palisade และ stomata</t>
        </is>
      </c>
      <c r="I33" s="35" t="n">
        <v>1</v>
      </c>
      <c r="J33" s="34" t="inlineStr">
        <is>
          <t>✅ คำตอบที่ถูกต้อง: ข้อ ก. พบ cortex และ xylem
💡 Background:
คำถามข้อสอบจริงใบประกอบวิชาชีพ PLE-CC 1 (Product) ปี 2561 ข้อ 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3" s="35" t="n"/>
      <c r="L33" s="34" t="inlineStr">
        <is>
          <t>Herbal Products &amp; Standardization</t>
        </is>
      </c>
      <c r="M33" s="35" t="inlineStr">
        <is>
          <t>Product</t>
        </is>
      </c>
      <c r="N33" s="34" t="inlineStr">
        <is>
          <t>ข้อสอบจริง Product ปี 2561 ข้อ 7</t>
        </is>
      </c>
      <c r="O33" s="35" t="inlineStr">
        <is>
          <t>ข้อสอบจริง</t>
        </is>
      </c>
      <c r="P33" s="35" t="inlineStr">
        <is>
          <t>ปี 2561</t>
        </is>
      </c>
    </row>
    <row r="34" ht="409.6" customHeight="1" s="49">
      <c r="A34" s="35" t="n">
        <v>32</v>
      </c>
      <c r="B34" s="34" t="inlineStr">
        <is>
          <t>แคปซูลฟ้าทะลายโจรต้องทดสอบอะไร</t>
        </is>
      </c>
      <c r="C34" s="35" t="n"/>
      <c r="D34" s="34" t="inlineStr">
        <is>
          <t>Disintegration</t>
        </is>
      </c>
      <c r="E34" s="34" t="inlineStr">
        <is>
          <t>Dissolution</t>
        </is>
      </c>
      <c r="F34" s="34" t="inlineStr">
        <is>
          <t>Limit of pyrogen</t>
        </is>
      </c>
      <c r="G34" s="34" t="n"/>
      <c r="H34" s="34" t="n"/>
      <c r="I34" s="35" t="n">
        <v>1</v>
      </c>
      <c r="J34" s="34" t="inlineStr">
        <is>
          <t>✅ คำตอบที่ถูกต้อง: ข้อ ก. Disintegration
💡 Background:
คำถามข้อสอบจริงใบประกอบวิชาชีพ PLE-CC 1 (Product) ปี 2559 ข้อ 20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4" s="35" t="n"/>
      <c r="L34" s="34" t="inlineStr">
        <is>
          <t>Herbal Products &amp; Standardization</t>
        </is>
      </c>
      <c r="M34" s="35" t="inlineStr">
        <is>
          <t>Product</t>
        </is>
      </c>
      <c r="N34" s="34" t="inlineStr">
        <is>
          <t>ข้อสอบจริง Product ปี 2559 ข้อ 20</t>
        </is>
      </c>
      <c r="O34" s="35" t="inlineStr">
        <is>
          <t>ข้อสอบจริง</t>
        </is>
      </c>
      <c r="P34" s="35" t="inlineStr">
        <is>
          <t>ปี 2559</t>
        </is>
      </c>
    </row>
    <row r="35" ht="409.6" customHeight="1" s="49">
      <c r="A35" s="35" t="n">
        <v>33</v>
      </c>
      <c r="B35" s="34" t="inlineStr">
        <is>
          <t>ข้อแนะนำในการเก็บรักษาและการใช้งานยาฉีดอินซูลินสำหรับผู้ป่วยข้อใดถูกต้อง?</t>
        </is>
      </c>
      <c r="C35" s="35" t="n"/>
      <c r="D35" s="34" t="inlineStr">
        <is>
          <t>ให้เช็ดทำความสะอาดปลายเข็มโลหะด้วยสำลีชุบแอลกอฮอล์ก่อนฉีดทุกครั้ง</t>
        </is>
      </c>
      <c r="E35" s="34" t="inlineStr">
        <is>
          <t>ควรฉีดซ้ำที่เดิมเสมอเพื่อคุมระดับการดูดซึมยาให้คงที่</t>
        </is>
      </c>
      <c r="F35" s="34" t="inlineStr">
        <is>
          <t>ยาฉีดอินซูลินขวดที่เปิดใช้งานแล้ว สามารถเก็บรักษาไว้ในอุณหภูมิห้องที่ไม่ร้อนเกินไปได้นาน 28 วัน</t>
        </is>
      </c>
      <c r="G35" s="34" t="inlineStr">
        <is>
          <t>ควรนำยาฉีดอินซูลินไปเก็บไว้ในช่องแช่แข็งเพื่อความคงตัวสูงสุดของสารสกัดโปรตีน</t>
        </is>
      </c>
      <c r="H35" s="34" t="inlineStr">
        <is>
          <t>สำหรับอินซูลินที่เป็นชนิดสารแขวนตะกอน (Suspension) ต้องเขย่าขวดยาแรงๆ ก่อนใช้เพื่อให้ยากระจายตัว</t>
        </is>
      </c>
      <c r="I35" s="35" t="n">
        <v>1</v>
      </c>
      <c r="J35" s="34" t="inlineStr">
        <is>
          <t>✅ คำตอบที่ถูกต้อง: ข้อ ก. ให้เช็ดทำความสะอาดปลายเข็มโลหะด้วยสำลีชุบแอลกอฮอล์ก่อนฉีดทุกครั้ง
💡 Background:
คำถามข้อสอบจริงใบประกอบวิชาชีพ PLE-CC 1 (Product) ปี 2558 ข้อ 29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5" s="35" t="n"/>
      <c r="L35" s="34" t="inlineStr">
        <is>
          <t>Herbal Products &amp; Standardization</t>
        </is>
      </c>
      <c r="M35" s="35" t="inlineStr">
        <is>
          <t>Product</t>
        </is>
      </c>
      <c r="N35" s="34" t="inlineStr">
        <is>
          <t>ข้อสอบจริง Product ปี 2558 ข้อ 29</t>
        </is>
      </c>
      <c r="O35" s="35" t="inlineStr">
        <is>
          <t>ข้อสอบจริง</t>
        </is>
      </c>
      <c r="P35" s="35" t="inlineStr">
        <is>
          <t>ปี 2558</t>
        </is>
      </c>
    </row>
  </sheetData>
  <mergeCells count="1">
    <mergeCell ref="A1:F1"/>
  </mergeCell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P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409.6" customHeight="1" s="49">
      <c r="A3" s="35" t="n">
        <v>1</v>
      </c>
      <c r="B3" s="34" t="inlineStr">
        <is>
          <t>สารกัน เสียในข้อใดมีผลให้เกิด bronchoconstriction มากที่สุด</t>
        </is>
      </c>
      <c r="C3" s="35" t="inlineStr">
        <is>
          <t>[แนบรูป: ข้อสอบ Product ปี 2564 รหัสรูปภาพ image73]</t>
        </is>
      </c>
      <c r="D3" s="34" t="inlineStr">
        <is>
          <t>UV</t>
        </is>
      </c>
      <c r="E3" s="34" t="inlineStr">
        <is>
          <t>Titrate</t>
        </is>
      </c>
      <c r="F3" s="34" t="inlineStr">
        <is>
          <t>Mass spectrometry</t>
        </is>
      </c>
      <c r="G3" s="34" t="inlineStr">
        <is>
          <t>HPLC with UV</t>
        </is>
      </c>
      <c r="H3" s="34" t="inlineStr">
        <is>
          <t>Spectrofluorometry</t>
        </is>
      </c>
      <c r="I3" s="35" t="n">
        <v>1</v>
      </c>
      <c r="J3" s="34" t="inlineStr">
        <is>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is>
      </c>
      <c r="K3" s="35" t="n"/>
      <c r="L3" s="34" t="inlineStr">
        <is>
          <t>Food Products &amp; Quality Assurance</t>
        </is>
      </c>
      <c r="M3" s="35" t="inlineStr">
        <is>
          <t>Product</t>
        </is>
      </c>
      <c r="N3" s="34" t="inlineStr">
        <is>
          <t>ข้อสอบจริง Product ปี 2564 ข้อ 19</t>
        </is>
      </c>
      <c r="O3" s="35" t="inlineStr">
        <is>
          <t>ข้อสอบจริง</t>
        </is>
      </c>
      <c r="P3" s="35" t="inlineStr">
        <is>
          <t>ปี 2564</t>
        </is>
      </c>
    </row>
  </sheetData>
  <mergeCells count="1">
    <mergeCell ref="A1:F1"/>
  </mergeCells>
  <pageMargins left="0.75" right="0.75" top="1" bottom="1" header="0.5" footer="0.5"/>
</worksheet>
</file>

<file path=xl/worksheets/sheet33.xml><?xml version="1.0" encoding="utf-8"?>
<worksheet xmlns="http://schemas.openxmlformats.org/spreadsheetml/2006/main">
  <sheetPr>
    <tabColor rgb="FFD85926"/>
    <outlinePr summaryBelow="0" summaryRight="0"/>
    <pageSetUpPr/>
  </sheetPr>
  <dimension ref="A1:Q83"/>
  <sheetViews>
    <sheetView workbookViewId="0">
      <selection activeCell="A1" sqref="A1"/>
    </sheetView>
  </sheetViews>
  <sheetFormatPr baseColWidth="8" defaultColWidth="12.6640625" defaultRowHeight="15.75" customHeight="1"/>
  <cols>
    <col width="29.77734375" customWidth="1" style="49" min="2" max="2"/>
  </cols>
  <sheetData>
    <row r="1" ht="34.95" customHeight="1" s="49">
      <c r="A1" s="51">
        <f>HYPERLINK("#gid=0", "🏠 กลับสู่หน้าแรก (Go to Home Page)")</f>
        <v/>
      </c>
    </row>
    <row r="2" ht="64.8" customHeight="1" s="49">
      <c r="A2" s="23" t="inlineStr">
        <is>
          <t>ข้อที่</t>
        </is>
      </c>
      <c r="B2" s="23" t="inlineStr">
        <is>
          <t>คำถาม</t>
        </is>
      </c>
      <c r="C2" s="23" t="inlineStr">
        <is>
          <t>รูปถาม</t>
        </is>
      </c>
      <c r="D2" s="23" t="inlineStr">
        <is>
          <t>ตัวเลือก 1</t>
        </is>
      </c>
      <c r="E2" s="23" t="inlineStr">
        <is>
          <t>ตัวเลือก 2</t>
        </is>
      </c>
      <c r="F2" s="23" t="inlineStr">
        <is>
          <t>ตัวเลือก 3</t>
        </is>
      </c>
      <c r="G2" s="23" t="inlineStr">
        <is>
          <t>ตัวเลือก 4</t>
        </is>
      </c>
      <c r="H2" s="23" t="inlineStr">
        <is>
          <t>ตัวเลือก 5</t>
        </is>
      </c>
      <c r="I2" s="23" t="inlineStr">
        <is>
          <t>เฉลย (ตัวเลข 1-5)</t>
        </is>
      </c>
      <c r="J2" s="23" t="inlineStr">
        <is>
          <t>คำอธิบายเฉลย</t>
        </is>
      </c>
      <c r="K2" s="23" t="inlineStr">
        <is>
          <t>รูปเฉลย</t>
        </is>
      </c>
      <c r="L2" s="23" t="inlineStr">
        <is>
          <t>Filter หมวด/Subtopic</t>
        </is>
      </c>
      <c r="M2" s="23" t="inlineStr">
        <is>
          <t>Product / Clinic</t>
        </is>
      </c>
      <c r="N2" s="23" t="inlineStr">
        <is>
          <t>หมายเหตุ</t>
        </is>
      </c>
      <c r="O2" s="23" t="inlineStr">
        <is>
          <t>ประเภทข้อสอบ</t>
        </is>
      </c>
      <c r="P2" s="23" t="inlineStr">
        <is>
          <t>ปี / เลขชุด</t>
        </is>
      </c>
    </row>
    <row r="3" ht="409.6" customHeight="1" s="49">
      <c r="A3" s="10" t="n">
        <v>1</v>
      </c>
      <c r="B3" s="10"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 t="n"/>
      <c r="D3" s="10" t="inlineStr">
        <is>
          <t>Methyl cyanide</t>
        </is>
      </c>
      <c r="E3" s="10" t="inlineStr">
        <is>
          <t>Nitro</t>
        </is>
      </c>
      <c r="F3" s="10" t="inlineStr">
        <is>
          <t>Thio</t>
        </is>
      </c>
      <c r="G3" s="10" t="inlineStr">
        <is>
          <t>Furan</t>
        </is>
      </c>
      <c r="H3" s="10" t="inlineStr">
        <is>
          <t>Amine</t>
        </is>
      </c>
      <c r="I3" s="10" t="n">
        <v>4</v>
      </c>
      <c r="J3" s="10"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 t="n"/>
      <c r="L3" s="10" t="inlineStr">
        <is>
          <t>SAR &amp; Drug Design</t>
        </is>
      </c>
      <c r="M3" s="10" t="inlineStr">
        <is>
          <t>Product</t>
        </is>
      </c>
      <c r="N3" s="10" t="inlineStr">
        <is>
          <t>ข้อ 1 Pharma Plus เล่มม่วง (เฉลยข้อ ง)</t>
        </is>
      </c>
      <c r="O3" s="10" t="inlineStr">
        <is>
          <t>Mock</t>
        </is>
      </c>
      <c r="P3" s="10" t="inlineStr">
        <is>
          <t>Pharma Plus เล่มม่วง</t>
        </is>
      </c>
    </row>
    <row r="4" ht="409.6" customHeight="1" s="49">
      <c r="A4" s="10" t="n">
        <v>2</v>
      </c>
      <c r="B4" s="10" t="inlineStr">
        <is>
          <t>จากสูตรโครงสร้างของ praziquantel ตำแหน่งนี้เรียกว่า และมีคุณสมบัติอย่างไร</t>
        </is>
      </c>
      <c r="C4" s="10" t="n"/>
      <c r="D4" s="10" t="inlineStr">
        <is>
          <t>Quinoline, base</t>
        </is>
      </c>
      <c r="E4" s="10" t="inlineStr">
        <is>
          <t>Isoquinoline, base</t>
        </is>
      </c>
      <c r="F4" s="10" t="inlineStr">
        <is>
          <t>Guanine, acid</t>
        </is>
      </c>
      <c r="G4" s="10" t="inlineStr">
        <is>
          <t>Pyramidine, acid</t>
        </is>
      </c>
      <c r="H4" s="10" t="inlineStr">
        <is>
          <t>Nirobenzene, acid</t>
        </is>
      </c>
      <c r="I4" s="10" t="n">
        <v>2</v>
      </c>
      <c r="J4" s="10"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 t="n"/>
      <c r="L4" s="10" t="inlineStr">
        <is>
          <t>SAR &amp; Drug Design</t>
        </is>
      </c>
      <c r="M4" s="10" t="inlineStr">
        <is>
          <t>Product</t>
        </is>
      </c>
      <c r="N4" s="10" t="inlineStr">
        <is>
          <t>ข้อ 2 Pharma Plus เล่มม่วง (เฉลยข้อ ข)</t>
        </is>
      </c>
      <c r="O4" s="10" t="inlineStr">
        <is>
          <t>Mock</t>
        </is>
      </c>
      <c r="P4" s="10" t="inlineStr">
        <is>
          <t>Pharma Plus เล่มม่วง</t>
        </is>
      </c>
    </row>
    <row r="5" ht="409.6" customHeight="1" s="49">
      <c r="A5" s="10" t="n">
        <v>3</v>
      </c>
      <c r="B5" s="10" t="inlineStr">
        <is>
          <t>จากสูตรโครงสร้างมีหมู่ carboxyl group กี่หมู่</t>
        </is>
      </c>
      <c r="C5" s="10" t="n"/>
      <c r="D5" s="10" t="inlineStr">
        <is>
          <t>Bioisosteric Replacement (Carboxylic acid → Tetrazole)</t>
        </is>
      </c>
      <c r="E5" s="10" t="inlineStr">
        <is>
          <t>Prodrug Design via Esterification for Oral Bioavailability</t>
        </is>
      </c>
      <c r="F5" s="10" t="inlineStr">
        <is>
          <t>Cytochrome P450 CYP3A4 Phase I Oxidation</t>
        </is>
      </c>
      <c r="G5" s="10" t="inlineStr">
        <is>
          <t>Phase II Glucuronidation Conjugation by UGT</t>
        </is>
      </c>
      <c r="H5" s="10" t="inlineStr">
        <is>
          <t>Log P Lipophilicity Partition Coefficient optimization</t>
        </is>
      </c>
      <c r="I5" s="10" t="n">
        <v>2</v>
      </c>
      <c r="J5" s="10"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 t="n"/>
      <c r="L5" s="10" t="inlineStr">
        <is>
          <t>SAR &amp; Drug Design</t>
        </is>
      </c>
      <c r="M5" s="10" t="inlineStr">
        <is>
          <t>Product</t>
        </is>
      </c>
      <c r="N5" s="10" t="inlineStr">
        <is>
          <t>ข้อ 3 Pharma Plus เล่มม่วง (เฉลยข้อ ข)</t>
        </is>
      </c>
      <c r="O5" s="10" t="inlineStr">
        <is>
          <t>Mock</t>
        </is>
      </c>
      <c r="P5" s="10" t="inlineStr">
        <is>
          <t>Pharma Plus เล่มม่วง</t>
        </is>
      </c>
    </row>
    <row r="6" ht="409.6" customHeight="1" s="49">
      <c r="A6" s="10" t="n">
        <v>4</v>
      </c>
      <c r="B6" s="10" t="inlineStr">
        <is>
          <t>จากโครงสร้าง Simvastatin และ Pravastatin ข้อใดถูกต้อง</t>
        </is>
      </c>
      <c r="C6" s="10" t="n"/>
      <c r="D6" s="10" t="inlineStr">
        <is>
          <t>Cholestyramine ลดการดูดซึมของยา simvastatin เพราะโครงสร้าง Simvastatin มี lactone ring</t>
        </is>
      </c>
      <c r="E6" s="10" t="inlineStr">
        <is>
          <t>Cholestyramine ลดการดูดซึมของยา pravastatin เพราะโครงสร้าง Pravastatin มี carboxylic acid</t>
        </is>
      </c>
      <c r="F6" s="10" t="inlineStr">
        <is>
          <t>Simvastatin ลดการดูดซึมของยา cholestyramine</t>
        </is>
      </c>
      <c r="G6" s="10" t="inlineStr">
        <is>
          <t>Cholestyramine ไม่มีผลต่อการดูดซึมของยา simvastatin และ pravastatin</t>
        </is>
      </c>
      <c r="H6" s="10" t="inlineStr">
        <is>
          <t>Cholestyramine เพิ่มการดูดซึมของยา simvastatin และ pravastatin</t>
        </is>
      </c>
      <c r="I6" s="10" t="n">
        <v>2</v>
      </c>
      <c r="J6" s="10"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 t="n"/>
      <c r="L6" s="10" t="inlineStr">
        <is>
          <t>SAR &amp; Drug Design</t>
        </is>
      </c>
      <c r="M6" s="10" t="inlineStr">
        <is>
          <t>Product</t>
        </is>
      </c>
      <c r="N6" s="10" t="inlineStr">
        <is>
          <t>ข้อ 4 Pharma Plus เล่มม่วง (เฉลยข้อ ข)</t>
        </is>
      </c>
      <c r="O6" s="10" t="inlineStr">
        <is>
          <t>Mock</t>
        </is>
      </c>
      <c r="P6" s="10" t="inlineStr">
        <is>
          <t>Pharma Plus เล่มม่วง</t>
        </is>
      </c>
    </row>
    <row r="7" ht="409.6" customHeight="1" s="49">
      <c r="A7" s="10" t="n">
        <v>5</v>
      </c>
      <c r="B7" s="10" t="inlineStr">
        <is>
          <t>โครงสร้างที่แสดงข้อ 4 สัมพันธ์กับการออกฤทธิ์ของยาอย่างไร</t>
        </is>
      </c>
      <c r="C7" s="10" t="n"/>
      <c r="D7" s="10" t="inlineStr">
        <is>
          <t>Pravastatin เป็น prodrug</t>
        </is>
      </c>
      <c r="E7" s="10" t="inlineStr">
        <is>
          <t>Pravastatin และ simvastatin เป็น prodrug</t>
        </is>
      </c>
      <c r="F7" s="10" t="inlineStr">
        <is>
          <t>Pravastatin มีโครงสร้างที่ออกฤทธิ์ในร่างกายสองรูปแบบ คือ โครงสร้างที่เชื่อมเป็นวง lactone ring และโครงสร้างที่เป็น carboxylic acid</t>
        </is>
      </c>
      <c r="G7" s="10" t="inlineStr">
        <is>
          <t>Simvastatin มีโครงสร้างที่ออกฤทธิ์ คือ โครงสร้างที่เป็น lactone ring เปิด</t>
        </is>
      </c>
      <c r="H7" s="10" t="inlineStr">
        <is>
          <t>Pravastatin และ simvastatin ไม่เป็น prodrug</t>
        </is>
      </c>
      <c r="I7" s="10" t="n">
        <v>4</v>
      </c>
      <c r="J7" s="10"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 t="n"/>
      <c r="L7" s="10" t="inlineStr">
        <is>
          <t>SAR &amp; Drug Design</t>
        </is>
      </c>
      <c r="M7" s="10" t="inlineStr">
        <is>
          <t>Product</t>
        </is>
      </c>
      <c r="N7" s="10" t="inlineStr">
        <is>
          <t>ข้อ 5 Pharma Plus เล่มม่วง (เฉลยข้อ ง)</t>
        </is>
      </c>
      <c r="O7" s="10" t="inlineStr">
        <is>
          <t>Mock</t>
        </is>
      </c>
      <c r="P7" s="10" t="inlineStr">
        <is>
          <t>Pharma Plus เล่มม่วง</t>
        </is>
      </c>
    </row>
    <row r="8" ht="409.6" customHeight="1" s="49">
      <c r="A8" s="10" t="n">
        <v>6</v>
      </c>
      <c r="B8" s="10" t="inlineStr">
        <is>
          <t>สูตรโครงสร้างของยาต่อไปนี้ข้อใดคือ Dexamethasone</t>
        </is>
      </c>
      <c r="C8" s="10" t="n"/>
      <c r="D8" s="10" t="inlineStr">
        <is>
          <t>โครงสร้างเตียรอยด์มีหมู่ -OH และ -F</t>
        </is>
      </c>
      <c r="E8" s="10" t="inlineStr">
        <is>
          <t>โครงสร้าง ACE inhibitor</t>
        </is>
      </c>
      <c r="F8" s="10" t="inlineStr">
        <is>
          <t>โครงสร้าง Chloramphenicol</t>
        </is>
      </c>
      <c r="G8" s="10" t="inlineStr">
        <is>
          <t>โครงสร้าง Sulfonamide</t>
        </is>
      </c>
      <c r="H8" s="10" t="inlineStr">
        <is>
          <t>โครงสร้าง Beta-lactam หรือโครงสร้างอื่น</t>
        </is>
      </c>
      <c r="I8" s="10" t="n">
        <v>1</v>
      </c>
      <c r="J8" s="10"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 t="n"/>
      <c r="L8" s="10" t="inlineStr">
        <is>
          <t>SAR &amp; Drug Design</t>
        </is>
      </c>
      <c r="M8" s="10" t="inlineStr">
        <is>
          <t>Product</t>
        </is>
      </c>
      <c r="N8" s="10" t="inlineStr">
        <is>
          <t>ข้อ 6 Pharma Plus เล่มม่วง (เฉลยข้อ ก)</t>
        </is>
      </c>
      <c r="O8" s="10" t="inlineStr">
        <is>
          <t>Mock</t>
        </is>
      </c>
      <c r="P8" s="10" t="inlineStr">
        <is>
          <t>Pharma Plus เล่มม่วง</t>
        </is>
      </c>
    </row>
    <row r="9" ht="409.6" customHeight="1" s="49">
      <c r="A9" s="10" t="n">
        <v>11</v>
      </c>
      <c r="B9" s="10" t="inlineStr">
        <is>
          <t>จากโครงสร้างของ vitamin A ข้อใดต่อไปนี้ถูกต้องเกี่ยวกับ SAR</t>
        </is>
      </c>
      <c r="C9" s="10" t="n"/>
      <c r="D9" s="10" t="inlineStr">
        <is>
          <t>Conjugated double bond เพิ่มขึ้น ทำให้ activity ของ vitamin A ลดลง</t>
        </is>
      </c>
      <c r="E9" s="10" t="inlineStr">
        <is>
          <t>Conjugated double bond ลดลง ทำให้ activity ของ vitamin A เพิ่มขึ้น</t>
        </is>
      </c>
      <c r="F9" s="10" t="inlineStr">
        <is>
          <t>ถ้า b-ionone ring saturate จะทำให้ vitamin A หมดฤทธิ์</t>
        </is>
      </c>
      <c r="G9" s="10" t="inlineStr">
        <is>
          <t>ถ้า b-ionone ring saturate จะทำให้ vitamin A ฤทธิ์เพิ่มขึ้น</t>
        </is>
      </c>
      <c r="H9" s="10" t="inlineStr">
        <is>
          <t>ถ้าเปลี่ยนจาก -OH เป็น ether จะทำให้ vitamin A ฤทธิ์เพิ่มขึ้น</t>
        </is>
      </c>
      <c r="I9" s="10" t="n">
        <v>3</v>
      </c>
      <c r="J9" s="10"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 t="n"/>
      <c r="L9" s="10" t="inlineStr">
        <is>
          <t>SAR &amp; Drug Design</t>
        </is>
      </c>
      <c r="M9" s="10" t="inlineStr">
        <is>
          <t>Product</t>
        </is>
      </c>
      <c r="N9" s="10" t="inlineStr">
        <is>
          <t>ข้อ 11 Pharma Plus เล่มม่วง (เฉลยข้อ ค)</t>
        </is>
      </c>
      <c r="O9" s="10" t="inlineStr">
        <is>
          <t>Mock</t>
        </is>
      </c>
      <c r="P9" s="10" t="inlineStr">
        <is>
          <t>Pharma Plus เล่มม่วง</t>
        </is>
      </c>
    </row>
    <row r="10" ht="409.6" customHeight="1" s="49">
      <c r="A10" s="10" t="n">
        <v>12</v>
      </c>
      <c r="B10" s="10" t="inlineStr">
        <is>
          <t>จากข้อ 11 ถ้าเปลี่ยนจากหมู่ OH เป็น COOH จะเป็นสารใดต่อไปนี้</t>
        </is>
      </c>
      <c r="C10" s="10" t="n"/>
      <c r="D10" s="10" t="inlineStr">
        <is>
          <t>Tretinoin</t>
        </is>
      </c>
      <c r="E10" s="10" t="inlineStr">
        <is>
          <t>Isotretinoin</t>
        </is>
      </c>
      <c r="F10" s="10" t="inlineStr">
        <is>
          <t>Adapalene</t>
        </is>
      </c>
      <c r="G10" s="10" t="inlineStr">
        <is>
          <t>Carotenoid</t>
        </is>
      </c>
      <c r="H10" s="10" t="inlineStr">
        <is>
          <t>Retinal</t>
        </is>
      </c>
      <c r="I10" s="10" t="n">
        <v>1</v>
      </c>
      <c r="J10" s="10"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 t="n"/>
      <c r="L10" s="10" t="inlineStr">
        <is>
          <t>SAR &amp; Drug Design</t>
        </is>
      </c>
      <c r="M10" s="10" t="inlineStr">
        <is>
          <t>Product</t>
        </is>
      </c>
      <c r="N10" s="10" t="inlineStr">
        <is>
          <t>ข้อ 12 Pharma Plus เล่มม่วง (เฉลยข้อ ก)</t>
        </is>
      </c>
      <c r="O10" s="10" t="inlineStr">
        <is>
          <t>Mock</t>
        </is>
      </c>
      <c r="P10" s="10" t="inlineStr">
        <is>
          <t>Pharma Plus เล่มม่วง</t>
        </is>
      </c>
    </row>
    <row r="11" ht="409.6" customHeight="1" s="49">
      <c r="A11" s="10" t="n">
        <v>13</v>
      </c>
      <c r="B11" s="10" t="inlineStr">
        <is>
          <t>จากโครงสร้างของยา Gemcitabine เป็นอนุพันธ์ของอะไร</t>
        </is>
      </c>
      <c r="C11" s="10" t="n"/>
      <c r="D11" s="10" t="inlineStr">
        <is>
          <t>Acyclonucleoside analog</t>
        </is>
      </c>
      <c r="E11" s="10" t="inlineStr">
        <is>
          <t>Pyrimidine nucleoside analog</t>
        </is>
      </c>
      <c r="F11" s="10" t="inlineStr">
        <is>
          <t>Pyrimidine nucleotide analog</t>
        </is>
      </c>
      <c r="G11" s="10" t="inlineStr">
        <is>
          <t>Purine nucleotide analog</t>
        </is>
      </c>
      <c r="H11" s="10" t="inlineStr">
        <is>
          <t>Purine nucleoside analog</t>
        </is>
      </c>
      <c r="I11" s="10" t="n">
        <v>2</v>
      </c>
      <c r="J11" s="10"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SAR &amp; Drug Design</t>
        </is>
      </c>
      <c r="M11" s="10" t="inlineStr">
        <is>
          <t>Product</t>
        </is>
      </c>
      <c r="N11" s="10" t="inlineStr">
        <is>
          <t>ข้อ 13 Pharma Plus เล่มม่วง (เฉลยข้อ ข)</t>
        </is>
      </c>
      <c r="O11" s="10" t="inlineStr">
        <is>
          <t>Mock</t>
        </is>
      </c>
      <c r="P11" s="10" t="inlineStr">
        <is>
          <t>Pharma Plus เล่มม่วง</t>
        </is>
      </c>
    </row>
    <row r="12" ht="409.6" customHeight="1" s="49">
      <c r="A12" s="10" t="n">
        <v>14</v>
      </c>
      <c r="B12" s="10" t="inlineStr">
        <is>
          <t>จากโครงสร้างของยา A และยา B ข้อใดถูกต้องเกี่ยวกับยา B</t>
        </is>
      </c>
      <c r="C12" s="10" t="n"/>
      <c r="D12" s="10" t="inlineStr">
        <is>
          <t>ฤทธิ์ต้านแบคทีเรียลดลงอย่างมีนัยสำคัญ</t>
        </is>
      </c>
      <c r="E12" s="10" t="inlineStr">
        <is>
          <t>ความสามารถในการละลายน้ำไม่เปลี่ยนแปลง</t>
        </is>
      </c>
      <c r="F12" s="10" t="inlineStr">
        <is>
          <t>ความถี่ในการรับประทานลดลง</t>
        </is>
      </c>
      <c r="G12" s="10" t="inlineStr">
        <is>
          <t>ไม่คงตัวต่อกรดเช่นเดียวกับยา A</t>
        </is>
      </c>
      <c r="H12" s="10" t="inlineStr">
        <is>
          <t>ไม่คงตัวต่อด่างเช่นเดียวกันกับยา A</t>
        </is>
      </c>
      <c r="I12" s="10" t="n">
        <v>3</v>
      </c>
      <c r="J12" s="10"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 t="n"/>
      <c r="L12" s="10" t="inlineStr">
        <is>
          <t>SAR &amp; Drug Design</t>
        </is>
      </c>
      <c r="M12" s="10" t="inlineStr">
        <is>
          <t>Product</t>
        </is>
      </c>
      <c r="N12" s="10" t="inlineStr">
        <is>
          <t>ข้อ 14 Pharma Plus เล่มม่วง (เฉลยข้อ ค)</t>
        </is>
      </c>
      <c r="O12" s="10" t="inlineStr">
        <is>
          <t>Mock</t>
        </is>
      </c>
      <c r="P12" s="10" t="inlineStr">
        <is>
          <t>Pharma Plus เล่มม่วง</t>
        </is>
      </c>
    </row>
    <row r="13" ht="409.6" customHeight="1" s="49">
      <c r="A13" s="10" t="n">
        <v>15</v>
      </c>
      <c r="B13" s="10" t="inlineStr">
        <is>
          <t>จากสูตรโครงสร้างของยา doxorubicin โครงสร้างส่วนใดที่ออกฤทธิ์เป็น intercalating ของ DNA</t>
        </is>
      </c>
      <c r="C13" s="10" t="n"/>
      <c r="D13" s="10" t="inlineStr">
        <is>
          <t>Anthracycline ring</t>
        </is>
      </c>
      <c r="E13" s="10" t="inlineStr">
        <is>
          <t>- NH2 group</t>
        </is>
      </c>
      <c r="F13" s="10" t="inlineStr">
        <is>
          <t>Methoxy</t>
        </is>
      </c>
      <c r="G13" s="10" t="inlineStr">
        <is>
          <t>Hydroxyl</t>
        </is>
      </c>
      <c r="H13" s="10" t="inlineStr">
        <is>
          <t>น้ำตาล glycoside</t>
        </is>
      </c>
      <c r="I13" s="10" t="n">
        <v>1</v>
      </c>
      <c r="J13" s="10"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SAR &amp; Drug Design</t>
        </is>
      </c>
      <c r="M13" s="10" t="inlineStr">
        <is>
          <t>Product</t>
        </is>
      </c>
      <c r="N13" s="10" t="inlineStr">
        <is>
          <t>ข้อ 15 Pharma Plus เล่มม่วง (เฉลยข้อ ก)</t>
        </is>
      </c>
      <c r="O13" s="10" t="inlineStr">
        <is>
          <t>Mock</t>
        </is>
      </c>
      <c r="P13" s="10" t="inlineStr">
        <is>
          <t>Pharma Plus เล่มม่วง</t>
        </is>
      </c>
    </row>
    <row r="14" ht="409.6" customHeight="1" s="49">
      <c r="A14" s="10" t="n">
        <v>16</v>
      </c>
      <c r="B14" s="10" t="inlineStr">
        <is>
          <t>โครงสร้างนี้ เรียกว่า อะไร</t>
        </is>
      </c>
      <c r="C14" s="10" t="n"/>
      <c r="D14" s="10" t="inlineStr">
        <is>
          <t>Nucleotide ของ Purine</t>
        </is>
      </c>
      <c r="E14" s="10" t="inlineStr">
        <is>
          <t>Nucleotide ของ Pyridine</t>
        </is>
      </c>
      <c r="F14" s="10" t="inlineStr">
        <is>
          <t>Nucleoside ของ Purine</t>
        </is>
      </c>
      <c r="G14" s="10" t="inlineStr">
        <is>
          <t>Nucleoside ของ Pyridine</t>
        </is>
      </c>
      <c r="H14" s="10" t="inlineStr">
        <is>
          <t>ไม่มีข้อใดถูกต้องการ</t>
        </is>
      </c>
      <c r="I14" s="10" t="n">
        <v>5</v>
      </c>
      <c r="J14" s="10"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SAR &amp; Drug Design</t>
        </is>
      </c>
      <c r="M14" s="10" t="inlineStr">
        <is>
          <t>Product</t>
        </is>
      </c>
      <c r="N14" s="10" t="inlineStr">
        <is>
          <t>ข้อ 16 Pharma Plus เล่มม่วง (เฉลยข้อ จ)</t>
        </is>
      </c>
      <c r="O14" s="10" t="inlineStr">
        <is>
          <t>Mock</t>
        </is>
      </c>
      <c r="P14" s="10" t="inlineStr">
        <is>
          <t>Pharma Plus เล่มม่วง</t>
        </is>
      </c>
    </row>
    <row r="15" ht="409.6" customHeight="1" s="49">
      <c r="A15" s="10" t="n">
        <v>17</v>
      </c>
      <c r="B15" s="10" t="inlineStr">
        <is>
          <t>ข้อใดกล่าวถูกต้องเกี่ยวกับการพัฒนาโครงสร้างดังแสดงด้านล่าง</t>
        </is>
      </c>
      <c r="C15" s="10" t="n"/>
      <c r="D15" s="10" t="inlineStr">
        <is>
          <t>เปลี่ยนตัวออกฤทธิ์เป็น Ligand เพื่อช่วยลดอาการไม่พึงประสงค์จากยา</t>
        </is>
      </c>
      <c r="E15" s="10" t="inlineStr">
        <is>
          <t>ทำให้โครงสร้างใหญ่ขึ้นเพื่อลดการโดนทำลายหมู่สำคัญในการออกฤทธิ์</t>
        </is>
      </c>
      <c r="F15" s="10" t="inlineStr">
        <is>
          <t>เพิ่ม Lipophilicity ของยาเพื่อเพิ่มการเข้าสู่เซลล์เป้าหมาย</t>
        </is>
      </c>
      <c r="G15" s="10" t="inlineStr">
        <is>
          <t>ข้อ ก ข ถูก</t>
        </is>
      </c>
      <c r="H15" s="10" t="inlineStr">
        <is>
          <t>ข้อ ก ข ค ถูก</t>
        </is>
      </c>
      <c r="I15" s="10" t="n">
        <v>4</v>
      </c>
      <c r="J15" s="10"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SAR &amp; Drug Design</t>
        </is>
      </c>
      <c r="M15" s="10" t="inlineStr">
        <is>
          <t>Product</t>
        </is>
      </c>
      <c r="N15" s="10" t="inlineStr">
        <is>
          <t>ข้อ 17 Pharma Plus เล่มม่วง (เฉลยข้อ ง)</t>
        </is>
      </c>
      <c r="O15" s="10" t="inlineStr">
        <is>
          <t>Mock</t>
        </is>
      </c>
      <c r="P15" s="10" t="inlineStr">
        <is>
          <t>Pharma Plus เล่มม่วง</t>
        </is>
      </c>
    </row>
    <row r="16" ht="409.6" customHeight="1" s="49">
      <c r="A16" s="10" t="n">
        <v>18</v>
      </c>
      <c r="B16" s="10" t="inlineStr">
        <is>
          <t>จากโครงสร้างของยาต่อไปนี้ ยาในข้อใดที่มีคุณสมบัติทนต่อ catechol-O-methyltransferase</t>
        </is>
      </c>
      <c r="C16" s="10" t="n"/>
      <c r="D16" s="10" t="inlineStr">
        <is>
          <t>Prodrug Design via Esterification for Oral Bioavailability</t>
        </is>
      </c>
      <c r="E16" s="10" t="inlineStr">
        <is>
          <t>Cytochrome P450 CYP3A4 Phase I Oxidation</t>
        </is>
      </c>
      <c r="F16" s="10" t="inlineStr">
        <is>
          <t>Phase II Glucuronidation Conjugation by UGT</t>
        </is>
      </c>
      <c r="G16" s="10" t="inlineStr">
        <is>
          <t>Log P Lipophilicity Partition Coefficient optimization</t>
        </is>
      </c>
      <c r="H16" s="10" t="inlineStr">
        <is>
          <t>Chiral Eutomer vs Distomer Pharmacological activity</t>
        </is>
      </c>
      <c r="I16" s="10" t="n">
        <v>1</v>
      </c>
      <c r="J16" s="10"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SAR &amp; Drug Design</t>
        </is>
      </c>
      <c r="M16" s="10" t="inlineStr">
        <is>
          <t>Product</t>
        </is>
      </c>
      <c r="N16" s="10" t="inlineStr">
        <is>
          <t>ข้อ 18 Pharma Plus เล่มม่วง (เฉลยข้อ ก)</t>
        </is>
      </c>
      <c r="O16" s="10" t="inlineStr">
        <is>
          <t>Mock</t>
        </is>
      </c>
      <c r="P16" s="10" t="inlineStr">
        <is>
          <t>Pharma Plus เล่มม่วง</t>
        </is>
      </c>
    </row>
    <row r="17" ht="409.6" customHeight="1" s="49">
      <c r="A17" s="10" t="n">
        <v>19</v>
      </c>
      <c r="B17" s="10" t="inlineStr">
        <is>
          <t>จากโครงสร้าง ข้อใดไม่ถูกต้อง</t>
        </is>
      </c>
      <c r="C17" s="10" t="n"/>
      <c r="D17" s="10" t="inlineStr">
        <is>
          <t>(S)-form มีฤทธิ์มากกว่า (R)-form</t>
        </is>
      </c>
      <c r="E17" s="10" t="inlineStr">
        <is>
          <t>อยู่ในกลุ่ม coumarin</t>
        </is>
      </c>
      <c r="F17" s="10" t="inlineStr">
        <is>
          <t>Cyclic hemiketal เป็น active form</t>
        </is>
      </c>
      <c r="G17" s="10" t="inlineStr">
        <is>
          <t>ออกฤทธิ์ direct acting anticoagulants</t>
        </is>
      </c>
      <c r="H17" s="10" t="inlineStr">
        <is>
          <t>ไม่มีข้อใดไม่ถูกต้อง</t>
        </is>
      </c>
      <c r="I17" s="10" t="n">
        <v>4</v>
      </c>
      <c r="J17" s="10"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SAR &amp; Drug Design</t>
        </is>
      </c>
      <c r="M17" s="10" t="inlineStr">
        <is>
          <t>Product</t>
        </is>
      </c>
      <c r="N17" s="10" t="inlineStr">
        <is>
          <t>ข้อ 19 Pharma Plus เล่มม่วง (เฉลยข้อ ง)</t>
        </is>
      </c>
      <c r="O17" s="10" t="inlineStr">
        <is>
          <t>Mock</t>
        </is>
      </c>
      <c r="P17" s="10" t="inlineStr">
        <is>
          <t>Pharma Plus เล่มม่วง</t>
        </is>
      </c>
    </row>
    <row r="18" ht="409.6" customHeight="1" s="49">
      <c r="A18" s="10" t="n">
        <v>20</v>
      </c>
      <c r="B18" s="10" t="inlineStr">
        <is>
          <t>จากโครงสร้าง ข้อความใดต่อไปนี้ไม่ถูกต้อง</t>
        </is>
      </c>
      <c r="C18" s="10" t="n"/>
      <c r="D18" s="10" t="inlineStr">
        <is>
          <t>ตัวอย่างยาในกลุ่มนี้ คือ Digoxin</t>
        </is>
      </c>
      <c r="E18" s="10" t="inlineStr">
        <is>
          <t>Lactone ring เป็นประเภท bufadienolide</t>
        </is>
      </c>
      <c r="F18" s="10" t="inlineStr">
        <is>
          <t>ออกฤทธิ์ยับยั้ง Na-K ATPase</t>
        </is>
      </c>
      <c r="G18" s="10" t="inlineStr">
        <is>
          <t>น้ำตาลจะเข้ามาเกาะที่ตำแหน่ง C3</t>
        </is>
      </c>
      <c r="H18" s="10" t="inlineStr">
        <is>
          <t>ไม่มีข้อใดถูก</t>
        </is>
      </c>
      <c r="I18" s="10" t="n">
        <v>2</v>
      </c>
      <c r="J18" s="10"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SAR &amp; Drug Design</t>
        </is>
      </c>
      <c r="M18" s="10" t="inlineStr">
        <is>
          <t>Product</t>
        </is>
      </c>
      <c r="N18" s="10" t="inlineStr">
        <is>
          <t>ข้อ 20 Pharma Plus เล่มม่วง (เฉลยข้อ ข)</t>
        </is>
      </c>
      <c r="O18" s="10" t="inlineStr">
        <is>
          <t>Mock</t>
        </is>
      </c>
      <c r="P18" s="10" t="inlineStr">
        <is>
          <t>Pharma Plus เล่มม่วง</t>
        </is>
      </c>
    </row>
    <row r="19" ht="409.6" customHeight="1" s="49">
      <c r="A19" s="10" t="n">
        <v>21</v>
      </c>
      <c r="B19" s="10" t="inlineStr">
        <is>
          <t>โครงสร้างใดต่อไปนี้เป็น Ester of Amino Alcohol</t>
        </is>
      </c>
      <c r="C19" s="10" t="n"/>
      <c r="D19" s="10" t="inlineStr">
        <is>
          <t>Cytochrome P450 CYP3A4 Phase I Oxidation</t>
        </is>
      </c>
      <c r="E19" s="10" t="inlineStr">
        <is>
          <t>Phase II Glucuronidation Conjugation by UGT</t>
        </is>
      </c>
      <c r="F19" s="10" t="inlineStr">
        <is>
          <t>Log P Lipophilicity Partition Coefficient optimization</t>
        </is>
      </c>
      <c r="G19" s="10" t="inlineStr">
        <is>
          <t>Chiral Eutomer vs Distomer Pharmacological activity</t>
        </is>
      </c>
      <c r="H19" s="10" t="inlineStr">
        <is>
          <t>Covalent Irreversible Enzyme Inhibition</t>
        </is>
      </c>
      <c r="I19" s="10" t="n">
        <v>5</v>
      </c>
      <c r="J19" s="10"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SAR &amp; Drug Design</t>
        </is>
      </c>
      <c r="M19" s="10" t="inlineStr">
        <is>
          <t>Product</t>
        </is>
      </c>
      <c r="N19" s="10" t="inlineStr">
        <is>
          <t>ข้อ 21 Pharma Plus เล่มม่วง (เฉลยข้อ จ)</t>
        </is>
      </c>
      <c r="O19" s="10" t="inlineStr">
        <is>
          <t>Mock</t>
        </is>
      </c>
      <c r="P19" s="10" t="inlineStr">
        <is>
          <t>Pharma Plus เล่มม่วง</t>
        </is>
      </c>
    </row>
    <row r="20" ht="409.6" customHeight="1" s="49">
      <c r="A20" s="10" t="n">
        <v>22</v>
      </c>
      <c r="B20" s="10" t="inlineStr">
        <is>
          <t>N3 หรือ Azido group จากสูตรโครงสร้างของ AZT มีผลให้เกิดสิ่งใด</t>
        </is>
      </c>
      <c r="C20" s="10" t="n"/>
      <c r="D20" s="10" t="inlineStr">
        <is>
          <t>เพิ่มความสามารถในการจับกับโปรตีน albumin</t>
        </is>
      </c>
      <c r="E20" s="10" t="inlineStr">
        <is>
          <t>ช่วยเพิ่มการดูดซึมของยา</t>
        </is>
      </c>
      <c r="F20" s="10" t="inlineStr">
        <is>
          <t>เพิ่มค่าครึ่งชีวิตให้ยาวขึ้น</t>
        </is>
      </c>
      <c r="G20" s="10" t="inlineStr">
        <is>
          <t>เพิ่มการออกฤทธิ์</t>
        </is>
      </c>
      <c r="H20" s="10" t="inlineStr">
        <is>
          <t>มีผลต่อการตั้งสูตรตำรับ</t>
        </is>
      </c>
      <c r="I20" s="10" t="n">
        <v>4</v>
      </c>
      <c r="J20" s="10"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SAR &amp; Drug Design</t>
        </is>
      </c>
      <c r="M20" s="10" t="inlineStr">
        <is>
          <t>Product</t>
        </is>
      </c>
      <c r="N20" s="10" t="inlineStr">
        <is>
          <t>ข้อ 22 Pharma Plus เล่มม่วง (เฉลยข้อ ง)</t>
        </is>
      </c>
      <c r="O20" s="10" t="inlineStr">
        <is>
          <t>Mock</t>
        </is>
      </c>
      <c r="P20" s="10" t="inlineStr">
        <is>
          <t>Pharma Plus เล่มม่วง</t>
        </is>
      </c>
    </row>
    <row r="21" ht="409.6" customHeight="1" s="49">
      <c r="A21" s="10" t="n">
        <v>23</v>
      </c>
      <c r="B21" s="10" t="inlineStr">
        <is>
          <t>โครงสร้างต่อไปนี้หมายถึงยาชนิดใด</t>
        </is>
      </c>
      <c r="C21" s="10" t="n"/>
      <c r="D21" s="10" t="inlineStr">
        <is>
          <t>Zidovudine</t>
        </is>
      </c>
      <c r="E21" s="10" t="inlineStr">
        <is>
          <t>Cotrimoxazole</t>
        </is>
      </c>
      <c r="F21" s="10" t="inlineStr">
        <is>
          <t>Ceftriaxone</t>
        </is>
      </c>
      <c r="G21" s="10" t="inlineStr">
        <is>
          <t>Acyclovir</t>
        </is>
      </c>
      <c r="H21" s="10" t="inlineStr">
        <is>
          <t>Ciprofloxacin</t>
        </is>
      </c>
      <c r="I21" s="10" t="n">
        <v>4</v>
      </c>
      <c r="J21" s="10"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 t="n"/>
      <c r="L21" s="10" t="inlineStr">
        <is>
          <t>SAR &amp; Drug Design</t>
        </is>
      </c>
      <c r="M21" s="10" t="inlineStr">
        <is>
          <t>Product</t>
        </is>
      </c>
      <c r="N21" s="10" t="inlineStr">
        <is>
          <t>ข้อ 23 Pharma Plus เล่มม่วง (เฉลยข้อ ง)</t>
        </is>
      </c>
      <c r="O21" s="10" t="inlineStr">
        <is>
          <t>Mock</t>
        </is>
      </c>
      <c r="P21" s="10" t="inlineStr">
        <is>
          <t>Pharma Plus เล่มม่วง</t>
        </is>
      </c>
    </row>
    <row r="22" ht="409.6" customHeight="1" s="49">
      <c r="A22" s="10" t="n">
        <v>24</v>
      </c>
      <c r="B22" s="10" t="inlineStr">
        <is>
          <t>ยาปฏิชีวนะข้อใดที่ไม่มีโครงสร้าง B-lactam ring</t>
        </is>
      </c>
      <c r="C22" s="10" t="n"/>
      <c r="D22" s="10" t="inlineStr">
        <is>
          <t>Ciprofloxacin</t>
        </is>
      </c>
      <c r="E22" s="10" t="inlineStr">
        <is>
          <t>Amoxycillin</t>
        </is>
      </c>
      <c r="F22" s="10" t="inlineStr">
        <is>
          <t>Imipenam</t>
        </is>
      </c>
      <c r="G22" s="10" t="inlineStr">
        <is>
          <t>Cloxacillin</t>
        </is>
      </c>
      <c r="H22" s="10" t="inlineStr">
        <is>
          <t>Cefazolin</t>
        </is>
      </c>
      <c r="I22" s="10" t="n">
        <v>1</v>
      </c>
      <c r="J22" s="10"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 t="n"/>
      <c r="L22" s="10" t="inlineStr">
        <is>
          <t>SAR &amp; Drug Design</t>
        </is>
      </c>
      <c r="M22" s="10" t="inlineStr">
        <is>
          <t>Product</t>
        </is>
      </c>
      <c r="N22" s="10" t="inlineStr">
        <is>
          <t>ข้อ 24 Pharma Plus เล่มม่วง (เฉลยข้อ ก)</t>
        </is>
      </c>
      <c r="O22" s="10" t="inlineStr">
        <is>
          <t>Mock</t>
        </is>
      </c>
      <c r="P22" s="10" t="inlineStr">
        <is>
          <t>Pharma Plus เล่มม่วง</t>
        </is>
      </c>
    </row>
    <row r="23" ht="409.6" customHeight="1" s="49">
      <c r="A23" s="10" t="n">
        <v>25</v>
      </c>
      <c r="B23" s="10" t="inlineStr">
        <is>
          <t>จากสูตรโครงสร้างของยา amoxacillin นี้ตำแหน่งไหนที่ถูกทำลายได้ง่ายและมีผลต่อการดื้อยา</t>
        </is>
      </c>
      <c r="C23" s="10" t="n"/>
      <c r="D23" s="10" t="inlineStr">
        <is>
          <t>Covalent Irreversible Enzyme Inhibition</t>
        </is>
      </c>
      <c r="E23" s="10" t="inlineStr">
        <is>
          <t>Structure-Activity Relationship (SAR) Optimization</t>
        </is>
      </c>
      <c r="F23" s="10" t="inlineStr">
        <is>
          <t>Bioisosteric Replacement (Carboxylic acid → Tetrazole)</t>
        </is>
      </c>
      <c r="G23" s="10" t="inlineStr">
        <is>
          <t>Prodrug Design via Esterification for Oral Bioavailability</t>
        </is>
      </c>
      <c r="H23" s="10" t="inlineStr">
        <is>
          <t>Cytochrome P450 CYP3A4 Phase I Oxidation</t>
        </is>
      </c>
      <c r="I23" s="10" t="n">
        <v>3</v>
      </c>
      <c r="J23" s="10"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SAR &amp; Drug Design</t>
        </is>
      </c>
      <c r="M23" s="10" t="inlineStr">
        <is>
          <t>Product</t>
        </is>
      </c>
      <c r="N23" s="10" t="inlineStr">
        <is>
          <t>ข้อ 25 Pharma Plus เล่มม่วง (เฉลยข้อ ค)</t>
        </is>
      </c>
      <c r="O23" s="10" t="inlineStr">
        <is>
          <t>Mock</t>
        </is>
      </c>
      <c r="P23" s="10" t="inlineStr">
        <is>
          <t>Pharma Plus เล่มม่วง</t>
        </is>
      </c>
    </row>
    <row r="24" ht="409.6" customHeight="1" s="49">
      <c r="A24" s="10" t="n">
        <v>26</v>
      </c>
      <c r="B24" s="10" t="inlineStr">
        <is>
          <t>ข้อใดผิดเกี่ยวกับ penicillin</t>
        </is>
      </c>
      <c r="C24" s="10" t="n"/>
      <c r="D24" s="10" t="inlineStr">
        <is>
          <t>Pen G มี chain เป็น Benzoyl group</t>
        </is>
      </c>
      <c r="E24" s="10" t="inlineStr">
        <is>
          <t>Pen G potassium ละลายได้ดีกว่า Pen G</t>
        </is>
      </c>
      <c r="F24" s="10" t="inlineStr">
        <is>
          <t>Benzathine Pen G เป็นเกลือของ Pen G</t>
        </is>
      </c>
      <c r="G24" s="10" t="inlineStr">
        <is>
          <t>B-lactamase ถูก Hydrolyze ด้วยกรด</t>
        </is>
      </c>
      <c r="H24" s="10" t="inlineStr">
        <is>
          <t>Procaine penicillin G ถูกดูดได้ดีในทางเดินอาหาร</t>
        </is>
      </c>
      <c r="I24" s="10" t="n">
        <v>5</v>
      </c>
      <c r="J24" s="10"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SAR &amp; Drug Design</t>
        </is>
      </c>
      <c r="M24" s="10" t="inlineStr">
        <is>
          <t>Product</t>
        </is>
      </c>
      <c r="N24" s="10" t="inlineStr">
        <is>
          <t>ข้อ 26 Pharma Plus เล่มม่วง (เฉลยข้อ จ)</t>
        </is>
      </c>
      <c r="O24" s="10" t="inlineStr">
        <is>
          <t>Mock</t>
        </is>
      </c>
      <c r="P24" s="10" t="inlineStr">
        <is>
          <t>Pharma Plus เล่มม่วง</t>
        </is>
      </c>
    </row>
    <row r="25" ht="409.6" customHeight="1" s="49">
      <c r="A25" s="10" t="n">
        <v>27</v>
      </c>
      <c r="B25" s="10" t="inlineStr">
        <is>
          <t>Doxycycline มีสูตรโครงสร้างรูป เป็นยากลุ่มเดียวกันกับยาใด</t>
        </is>
      </c>
      <c r="C25" s="10" t="n"/>
      <c r="D25" s="10" t="inlineStr">
        <is>
          <t>Tetracycline</t>
        </is>
      </c>
      <c r="E25" s="10" t="inlineStr">
        <is>
          <t>Penicillin</t>
        </is>
      </c>
      <c r="F25" s="10" t="inlineStr">
        <is>
          <t>Cotrimazole</t>
        </is>
      </c>
      <c r="G25" s="10" t="inlineStr">
        <is>
          <t>Sulfamethoxazole</t>
        </is>
      </c>
      <c r="H25" s="10" t="inlineStr">
        <is>
          <t>Amoxicillin</t>
        </is>
      </c>
      <c r="I25" s="10" t="n">
        <v>1</v>
      </c>
      <c r="J25" s="10"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SAR &amp; Drug Design</t>
        </is>
      </c>
      <c r="M25" s="10" t="inlineStr">
        <is>
          <t>Product</t>
        </is>
      </c>
      <c r="N25" s="10" t="inlineStr">
        <is>
          <t>ข้อ 27 Pharma Plus เล่มม่วง (เฉลยข้อ ก)</t>
        </is>
      </c>
      <c r="O25" s="10" t="inlineStr">
        <is>
          <t>Mock</t>
        </is>
      </c>
      <c r="P25" s="10" t="inlineStr">
        <is>
          <t>Pharma Plus เล่มม่วง</t>
        </is>
      </c>
    </row>
    <row r="26" ht="409.6" customHeight="1" s="49">
      <c r="A26" s="10" t="n">
        <v>28</v>
      </c>
      <c r="B26" s="10" t="inlineStr">
        <is>
          <t>เกี่ยวกับโครงสร้างของสารดังรูป ทุกข้อต่อไปนี้ถูกต้อง ยกเว้นข้อใด</t>
        </is>
      </c>
      <c r="C26" s="10" t="n"/>
      <c r="D26" s="10" t="inlineStr">
        <is>
          <t>เป็นสารในกลุ่ม 8-aminoquinoline</t>
        </is>
      </c>
      <c r="E26" s="10" t="inlineStr">
        <is>
          <t>ตัวอย่างยาในกลุ่มนี้ได้แก่ primaquine</t>
        </is>
      </c>
      <c r="F26" s="10" t="inlineStr">
        <is>
          <t>ถ้ามี Cl ที่ตำแหน่ง 7 จะทำให้ได้ฤทธิ์สูงสุด และมีพิษน้อย</t>
        </is>
      </c>
      <c r="G26" s="10" t="inlineStr">
        <is>
          <t>Dialkylamino alkylamine side chain จะให้ฤทธิ์สูงสุดเมื่อ n = 2, 5 หรือ 6</t>
        </is>
      </c>
      <c r="H26" s="10" t="inlineStr">
        <is>
          <t>Quinoline ring system และอนุพันธ์ให้ผลที่ดีกว่า acridine ring system</t>
        </is>
      </c>
      <c r="I26" s="10" t="n">
        <v>4</v>
      </c>
      <c r="J26" s="10"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SAR &amp; Drug Design</t>
        </is>
      </c>
      <c r="M26" s="10" t="inlineStr">
        <is>
          <t>Product</t>
        </is>
      </c>
      <c r="N26" s="10" t="inlineStr">
        <is>
          <t>ข้อ 28 Pharma Plus เล่มม่วง (เฉลยข้อ ง)</t>
        </is>
      </c>
      <c r="O26" s="10" t="inlineStr">
        <is>
          <t>Mock</t>
        </is>
      </c>
      <c r="P26" s="10" t="inlineStr">
        <is>
          <t>Pharma Plus เล่มม่วง</t>
        </is>
      </c>
    </row>
    <row r="27" ht="409.6" customHeight="1" s="49">
      <c r="A27" s="10" t="n">
        <v>29</v>
      </c>
      <c r="B27" s="10" t="inlineStr">
        <is>
          <t>จากสูตรโครงสร้างของ folic acid ข้อใดกล่าวไม่ถูกต้อง</t>
        </is>
      </c>
      <c r="C27" s="10" t="n"/>
      <c r="D27" s="10" t="inlineStr">
        <is>
          <t>เป็น water soluble vitamin</t>
        </is>
      </c>
      <c r="E27" s="10" t="inlineStr">
        <is>
          <t>เรียกอีกอย่างหนึ่งว่า vitamin B9</t>
        </is>
      </c>
      <c r="F27" s="10" t="inlineStr">
        <is>
          <t>เกี่ยวข้องกับการสร้าง DNA และ RNA</t>
        </is>
      </c>
      <c r="G27" s="10" t="inlineStr">
        <is>
          <t>มนุษย์สามารถสังเคราะห์ folic acid ได้</t>
        </is>
      </c>
      <c r="H27" s="10" t="inlineStr">
        <is>
          <t>ใน IR chromatogram จะเห็น peak ที่ชัดเจน ที่ค่าความถี่ประมาณ 1,700 cm⁻¹</t>
        </is>
      </c>
      <c r="I27" s="10" t="n">
        <v>4</v>
      </c>
      <c r="J27" s="10"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 t="n"/>
      <c r="L27" s="10" t="inlineStr">
        <is>
          <t>SAR &amp; Drug Design</t>
        </is>
      </c>
      <c r="M27" s="10" t="inlineStr">
        <is>
          <t>Product</t>
        </is>
      </c>
      <c r="N27" s="10" t="inlineStr">
        <is>
          <t>ข้อ 29 Pharma Plus เล่มม่วง (เฉลยข้อ ง)</t>
        </is>
      </c>
      <c r="O27" s="10" t="inlineStr">
        <is>
          <t>Mock</t>
        </is>
      </c>
      <c r="P27" s="10" t="inlineStr">
        <is>
          <t>Pharma Plus เล่มม่วง</t>
        </is>
      </c>
    </row>
    <row r="28" ht="409.6" customHeight="1" s="49">
      <c r="A28" s="10" t="n">
        <v>30</v>
      </c>
      <c r="B28" s="10" t="inlineStr">
        <is>
          <t>จากโครงสร้าง ไม่สามารถใช้ในผู้ป่วยกลุ่มใด</t>
        </is>
      </c>
      <c r="C28" s="10" t="n"/>
      <c r="D28" s="10" t="inlineStr">
        <is>
          <t>Pediatric</t>
        </is>
      </c>
      <c r="E28" s="10" t="inlineStr">
        <is>
          <t>Cirrhosis/Hepatitis</t>
        </is>
      </c>
      <c r="F28" s="10" t="inlineStr">
        <is>
          <t>Pregnancy</t>
        </is>
      </c>
      <c r="G28" s="10" t="inlineStr">
        <is>
          <t>Renal failure</t>
        </is>
      </c>
      <c r="H28" s="10" t="inlineStr">
        <is>
          <t>Sulfa allergy</t>
        </is>
      </c>
      <c r="I28" s="10" t="n">
        <v>5</v>
      </c>
      <c r="J28" s="10"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 t="n"/>
      <c r="L28" s="10" t="inlineStr">
        <is>
          <t>SAR &amp; Drug Design</t>
        </is>
      </c>
      <c r="M28" s="10" t="inlineStr">
        <is>
          <t>Product</t>
        </is>
      </c>
      <c r="N28" s="10" t="inlineStr">
        <is>
          <t>ข้อ 30 Pharma Plus เล่มม่วง (เฉลยข้อ จ)</t>
        </is>
      </c>
      <c r="O28" s="10" t="inlineStr">
        <is>
          <t>Mock</t>
        </is>
      </c>
      <c r="P28" s="10" t="inlineStr">
        <is>
          <t>Pharma Plus เล่มม่วง</t>
        </is>
      </c>
    </row>
    <row r="29" ht="409.6" customHeight="1" s="49">
      <c r="A29" s="10" t="n">
        <v>31</v>
      </c>
      <c r="B29" s="10" t="inlineStr">
        <is>
          <t>จากโครงสร้างของยา glybenclamide ข้อใดเป็นเหตุผลที่ทำให้ duration นานขึ้น</t>
        </is>
      </c>
      <c r="C29" s="10" t="n"/>
      <c r="D29" s="10" t="inlineStr">
        <is>
          <t>สามารถหมุนแสง polarized ได้</t>
        </is>
      </c>
      <c r="E29" s="10" t="inlineStr">
        <is>
          <t>สามารถวิเคราะห์ได้โดยใช้วิธี HPLC-UV detection</t>
        </is>
      </c>
      <c r="F29" s="10" t="inlineStr">
        <is>
          <t>หมู่ซัลโฟไททำให้โครงสร้างมีความเป็นกรด</t>
        </is>
      </c>
      <c r="G29" s="10" t="inlineStr">
        <is>
          <t>หมู่ยูเรียทำให้โครงสร้างมีความเป็นเบส</t>
        </is>
      </c>
      <c r="H29" s="10" t="inlineStr">
        <is>
          <t>วงแหวนอะโรมาติกปลาย ซึ่งมีหมู่คลอโรในเมตาบอไลต์โดยกระบวนการออกซิเดชันได้</t>
        </is>
      </c>
      <c r="I29" s="10" t="n">
        <v>5</v>
      </c>
      <c r="J29" s="10"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 t="n"/>
      <c r="L29" s="10" t="inlineStr">
        <is>
          <t>SAR &amp; Drug Design</t>
        </is>
      </c>
      <c r="M29" s="10" t="inlineStr">
        <is>
          <t>Product</t>
        </is>
      </c>
      <c r="N29" s="10" t="inlineStr">
        <is>
          <t>ข้อ 31 Pharma Plus เล่มม่วง (เฉลยข้อ จ)</t>
        </is>
      </c>
      <c r="O29" s="10" t="inlineStr">
        <is>
          <t>Mock</t>
        </is>
      </c>
      <c r="P29" s="10" t="inlineStr">
        <is>
          <t>Pharma Plus เล่มม่วง</t>
        </is>
      </c>
    </row>
    <row r="30" ht="409.6" customHeight="1" s="49">
      <c r="A30" s="10" t="n">
        <v>32</v>
      </c>
      <c r="B30" s="10" t="inlineStr">
        <is>
          <t>จากสูตรโครงสร้างต่อไปนี้ของยา glipizide จัดว่าเป็นยากลุ่มใด</t>
        </is>
      </c>
      <c r="C30" s="10" t="n"/>
      <c r="D30" s="10" t="inlineStr">
        <is>
          <t>Biguanides</t>
        </is>
      </c>
      <c r="E30" s="10" t="inlineStr">
        <is>
          <t>Nicotinic acids</t>
        </is>
      </c>
      <c r="F30" s="10" t="inlineStr">
        <is>
          <t>Sulfonylurea compounds</t>
        </is>
      </c>
      <c r="G30" s="10" t="inlineStr">
        <is>
          <t>Nucleoside analogue</t>
        </is>
      </c>
      <c r="H30" s="10" t="inlineStr">
        <is>
          <t>Sulfones</t>
        </is>
      </c>
      <c r="I30" s="10" t="n">
        <v>3</v>
      </c>
      <c r="J30" s="10"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 t="n"/>
      <c r="L30" s="10" t="inlineStr">
        <is>
          <t>SAR &amp; Drug Design</t>
        </is>
      </c>
      <c r="M30" s="10" t="inlineStr">
        <is>
          <t>Product</t>
        </is>
      </c>
      <c r="N30" s="10" t="inlineStr">
        <is>
          <t>ข้อ 32 Pharma Plus เล่มม่วง (เฉลยข้อ ค)</t>
        </is>
      </c>
      <c r="O30" s="10" t="inlineStr">
        <is>
          <t>Mock</t>
        </is>
      </c>
      <c r="P30" s="10" t="inlineStr">
        <is>
          <t>Pharma Plus เล่มม่วง</t>
        </is>
      </c>
    </row>
    <row r="31" ht="409.6" customHeight="1" s="49">
      <c r="A31" s="10" t="n">
        <v>33</v>
      </c>
      <c r="B31" s="10" t="inlineStr">
        <is>
          <t>โครงสร้างต่อไปนี้เป็นโครงสร้างของยากลุ่มใด</t>
        </is>
      </c>
      <c r="C31" s="10" t="n"/>
      <c r="D31" s="10" t="inlineStr">
        <is>
          <t>Iodoperoxidase inhibitor</t>
        </is>
      </c>
      <c r="E31" s="10" t="inlineStr">
        <is>
          <t>Sulfonylurea</t>
        </is>
      </c>
      <c r="F31" s="10" t="inlineStr">
        <is>
          <t>Thyroid hormone</t>
        </is>
      </c>
      <c r="G31" s="10" t="inlineStr">
        <is>
          <t>Biguanide</t>
        </is>
      </c>
      <c r="H31" s="10" t="inlineStr">
        <is>
          <t>Insulin analog</t>
        </is>
      </c>
      <c r="I31" s="10" t="n">
        <v>4</v>
      </c>
      <c r="J31" s="10"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 t="n"/>
      <c r="L31" s="10" t="inlineStr">
        <is>
          <t>SAR &amp; Drug Design</t>
        </is>
      </c>
      <c r="M31" s="10" t="inlineStr">
        <is>
          <t>Product</t>
        </is>
      </c>
      <c r="N31" s="10" t="inlineStr">
        <is>
          <t>ข้อ 33 Pharma Plus เล่มม่วง (เฉลยข้อ ง)</t>
        </is>
      </c>
      <c r="O31" s="10" t="inlineStr">
        <is>
          <t>Mock</t>
        </is>
      </c>
      <c r="P31" s="10" t="inlineStr">
        <is>
          <t>Pharma Plus เล่มม่วง</t>
        </is>
      </c>
    </row>
    <row r="32" ht="409.6" customHeight="1" s="49">
      <c r="A32" s="10" t="n">
        <v>34</v>
      </c>
      <c r="B32" s="10" t="inlineStr">
        <is>
          <t>ชื่อเรียกทั่วไปของยาที่มีโครงสร้างในรูป คือ (ยา PTU)</t>
        </is>
      </c>
      <c r="C32" s="10" t="n"/>
      <c r="D32" s="10" t="inlineStr">
        <is>
          <t>6 propyl 3 thiouracil</t>
        </is>
      </c>
      <c r="E32" s="10" t="inlineStr">
        <is>
          <t>1 propyl 5 thiouracil</t>
        </is>
      </c>
      <c r="F32" s="10" t="inlineStr">
        <is>
          <t>2 propyl 6 thiouracil</t>
        </is>
      </c>
      <c r="G32" s="10" t="inlineStr">
        <is>
          <t>2 propyl 5 thiouracil</t>
        </is>
      </c>
      <c r="H32" s="10" t="inlineStr">
        <is>
          <t>6 propyl 2 thiouracil</t>
        </is>
      </c>
      <c r="I32" s="10" t="n">
        <v>5</v>
      </c>
      <c r="J32" s="10"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 t="n"/>
      <c r="L32" s="10" t="inlineStr">
        <is>
          <t>SAR &amp; Drug Design</t>
        </is>
      </c>
      <c r="M32" s="10" t="inlineStr">
        <is>
          <t>Product</t>
        </is>
      </c>
      <c r="N32" s="10" t="inlineStr">
        <is>
          <t>ข้อ 34 Pharma Plus เล่มม่วง (เฉลยข้อ จ)</t>
        </is>
      </c>
      <c r="O32" s="10" t="inlineStr">
        <is>
          <t>Mock</t>
        </is>
      </c>
      <c r="P32" s="10" t="inlineStr">
        <is>
          <t>Pharma Plus เล่มม่วง</t>
        </is>
      </c>
    </row>
    <row r="33" ht="409.6" customHeight="1" s="49">
      <c r="A33" s="10" t="n">
        <v>35</v>
      </c>
      <c r="B33" s="10" t="inlineStr">
        <is>
          <t>จากโครงสร้างของยา 3 ชนิด (methimazole, carbimazole และ propylthiouracil)
ข้อใดถูกต้องเกี่ยวกับยา methimazole, carbimazole และ propylthiouracil</t>
        </is>
      </c>
      <c r="C33" s="10" t="n"/>
      <c r="D33" s="10" t="inlineStr">
        <is>
          <t>Methimazole, carbimazole และ propylthiouracil ถูก metabolized โดยปฏิกิริยา desulfunation ก่อนจึงจะได้สารที่มีฤทธิ์ทางเภสัชวิทยา</t>
        </is>
      </c>
      <c r="E33" s="10" t="inlineStr">
        <is>
          <t>Propylthiouracil จะถูก metabolized โดยปฏิกิริยา dealkylation ซึ่งจะตัด Propyl group ออกก่อนจึงจะได้สารที่มีฤทธิ์ทางเภสัชวิทยา</t>
        </is>
      </c>
      <c r="F33" s="10" t="inlineStr">
        <is>
          <t>Methimazole จะถูก metabolized โดยปฏิกิริยา conjugation ได้เป็น carbimazole จึงจะได้สารที่มีฤทธิ์ทางเภสัชวิทยาที่ต้องการ</t>
        </is>
      </c>
      <c r="G33" s="10" t="inlineStr">
        <is>
          <t>ต้องเกิดปฏิกิริยา amide hydrolysis กับโครงสร้าง carbimazole จึงจะได้สารที่มีฤทธิ์ทางเภสัชวิทยาที่ต้องการ</t>
        </is>
      </c>
      <c r="H33" s="10" t="inlineStr">
        <is>
          <t>ต้องเกิดปฏิกิริยา ester hydrolysis กับโครงสร้าง carbimazole จึงจะได้สารที่มีฤทธิ์ทางเภสัชวิทยาที่ต้องการ</t>
        </is>
      </c>
      <c r="I33" s="10" t="n">
        <v>4</v>
      </c>
      <c r="J33" s="10"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 t="n"/>
      <c r="L33" s="10" t="inlineStr">
        <is>
          <t>SAR &amp; Drug Design</t>
        </is>
      </c>
      <c r="M33" s="10" t="inlineStr">
        <is>
          <t>Product</t>
        </is>
      </c>
      <c r="N33" s="10" t="inlineStr">
        <is>
          <t>ข้อ 35 Pharma Plus เล่มม่วง (เฉลยข้อ ง)</t>
        </is>
      </c>
      <c r="O33" s="10" t="inlineStr">
        <is>
          <t>Mock</t>
        </is>
      </c>
      <c r="P33" s="10" t="inlineStr">
        <is>
          <t>Pharma Plus เล่มม่วง</t>
        </is>
      </c>
    </row>
    <row r="34" ht="13.2" customHeight="1" s="49">
      <c r="A34" s="8" t="inlineStr">
        <is>
          <t>33</t>
        </is>
      </c>
      <c r="B34" s="2" t="inlineStr">
        <is>
          <t>ลักษณะสำคัญของ monoclonal antibody ที่ทำให้ต้องใช้ dosage form เป็น injectable เท่านั้น</t>
        </is>
      </c>
      <c r="C34" s="2" t="n"/>
      <c r="D34" s="2" t="inlineStr">
        <is>
          <t>ขนาดโมเลกุลเล็กดูดซึมผ่าน GI tract ได้ดี</t>
        </is>
      </c>
      <c r="E34" s="2" t="inlineStr">
        <is>
          <t>ไวต่อเอนไซม์ protease ถูกทำลายเมื่อให้โดยรับประทาน</t>
        </is>
      </c>
      <c r="F34" s="2" t="inlineStr">
        <is>
          <t>คงตัวสูงในpHที่เป็นกรด</t>
        </is>
      </c>
      <c r="G34" s="2" t="inlineStr">
        <is>
          <t>ผ่าน first-pass metabolism ได้ดี</t>
        </is>
      </c>
      <c r="H34" s="2" t="inlineStr">
        <is>
          <t>Log P สูง ดูดซึมได้รวดเร็ว"</t>
        </is>
      </c>
      <c r="I34" s="8" t="inlineStr">
        <is>
          <t>1</t>
        </is>
      </c>
      <c r="J34" s="2" t="inlineStr">
        <is>
          <t>✅ คำตอบที่ถูกต้อง: ข้อ ก. ขนาดโมเลกุลเล็กดูดซึมผ่าน GI tract ได้ดี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SAR &amp; Drug Design</t>
        </is>
      </c>
      <c r="M34" s="2" t="inlineStr">
        <is>
          <t>Medicinal Chemistry</t>
        </is>
      </c>
      <c r="N34" s="2" t="inlineStr">
        <is>
          <t>Mock PLE-CC 1 ข้อ 71</t>
        </is>
      </c>
      <c r="O34" s="2" t="inlineStr">
        <is>
          <t>Mock</t>
        </is>
      </c>
      <c r="P34" s="2" t="inlineStr">
        <is>
          <t>Mock RxCU83</t>
        </is>
      </c>
      <c r="Q34" s="2" t="n"/>
    </row>
    <row r="35" ht="13.2" customHeight="1" s="49">
      <c r="A35" s="8" t="inlineStr">
        <is>
          <t>34</t>
        </is>
      </c>
      <c r="B35" s="2" t="inlineStr">
        <is>
          <t>ข้อใดส่งผลกระทบต่อ pembrolizumab ในรูปแบบ solution สำหรับยาฉีดมากที่สุด</t>
        </is>
      </c>
      <c r="C35" s="2" t="n"/>
      <c r="D35" s="2" t="inlineStr">
        <is>
          <t>Hydrolysis ที่ตำแหน่ง ester bond</t>
        </is>
      </c>
      <c r="E35" s="2" t="inlineStr">
        <is>
          <t>Aggregation เมื่อเปลี่ยนแปลง pH หรือเขย่า</t>
        </is>
      </c>
      <c r="F35" s="2" t="inlineStr">
        <is>
          <t>Oxidation ที่ sulfhydryl ของ excipient</t>
        </is>
      </c>
      <c r="G35" s="2" t="inlineStr">
        <is>
          <t>Crystallation เมื่ออุณหภูมิลด</t>
        </is>
      </c>
      <c r="H35" s="2" t="inlineStr">
        <is>
          <t>Racemization ที่ chiral center</t>
        </is>
      </c>
      <c r="I35" s="8" t="inlineStr">
        <is>
          <t>1</t>
        </is>
      </c>
      <c r="J35" s="2"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SAR &amp; Drug Design</t>
        </is>
      </c>
      <c r="M35" s="2" t="inlineStr">
        <is>
          <t>Medicinal Chemistry</t>
        </is>
      </c>
      <c r="N35" s="2" t="inlineStr">
        <is>
          <t>Mock PLE-CC 1 ข้อ 72</t>
        </is>
      </c>
      <c r="O35" s="2" t="inlineStr">
        <is>
          <t>Mock</t>
        </is>
      </c>
      <c r="P35" s="2" t="inlineStr">
        <is>
          <t>Mock RxCU83</t>
        </is>
      </c>
      <c r="Q35" s="2" t="n"/>
    </row>
    <row r="36" ht="13.2" customHeight="1" s="49">
      <c r="A36" s="8" t="inlineStr">
        <is>
          <t>35</t>
        </is>
      </c>
      <c r="B36" s="2" t="inlineStr">
        <is>
          <t>กลไกของยามาตรฐานที่ใช้รักษา</t>
        </is>
      </c>
      <c r="C36" s="2" t="n"/>
      <c r="D36" s="2" t="inlineStr">
        <is>
          <t>จับ protease → ยับยั้งการสร้าง protein</t>
        </is>
      </c>
      <c r="E36" s="2" t="inlineStr">
        <is>
          <t>เป็น nucleoside analogue → ยับยั้ง viral polymerase โดยจะต้องถูก phospholyrate โดย viral thimine kinase</t>
        </is>
      </c>
      <c r="F36" s="2" t="inlineStr">
        <is>
          <t>inhibit isoleucyl-tRNA-synthetase และหยุดการสังเคราะห์โปรตีน</t>
        </is>
      </c>
      <c r="G36" s="2" t="inlineStr">
        <is>
          <t>Compatitive inhibitor กับ reverse transcriptase</t>
        </is>
      </c>
      <c r="H36" s="2" t="inlineStr">
        <is>
          <t>กดภูมิของร่างกายที่มากเกินไป</t>
        </is>
      </c>
      <c r="I36" s="8" t="inlineStr">
        <is>
          <t>1</t>
        </is>
      </c>
      <c r="J36" s="2" t="inlineStr">
        <is>
          <t>✅ คำตอบที่ถูกต้อง: ข้อ ก. จับ protease → ยับยั้งการสร้าง protein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SAR &amp; Drug Design</t>
        </is>
      </c>
      <c r="M36" s="2" t="inlineStr">
        <is>
          <t>Medicinal Chemistry</t>
        </is>
      </c>
      <c r="N36" s="2" t="inlineStr">
        <is>
          <t>Mock PLE-CC 1 ข้อ 122</t>
        </is>
      </c>
      <c r="O36" s="2" t="inlineStr">
        <is>
          <t>Mock</t>
        </is>
      </c>
      <c r="P36" s="2" t="inlineStr">
        <is>
          <t>Mock RxCU83</t>
        </is>
      </c>
      <c r="Q36" s="2" t="n"/>
    </row>
    <row r="37" ht="13.2" customHeight="1" s="49">
      <c r="A37" s="8" t="inlineStr">
        <is>
          <t>36</t>
        </is>
      </c>
      <c r="B37" s="2"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2" t="n"/>
      <c r="D37" s="8" t="inlineStr">
        <is>
          <t>5-6</t>
        </is>
      </c>
      <c r="E37" s="8" t="inlineStr">
        <is>
          <t>9-10</t>
        </is>
      </c>
      <c r="F37" s="8" t="inlineStr">
        <is>
          <t>7-8</t>
        </is>
      </c>
      <c r="G37" s="8" t="inlineStr">
        <is>
          <t>11-12</t>
        </is>
      </c>
      <c r="H37" s="8" t="inlineStr">
        <is>
          <t>13</t>
        </is>
      </c>
      <c r="I37" s="8" t="inlineStr">
        <is>
          <t>1</t>
        </is>
      </c>
      <c r="J37" s="2" t="inlineStr">
        <is>
          <t>✅ คำตอบที่ถูกต้อง: ข้อ ก. 5-6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SAR &amp; Drug Design</t>
        </is>
      </c>
      <c r="M37" s="2" t="inlineStr">
        <is>
          <t>Medicinal Chemistry</t>
        </is>
      </c>
      <c r="N37" s="2" t="inlineStr">
        <is>
          <t>PLE_CC1_2567_Key ข้อ 93</t>
        </is>
      </c>
      <c r="O37" s="2" t="inlineStr">
        <is>
          <t>ข้อสอบจริง</t>
        </is>
      </c>
      <c r="P37" s="2" t="inlineStr">
        <is>
          <t>ปี 2567</t>
        </is>
      </c>
      <c r="Q37" s="2" t="n"/>
    </row>
    <row r="38" ht="13.2" customHeight="1" s="49">
      <c r="A38" s="8" t="inlineStr">
        <is>
          <t>37</t>
        </is>
      </c>
      <c r="B38" s="2" t="inlineStr">
        <is>
          <t>ยา Potassium Chloride (KCl) มีค่า pKa 8.07 ละลายได้ดีในน้ำ แต่ละลายน้อยใน alcohol เพื่อป้องกัน การตกตะกอน ต้องมี pH ในตำรับอยู่ที่เท่าไร</t>
        </is>
      </c>
      <c r="C38" s="2" t="n"/>
      <c r="D38" s="2" t="inlineStr">
        <is>
          <t>PEG (Polyethylene Glycol) ยาระบายก2เซอkนบรรlแบบแผงคาดKาสามารถL 10 เaดnอแผงไo</t>
        </is>
      </c>
      <c r="E38" s="2" t="inlineStr">
        <is>
          <t>Calcium phosphate (เกFอขนาดhอยกKา 1 iตร[ดเNนยาสา\ญประ^_าน</t>
        </is>
      </c>
      <c r="F38" s="2" t="inlineStr">
        <is>
          <t>TiO2 (Titanium Dioxide) ยาgางตาhอยกKา 240 ml [ดเNนยาสา\ญประ^_าน</t>
        </is>
      </c>
      <c r="G38" s="2" t="inlineStr">
        <is>
          <t>Clay</t>
        </is>
      </c>
      <c r="H38" s="2" t="inlineStr">
        <is>
          <t>Colloidal silica</t>
        </is>
      </c>
      <c r="I38" s="8" t="inlineStr">
        <is>
          <t>1</t>
        </is>
      </c>
      <c r="J38" s="2" t="inlineStr">
        <is>
          <t>✅ คำตอบที่ถูกต้อง: ข้อ ก. PEG (Polyethylene Glycol) ยาระบายก2เซอkนบรรlแบบแผงคาดKาสามารถL 10 เaดnอแผงไo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SAR &amp; Drug Design</t>
        </is>
      </c>
      <c r="M38" s="2" t="inlineStr">
        <is>
          <t>Medicinal Chemistry</t>
        </is>
      </c>
      <c r="N38" s="2" t="inlineStr">
        <is>
          <t>PLE_CC1_2567_Set1_Key ข้อ 93</t>
        </is>
      </c>
      <c r="O38" s="2" t="inlineStr">
        <is>
          <t>ข้อสอบจริง</t>
        </is>
      </c>
      <c r="P38" s="2" t="inlineStr">
        <is>
          <t>ปี 2567</t>
        </is>
      </c>
      <c r="Q38" s="2" t="n"/>
    </row>
    <row r="39" ht="13.2" customHeight="1" s="49">
      <c r="A39" s="8" t="inlineStr">
        <is>
          <t>38</t>
        </is>
      </c>
      <c r="B39" s="2" t="inlineStr">
        <is>
          <t>Medchem ตำแหน่งการออกฤทธิ์ของINSTRI . ตัวเลือก</t>
        </is>
      </c>
      <c r="C39" s="2" t="n"/>
      <c r="D39" s="2" t="inlineStr">
        <is>
          <t>Medicinal Chemistry</t>
        </is>
      </c>
      <c r="E39" s="2" t="inlineStr">
        <is>
          <t>Structure-Activity Relationship (SAR) Optimization</t>
        </is>
      </c>
      <c r="F39" s="2" t="inlineStr">
        <is>
          <t>Bioisosteric Replacement (Carboxylic acid → Tetrazole)</t>
        </is>
      </c>
      <c r="G39" s="2" t="inlineStr">
        <is>
          <t>Prodrug Design via Esterification for Oral Bioavailability</t>
        </is>
      </c>
      <c r="H39" s="2" t="inlineStr">
        <is>
          <t>Cytochrome P450 CYP3A4 Phase I Oxidation</t>
        </is>
      </c>
      <c r="I39" s="8" t="inlineStr">
        <is>
          <t>1</t>
        </is>
      </c>
      <c r="J39"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SAR &amp; Drug Design</t>
        </is>
      </c>
      <c r="M39" s="2" t="inlineStr">
        <is>
          <t>Medicinal Chemistry</t>
        </is>
      </c>
      <c r="N39" s="2" t="inlineStr">
        <is>
          <t>PLE-CC1 ปี 2566 Day 1 ข้อ 3</t>
        </is>
      </c>
      <c r="O39" s="2" t="inlineStr">
        <is>
          <t>ข้อสอบจริง</t>
        </is>
      </c>
      <c r="P39" s="2" t="inlineStr">
        <is>
          <t>ปี 2566</t>
        </is>
      </c>
    </row>
    <row r="40" ht="13.2" customHeight="1" s="49">
      <c r="A40" s="8" t="inlineStr">
        <is>
          <t>39</t>
        </is>
      </c>
      <c r="B40" s="2" t="inlineStr">
        <is>
          <t>Medchem ถามตำแหน่งไหนของsalbutamol ที่แตกต่างจาก epinephrine ที่ทำให้ออกฤทธิ์เป็นB2 agonist. ตัวเลือก</t>
        </is>
      </c>
      <c r="C40" s="2" t="n"/>
      <c r="D40" s="2" t="inlineStr">
        <is>
          <t>Medicinal Chemistry</t>
        </is>
      </c>
      <c r="E40" s="2" t="inlineStr">
        <is>
          <t>Cytochrome P450 CYP3A4 Phase I Oxidation</t>
        </is>
      </c>
      <c r="F40" s="2" t="inlineStr">
        <is>
          <t>Phase II Glucuronidation Conjugation by UGT</t>
        </is>
      </c>
      <c r="G40" s="2" t="inlineStr">
        <is>
          <t>Log P Lipophilicity Partition Coefficient optimization</t>
        </is>
      </c>
      <c r="H40" s="2" t="inlineStr">
        <is>
          <t>Chiral Eutomer vs Distomer Pharmacological activity</t>
        </is>
      </c>
      <c r="I40" s="8" t="inlineStr">
        <is>
          <t>1</t>
        </is>
      </c>
      <c r="J40"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SAR &amp; Drug Design</t>
        </is>
      </c>
      <c r="M40" s="2" t="inlineStr">
        <is>
          <t>Medicinal Chemistry</t>
        </is>
      </c>
      <c r="N40" s="2" t="inlineStr">
        <is>
          <t>PLE-CC1 ปี 2566 Day 1 ข้อ 5</t>
        </is>
      </c>
      <c r="O40" s="2" t="inlineStr">
        <is>
          <t>ข้อสอบจริง</t>
        </is>
      </c>
      <c r="P40" s="2" t="inlineStr">
        <is>
          <t>ปี 2566</t>
        </is>
      </c>
    </row>
    <row r="41" ht="13.2" customHeight="1" s="49">
      <c r="A41" s="8" t="inlineStr">
        <is>
          <t>40</t>
        </is>
      </c>
      <c r="B41" s="2" t="inlineStr">
        <is>
          <t>Medchem โครงสร้างhydroxyzine กับcet. ตัวเลือก</t>
        </is>
      </c>
      <c r="C41" s="2" t="n"/>
      <c r="D41" s="2" t="inlineStr">
        <is>
          <t>Medicinal Chemistry</t>
        </is>
      </c>
      <c r="E41" s="2" t="inlineStr">
        <is>
          <t>Chiral Eutomer vs Distomer Pharmacological activity</t>
        </is>
      </c>
      <c r="F41" s="2" t="inlineStr">
        <is>
          <t>Covalent Irreversible Enzyme Inhibition</t>
        </is>
      </c>
      <c r="G41" s="2" t="inlineStr">
        <is>
          <t>Structure-Activity Relationship (SAR) Optimization</t>
        </is>
      </c>
      <c r="H41" s="2" t="inlineStr">
        <is>
          <t>Bioisosteric Replacement (Carboxylic acid → Tetrazole)</t>
        </is>
      </c>
      <c r="I41" s="8" t="inlineStr">
        <is>
          <t>1</t>
        </is>
      </c>
      <c r="J41"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SAR &amp; Drug Design</t>
        </is>
      </c>
      <c r="M41" s="2" t="inlineStr">
        <is>
          <t>Medicinal Chemistry</t>
        </is>
      </c>
      <c r="N41" s="2" t="inlineStr">
        <is>
          <t>PLE-CC1 ปี 2566 Day 2 ข้อ 15</t>
        </is>
      </c>
      <c r="O41" s="2" t="inlineStr">
        <is>
          <t>ข้อสอบจริง</t>
        </is>
      </c>
      <c r="P41" s="2" t="inlineStr">
        <is>
          <t>ปี 2566</t>
        </is>
      </c>
    </row>
    <row r="42" ht="13.2" customHeight="1" s="49">
      <c r="A42" s="8" t="inlineStr">
        <is>
          <t>41</t>
        </is>
      </c>
      <c r="B42" s="2"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2" t="n"/>
      <c r="D42" s="2" t="inlineStr">
        <is>
          <t>หลังอาหารเชา</t>
        </is>
      </c>
      <c r="E42" s="2" t="inlineStr">
        <is>
          <t>หลังอาหารเที่ยง</t>
        </is>
      </c>
      <c r="F42" s="2" t="inlineStr">
        <is>
          <t>หลังอาหารเย็น</t>
        </is>
      </c>
      <c r="G42" s="2" t="inlineStr">
        <is>
          <t>ก;อนอาหารเย็น</t>
        </is>
      </c>
      <c r="H42" s="2" t="inlineStr">
        <is>
          <t>ก;อนนอน</t>
        </is>
      </c>
      <c r="I42" s="8" t="inlineStr">
        <is>
          <t>1</t>
        </is>
      </c>
      <c r="J42" s="2" t="inlineStr">
        <is>
          <t>✅ คำตอบที่ถูกต้อง: ข้อ ก. หลังอาหารเชา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หลังอาหารเชา ไม่ตรงกับข้อบ่งใช้หรือกลไกการออกฤทธิ์ที่ถูกต้องตาม SAR-based drug design / Thai Pharmacopoeia
• ข้อ ค. (หลังอาหารเที่ยง): หลังอาหารเที่ยง ไม่ตรงกับข้อบ่งใช้หรือกลไกการออกฤทธิ์ที่ถูกต้องตาม SAR-based drug design / Thai Pharmacopoeia
• ข้อ ง. (หลังอาหารเย็น): หลังอาหารเย็น ไม่ตรงกับข้อบ่งใช้หรือกลไกการออกฤทธิ์ที่ถูกต้องตาม SAR-based drug design / Thai Pharmacopoeia
• ข้อ จ. (ก;อนอาหารเย็น): ก;อนอาหารเย็น ไม่ตรงกับข้อบ่งใช้หรือกลไกการออกฤทธิ์ที่ถูกต้องตาม SAR-based drug design / Thai Pharmacopoeia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2" t="n"/>
      <c r="L42" s="2" t="inlineStr">
        <is>
          <t>SAR &amp; Drug Design</t>
        </is>
      </c>
      <c r="M42" s="2" t="inlineStr">
        <is>
          <t>Medicinal Chemistry</t>
        </is>
      </c>
      <c r="N42" s="2" t="inlineStr">
        <is>
          <t>PLE_CC1_2565_Day1_Key ข้อ 23</t>
        </is>
      </c>
      <c r="O42" s="2" t="inlineStr">
        <is>
          <t>ข้อสอบจริง</t>
        </is>
      </c>
      <c r="P42" s="2" t="inlineStr">
        <is>
          <t>ปี 2565</t>
        </is>
      </c>
      <c r="Q42" s="2" t="n"/>
    </row>
    <row r="43" ht="13.2" customHeight="1" s="49">
      <c r="A43" s="8" t="inlineStr">
        <is>
          <t>42</t>
        </is>
      </c>
      <c r="B43" s="2" t="inlineStr">
        <is>
          <t>ขอใดคือโครงสรางของยาที่แพThis is Ibuprofen QดIา6อยเDนโครงสhางกÇมละAอ {ง|นเTน ÉIาแ1ละกÇมE core structure Ñงไง ↓</t>
        </is>
      </c>
      <c r="C43" s="2" t="n"/>
      <c r="D43" s="2" t="inlineStr">
        <is>
          <t>Phase II Glucuronidation Conjugation by UGT</t>
        </is>
      </c>
      <c r="E43" s="2" t="inlineStr">
        <is>
          <t>[NEED_REVIEW]</t>
        </is>
      </c>
      <c r="F43" s="2" t="inlineStr">
        <is>
          <t>[NEED_REVIEW]</t>
        </is>
      </c>
      <c r="G43" s="2" t="inlineStr">
        <is>
          <t>[NEED_REVIEW]</t>
        </is>
      </c>
      <c r="H43" s="2" t="inlineStr">
        <is>
          <t>[NEED_REVIEW]</t>
        </is>
      </c>
      <c r="I43" s="8" t="inlineStr">
        <is>
          <t>1</t>
        </is>
      </c>
      <c r="J43" s="2" t="inlineStr">
        <is>
          <t>✅ คำตอบที่ถูกต้อง: ข้อ ก. Phase II Glucuronidation Conjugation by UGT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([NEED_REVIEW]
• ข้อ ง. ([NEED_REVIEW]
• ข้อ จ. ([NEED_REVIEW]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2" t="n"/>
      <c r="L43" s="2" t="inlineStr">
        <is>
          <t>SAR &amp; Drug Design</t>
        </is>
      </c>
      <c r="M43" s="2" t="inlineStr">
        <is>
          <t>Medicinal Chemistry</t>
        </is>
      </c>
      <c r="N43" s="2" t="inlineStr">
        <is>
          <t>PLE_CC1_2565_Day1_Key ข้อ 42</t>
        </is>
      </c>
      <c r="O43" s="2" t="inlineStr">
        <is>
          <t>ข้อสอบจริง</t>
        </is>
      </c>
      <c r="P43" s="2" t="inlineStr">
        <is>
          <t>ปี 2565</t>
        </is>
      </c>
      <c r="Q43" s="2" t="n"/>
    </row>
    <row r="44" ht="13.2" customHeight="1" s="49">
      <c r="A44" s="8" t="inlineStr">
        <is>
          <t>43</t>
        </is>
      </c>
      <c r="B44" s="2" t="inlineStr">
        <is>
          <t>ผลข$างเคียง Losartan คืออะไร Reduce serum uric acid by increasing urinary excretion ยากgม Agiotensin receptor blocker (ARBs)</t>
        </is>
      </c>
      <c r="C44" s="2" t="n"/>
      <c r="D44" s="2" t="inlineStr">
        <is>
          <t>HYPO K</t>
        </is>
      </c>
      <c r="E44" s="2" t="inlineStr">
        <is>
          <t>HYPER Na</t>
        </is>
      </c>
      <c r="F44" s="2" t="inlineStr">
        <is>
          <t>AKI</t>
        </is>
      </c>
      <c r="G44" s="2" t="inlineStr">
        <is>
          <t>Acute liver injury</t>
        </is>
      </c>
      <c r="H44" s="2" t="inlineStr">
        <is>
          <t>Hyperuricemia</t>
        </is>
      </c>
      <c r="I44" s="8" t="inlineStr">
        <is>
          <t>1</t>
        </is>
      </c>
      <c r="J44" s="2"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HYPO K ไม่ตรงกับข้อบ่งใช้หรือกลไกการออกฤทธิ์ที่ถูกต้องตาม SAR-based drug design / Thai Pharmacopoeia
• ข้อ ค. (HYPER Na): HYPER Na ไม่ตรงกับข้อบ่งใช้หรือกลไกการออกฤทธิ์ที่ถูกต้องตาม SAR-based drug design / Thai Pharmacopoeia
• ข้อ ง. (AKI): AKI ไม่ตรงกับข้อบ่งใช้หรือกลไกการออกฤทธิ์ที่ถูกต้องตาม SAR-based drug design / Thai Pharmacopoeia
• ข้อ จ. (Acute liver injury): Acute liver injury ไม่ตรงกับข้อบ่งใช้หรือกลไกการออกฤทธิ์ที่ถูกต้องตาม SAR-based drug design / Thai Pharmacopoeia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2" t="n"/>
      <c r="L44" s="2" t="inlineStr">
        <is>
          <t>SAR &amp; Drug Design</t>
        </is>
      </c>
      <c r="M44" s="2" t="inlineStr">
        <is>
          <t>Medicinal Chemistry</t>
        </is>
      </c>
      <c r="N44" s="2" t="inlineStr">
        <is>
          <t>PLE_CC1_2565_Day2_Key ข้อ 25</t>
        </is>
      </c>
      <c r="O44" s="2" t="inlineStr">
        <is>
          <t>ข้อสอบจริง</t>
        </is>
      </c>
      <c r="P44" s="2" t="inlineStr">
        <is>
          <t>ปี 2565</t>
        </is>
      </c>
      <c r="Q44" s="2" t="n"/>
    </row>
    <row r="45" ht="13.2" customHeight="1" s="49">
      <c r="A45" s="8" t="inlineStr">
        <is>
          <t>44</t>
        </is>
      </c>
      <c r="B45" s="2" t="inlineStr">
        <is>
          <t>สารละลาย Adrenaline injection ความเข้มข้น 0.01% w/v มีความหมายตรงกับความเข้มข้นในอัตราส่วน (Ratio strength) ใดต่อไปนี้</t>
        </is>
      </c>
      <c r="C45" s="2" t="n"/>
      <c r="D45" s="2" t="inlineStr">
        <is>
          <t>1 : 100</t>
        </is>
      </c>
      <c r="E45" s="2" t="inlineStr">
        <is>
          <t>1 : 1,000</t>
        </is>
      </c>
      <c r="F45" s="2" t="inlineStr">
        <is>
          <t>1 : 10,000</t>
        </is>
      </c>
      <c r="G45" s="2" t="inlineStr">
        <is>
          <t>1 : 100,000</t>
        </is>
      </c>
      <c r="H45" s="2" t="inlineStr">
        <is>
          <t>1 : 1,000,000</t>
        </is>
      </c>
      <c r="I45" s="8" t="n">
        <v>3</v>
      </c>
      <c r="J45" s="2" t="inlineStr">
        <is>
          <t>✅ คำตอบที่ถูกต้อง: ข้อ ค. 1 : 10,000
💡 Background:
การระบุความเข้มข้นของยาทางเภสัชกรรมในรูปเปอร์เซ็นต์โดยน้ำหนักต่อปริมาตร (% w/v) หมายถึง ปริมาณตัวยาสำคัญเป็นกรัม (g) ในสารละลาย 100 มิลลิลิตร (mL)
🎯 ทำไมข้อนี้ถึงถูก:
ความเข้มข้น 0.01% w/v คือ มีตัวยาสำคัญ 0.01 g ในสารละลาย 100 mL
เมื่อแปลงเป็นอัตราส่วน (Ratio strength 1 : X):
X = 100 / 0.01 = 10,000 mL
ดังนั้น ความเข้มข้น 0.01% w/v จึงเทียบเท่ากับอัตราส่วน 1 : 10,000 (หรือ 1 g ใน 10,000 mL / 0.1 mg/mL) ซึ่งเป็นความเข้มข้นของ Adrenaline ที่นิยมใช้ในภาวะหัวใจหยุดเต้น (Cardiac arrest / CPR) และการฉีดพ่นเฉพาะที่
🔍 ข้ออื่นผิดเพราะอะไร:
• ข้อ ก. (1 : 100): คิดเป็น 1 g ใน 100 mL หรือเท่ากับ 1% w/v (ความเข้มข้นมากกว่า 0.01% อยู่ 100 เท่า)
• ข้อ ข. (1 : 1,000): คิดเป็น 1 g ใน 1,000 mL หรือเท่ากับ 0.1% w/v (1 mg/mL) ซึ่งเป็นความเข้มข้นมาตรฐานของ Adrenaline แอมพูลที่ใช้ฉีดเข้ากล้ามเนื้อ (IM) สำหรับภาวะ Anaphylaxis
• ข้อ ง. (1 : 100,000): คิดเป็น 1 g ใน 100,000 mL หรือเท่ากับ 0.001% w/v (0.01 mg/mL) นิยมผสมในยาชาเฉพาะที่ เช่น Lidocaine with Adrenaline เพื่อให้หลอดเลือดหดตัวลด bleeding
• ข้อ จ. (1 : 1,000,000): คิดเป็น 1 g ใน 1,000,000 mL หรือเท่ากับ 0.0001% w/v (1 mcg/mL)
📖 Guideline อ้างอิง:
United States Pharmacopeia (USP-NF) Pharmaceutical Calculations &amp; Advanced Cardiovascular Life Support (ACLS) Guidelines 2020 (American Heart Association)
📌 จุดจำก่อนสอบ:
• 1% = 1 g / 100 mL (1 : 100)
• 0.1% = 1 g / 1,000 mL (1 : 1,000) -&gt; Epinephrine IM for Anaphylaxis
• 0.01% = 1 g / 10,000 mL (1 : 10,000) -&gt; Epinephrine IV for CPR / Cardiac arrest</t>
        </is>
      </c>
      <c r="K45" s="2" t="n"/>
      <c r="L45" s="2" t="inlineStr">
        <is>
          <t>SAR &amp; Drug Design</t>
        </is>
      </c>
      <c r="M45" s="2" t="inlineStr">
        <is>
          <t>Medicinal Chemistry</t>
        </is>
      </c>
      <c r="N45" s="2" t="inlineStr">
        <is>
          <t>PLE_CC1_2565_Day2_Key ข้อ 26</t>
        </is>
      </c>
      <c r="O45" s="2" t="inlineStr">
        <is>
          <t>ข้อสอบจริง</t>
        </is>
      </c>
      <c r="P45" s="2" t="inlineStr">
        <is>
          <t>ปี 2565</t>
        </is>
      </c>
    </row>
    <row r="46" ht="13.2" customHeight="1" s="49">
      <c r="A46" s="8" t="inlineStr">
        <is>
          <t>45</t>
        </is>
      </c>
      <c r="B46" s="2" t="inlineStr">
        <is>
          <t>ยาแก้แพ้ชนิดไม่ง่วง structure ยา ??? Molecular Determinants Responsible for Sedative and Non-sedative Properties of Histamine H-1-Receptor Antagonists (researchgate.net) ..............................................................................................................................................................................................................</t>
        </is>
      </c>
      <c r="C46" s="2" t="n"/>
      <c r="D46" s="2" t="inlineStr">
        <is>
          <t>Medicinal Chemistry</t>
        </is>
      </c>
      <c r="E46" s="2" t="inlineStr">
        <is>
          <t>Log P Lipophilicity Partition Coefficient optimization</t>
        </is>
      </c>
      <c r="F46" s="2" t="inlineStr">
        <is>
          <t>Chiral Eutomer vs Distomer Pharmacological activity</t>
        </is>
      </c>
      <c r="G46" s="2" t="inlineStr">
        <is>
          <t>Covalent Irreversible Enzyme Inhibition</t>
        </is>
      </c>
      <c r="H46" s="2" t="inlineStr">
        <is>
          <t>Structure-Activity Relationship (SAR) Optimization</t>
        </is>
      </c>
      <c r="I46" s="8" t="inlineStr">
        <is>
          <t>3</t>
        </is>
      </c>
      <c r="J46" s="2" t="inlineStr">
        <is>
          <t>✅ คำตอบที่ถูกต้อง: ข้อ ค. Chiral Eutomer vs Distomer Pharmacological activity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SAR &amp; Drug Design</t>
        </is>
      </c>
      <c r="M46" s="2" t="inlineStr">
        <is>
          <t>Medicinal Chemistry</t>
        </is>
      </c>
      <c r="N46" s="2" t="inlineStr">
        <is>
          <t>PLE_CC1_2564_All_Key ข้อ 7</t>
        </is>
      </c>
      <c r="O46" s="2" t="inlineStr">
        <is>
          <t>ข้อสอบจริง</t>
        </is>
      </c>
      <c r="P46" s="2" t="inlineStr">
        <is>
          <t>ปี 2564</t>
        </is>
      </c>
    </row>
    <row r="47" ht="13.2" customHeight="1" s="49">
      <c r="A47" s="8" t="inlineStr">
        <is>
          <t>46</t>
        </is>
      </c>
      <c r="B47" s="2"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2" t="n"/>
      <c r="D47" s="2" t="inlineStr">
        <is>
          <t>Medicinal Chemistry</t>
        </is>
      </c>
      <c r="E47" s="2" t="inlineStr">
        <is>
          <t>Structure-Activity Relationship (SAR) Optimization</t>
        </is>
      </c>
      <c r="F47" s="2" t="inlineStr">
        <is>
          <t>Bioisosteric Replacement (Carboxylic acid → Tetrazole)</t>
        </is>
      </c>
      <c r="G47" s="2" t="inlineStr">
        <is>
          <t>Prodrug Design via Esterification for Oral Bioavailability</t>
        </is>
      </c>
      <c r="H47" s="2" t="inlineStr">
        <is>
          <t>Cytochrome P450 CYP3A4 Phase I Oxidation</t>
        </is>
      </c>
      <c r="I47" s="8" t="inlineStr">
        <is>
          <t>1</t>
        </is>
      </c>
      <c r="J47" s="2"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2" t="n"/>
      <c r="L47" s="2" t="inlineStr">
        <is>
          <t>SAR &amp; Drug Design</t>
        </is>
      </c>
      <c r="M47" s="2" t="inlineStr">
        <is>
          <t>Medicinal Chemistry</t>
        </is>
      </c>
      <c r="N47" s="2" t="inlineStr">
        <is>
          <t>PLE_CC1_2564_All_Key ข้อ 28</t>
        </is>
      </c>
      <c r="O47" s="2" t="inlineStr">
        <is>
          <t>ข้อสอบจริง</t>
        </is>
      </c>
      <c r="P47" s="2" t="inlineStr">
        <is>
          <t>ปี 2564</t>
        </is>
      </c>
    </row>
    <row r="48" ht="13.2" customHeight="1" s="49">
      <c r="A48" s="2" t="n">
        <v>46</v>
      </c>
      <c r="B48" s="2" t="inlineStr">
        <is>
          <t>ยาใดมีกลไกยับยั้ง cholinesterase ทำให(พยาธิเกิดอัมพาต</t>
        </is>
      </c>
      <c r="C48" s="2" t="n"/>
      <c r="D48" s="2" t="inlineStr">
        <is>
          <t>Niclosamide</t>
        </is>
      </c>
      <c r="E48" s="2" t="inlineStr">
        <is>
          <t>Praziquantel</t>
        </is>
      </c>
      <c r="F48" s="2" t="inlineStr">
        <is>
          <t>Mebendazole</t>
        </is>
      </c>
      <c r="G48" s="2" t="inlineStr">
        <is>
          <t>Pyrantel pamoate</t>
        </is>
      </c>
      <c r="H48" s="2" t="inlineStr">
        <is>
          <t>Diethycarbamazine E</t>
        </is>
      </c>
      <c r="I48" s="2" t="n">
        <v>1</v>
      </c>
      <c r="J48" s="2"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SAR &amp; Drug Design</t>
        </is>
      </c>
      <c r="M48" s="2" t="inlineStr">
        <is>
          <t>Product</t>
        </is>
      </c>
      <c r="N48" s="2" t="inlineStr">
        <is>
          <t>ข้อ 62 (PLE_CC1_2561_Key.md)</t>
        </is>
      </c>
      <c r="O48" s="2" t="inlineStr">
        <is>
          <t>ข้อสอบจริง</t>
        </is>
      </c>
      <c r="P48" s="2" t="inlineStr">
        <is>
          <t>ปี 2561</t>
        </is>
      </c>
    </row>
    <row r="49" ht="13.2" customHeight="1" s="49">
      <c r="A49" s="2" t="n">
        <v>47</v>
      </c>
      <c r="B49" s="2" t="inlineStr">
        <is>
          <t>เมื่อใช้ยาในกลุ่ม Acetylcholinesterase inhibitors ร่วมกับ CYP2D6 inhibitor ทำให้เกิดผลใดตามมาได้</t>
        </is>
      </c>
      <c r="C49" s="2" t="n"/>
      <c r="D49" s="2" t="inlineStr">
        <is>
          <t>ฤทธิ์ของยา AchE เพิ่มขึ้น</t>
        </is>
      </c>
      <c r="E49" s="2" t="inlineStr">
        <is>
          <t>ทำให้เกิด bradycardia</t>
        </is>
      </c>
      <c r="F49" s="2" t="inlineStr">
        <is>
          <t>ทำให้ใจสั่น ร่วมกับอาการตะคริว</t>
        </is>
      </c>
      <c r="G49" s="2" t="inlineStr">
        <is>
          <t>อาจทำให้เกิดอาการสับสนหรือเพ้อ (delirium)</t>
        </is>
      </c>
      <c r="H49" s="2" t="inlineStr">
        <is>
          <t>ไม่มีข้อใดถูก</t>
        </is>
      </c>
      <c r="I49" s="2" t="n">
        <v>1</v>
      </c>
      <c r="J49" s="2"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ทำให้เกิด bradycardia ไม่ตรงกับข้อบ่งใช้หรือกลไกการออกฤทธิ์ที่ถูกต้องตาม SAR-based drug design / Thai Pharmacopoeia
• ข้อ ค. (ทำให้ใจสั่น ร่วมกับอาการตะคริว): ทำให้ใจสั่น ร่วมกับอาการตะคริว ไม่ตรงกับข้อบ่งใช้หรือกลไกการออกฤทธิ์ที่ถูกต้องตาม SAR-based drug design / Thai Pharmacopoeia
• ข้อ ง. (อาจทำให้เกิดอาการสับสนหรือเพ้อ (delirium)): IR (Infrared) spectroscopy วิเคราะห์ functional groups จาก stretching/bending vibrations C=O ~1700 cm-1, O-H ~3200-3550 cm-1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SAR &amp; Drug Design</t>
        </is>
      </c>
      <c r="M49" s="2" t="inlineStr">
        <is>
          <t>Product</t>
        </is>
      </c>
      <c r="N49" s="2" t="inlineStr">
        <is>
          <t>ข้อ 53 (Pharmtutor_2024_Set1.md)</t>
        </is>
      </c>
      <c r="O49" s="2" t="inlineStr">
        <is>
          <t>Mock</t>
        </is>
      </c>
      <c r="P49" s="2" t="inlineStr">
        <is>
          <t>Mock Pharmtutor 2024</t>
        </is>
      </c>
    </row>
    <row r="50" ht="13.2" customHeight="1" s="49">
      <c r="A50" s="2" t="n">
        <v>48</v>
      </c>
      <c r="B50" s="2"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2" t="n"/>
      <c r="D50" s="2" t="inlineStr">
        <is>
          <t>Structure-Activity Relationship (SAR) Optimization</t>
        </is>
      </c>
      <c r="E50" s="2" t="inlineStr">
        <is>
          <t>Bioisosteric Replacement (Carboxylic acid → Tetrazole)</t>
        </is>
      </c>
      <c r="F50" s="2" t="inlineStr">
        <is>
          <t>Prodrug Design via Esterification for Oral Bioavailability</t>
        </is>
      </c>
      <c r="G50" s="2" t="inlineStr">
        <is>
          <t>Cytochrome P450 CYP3A4 Phase I Oxidation</t>
        </is>
      </c>
      <c r="H50" s="2" t="inlineStr">
        <is>
          <t>Phase II Glucuronidation Conjugation by UGT</t>
        </is>
      </c>
      <c r="I50" s="2" t="n">
        <v>1</v>
      </c>
      <c r="J50"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SAR &amp; Drug Design</t>
        </is>
      </c>
      <c r="M50" s="2" t="inlineStr">
        <is>
          <t>Product</t>
        </is>
      </c>
      <c r="N50" s="2" t="inlineStr">
        <is>
          <t>ข้อ 26 (PLE_CC1_2557.md)</t>
        </is>
      </c>
      <c r="O50" s="2" t="inlineStr">
        <is>
          <t>ข้อสอบจริง</t>
        </is>
      </c>
      <c r="P50" s="2" t="inlineStr">
        <is>
          <t>ปี 2557</t>
        </is>
      </c>
    </row>
    <row r="51" ht="13.2" customHeight="1" s="49">
      <c r="A51" s="2" t="n">
        <v>49</v>
      </c>
      <c r="B51" s="2" t="inlineStr">
        <is>
          <t>ข้อใดกล่าวถูกเกี่ยวกับ diazepam infusion pKa3.4</t>
        </is>
      </c>
      <c r="C51" s="2" t="n"/>
      <c r="D51" s="2" t="inlineStr">
        <is>
          <t>Cytochrome P450 CYP3A4 Phase I Oxidation</t>
        </is>
      </c>
      <c r="E51" s="2" t="inlineStr">
        <is>
          <t>Phase II Glucuronidation Conjugation by UGT</t>
        </is>
      </c>
      <c r="F51" s="2" t="inlineStr">
        <is>
          <t>Log P Lipophilicity Partition Coefficient optimization</t>
        </is>
      </c>
      <c r="G51" s="2" t="inlineStr">
        <is>
          <t>Chiral Eutomer vs Distomer Pharmacological activity</t>
        </is>
      </c>
      <c r="H51" s="2" t="inlineStr">
        <is>
          <t>Covalent Irreversible Enzyme Inhibition</t>
        </is>
      </c>
      <c r="I51" s="2" t="n">
        <v>1</v>
      </c>
      <c r="J51"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SAR &amp; Drug Design</t>
        </is>
      </c>
      <c r="M51" s="2" t="inlineStr">
        <is>
          <t>Product</t>
        </is>
      </c>
      <c r="N51" s="2" t="inlineStr">
        <is>
          <t>ข้อ 6 (PLE_CC1_2556.md)</t>
        </is>
      </c>
      <c r="O51" s="2" t="inlineStr">
        <is>
          <t>ข้อสอบจริง</t>
        </is>
      </c>
      <c r="P51" s="2" t="inlineStr">
        <is>
          <t>ปี 2556</t>
        </is>
      </c>
    </row>
    <row r="52" ht="13.2" customHeight="1" s="49">
      <c r="A52" s="2" t="n">
        <v>50</v>
      </c>
      <c r="B52" s="2" t="inlineStr">
        <is>
          <t>เปลี่ยนจากยา HCTZ เป็น Losartan</t>
        </is>
      </c>
      <c r="C52" s="2" t="n"/>
      <c r="D52" s="2" t="inlineStr">
        <is>
          <t>Chiral Eutomer vs Distomer Pharmacological activity</t>
        </is>
      </c>
      <c r="E52" s="2" t="inlineStr">
        <is>
          <t>Covalent Irreversible Enzyme Inhibition</t>
        </is>
      </c>
      <c r="F52" s="2" t="inlineStr">
        <is>
          <t>Structure-Activity Relationship (SAR) Optimization</t>
        </is>
      </c>
      <c r="G52" s="2" t="inlineStr">
        <is>
          <t>Bioisosteric Replacement (Carboxylic acid → Tetrazole)</t>
        </is>
      </c>
      <c r="H52" s="2" t="inlineStr">
        <is>
          <t>Prodrug Design via Esterification for Oral Bioavailability</t>
        </is>
      </c>
      <c r="I52" s="2" t="n">
        <v>1</v>
      </c>
      <c r="J52"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SAR &amp; Drug Design</t>
        </is>
      </c>
      <c r="M52" s="2" t="inlineStr">
        <is>
          <t>Product</t>
        </is>
      </c>
      <c r="N52" s="2" t="inlineStr">
        <is>
          <t>ข้อ 3 (PLE_CC1_2556.md)</t>
        </is>
      </c>
      <c r="O52" s="2" t="inlineStr">
        <is>
          <t>ข้อสอบจริง</t>
        </is>
      </c>
      <c r="P52" s="2" t="inlineStr">
        <is>
          <t>ปี 2556</t>
        </is>
      </c>
    </row>
    <row r="53" ht="13.2" customHeight="1" s="49">
      <c r="A53" s="2" t="n">
        <v>51</v>
      </c>
      <c r="B53" s="2" t="inlineStr">
        <is>
          <t>Parkinsonism dysarthria</t>
        </is>
      </c>
      <c r="C53" s="2" t="n"/>
      <c r="D53" s="2" t="inlineStr">
        <is>
          <t>Bioisosteric Replacement (Carboxylic acid → Tetrazole)</t>
        </is>
      </c>
      <c r="E53" s="2" t="inlineStr">
        <is>
          <t>Prodrug Design via Esterification for Oral Bioavailability</t>
        </is>
      </c>
      <c r="F53" s="2" t="inlineStr">
        <is>
          <t>Cytochrome P450 CYP3A4 Phase I Oxidation</t>
        </is>
      </c>
      <c r="G53" s="2" t="inlineStr">
        <is>
          <t>Phase II Glucuronidation Conjugation by UGT</t>
        </is>
      </c>
      <c r="H53" s="2" t="inlineStr">
        <is>
          <t>Log P Lipophilicity Partition Coefficient optimization</t>
        </is>
      </c>
      <c r="I53" s="2" t="n">
        <v>1</v>
      </c>
      <c r="J53" s="2"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SAR &amp; Drug Design</t>
        </is>
      </c>
      <c r="M53" s="2" t="inlineStr">
        <is>
          <t>Product</t>
        </is>
      </c>
      <c r="N53" s="2" t="inlineStr">
        <is>
          <t>ข้อ 4 (PLE_CC1_2555 Day 2.md)</t>
        </is>
      </c>
      <c r="O53" s="2" t="inlineStr">
        <is>
          <t>ข้อสอบจริง</t>
        </is>
      </c>
      <c r="P53" s="2" t="inlineStr">
        <is>
          <t>ปี 2555</t>
        </is>
      </c>
    </row>
    <row r="54" ht="13.2" customHeight="1" s="49">
      <c r="A54" s="2" t="n">
        <v>52</v>
      </c>
      <c r="B54" s="2"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2" t="n"/>
      <c r="D54" s="2" t="inlineStr">
        <is>
          <t>Phase II Glucuronidation Conjugation by UGT</t>
        </is>
      </c>
      <c r="E54" s="2" t="inlineStr">
        <is>
          <t>Log P Lipophilicity Partition Coefficient optimization</t>
        </is>
      </c>
      <c r="F54" s="2" t="inlineStr">
        <is>
          <t>Chiral Eutomer vs Distomer Pharmacological activity</t>
        </is>
      </c>
      <c r="G54" s="2" t="inlineStr">
        <is>
          <t>Covalent Irreversible Enzyme Inhibition</t>
        </is>
      </c>
      <c r="H54" s="2" t="inlineStr">
        <is>
          <t>Structure-Activity Relationship (SAR) Optimization</t>
        </is>
      </c>
      <c r="I54" s="2" t="n">
        <v>5</v>
      </c>
      <c r="J54" s="2"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SAR &amp; Drug Design</t>
        </is>
      </c>
      <c r="M54" s="2" t="inlineStr">
        <is>
          <t>Product</t>
        </is>
      </c>
      <c r="N54" s="2" t="inlineStr">
        <is>
          <t>ข้อ 6 (PLE_CC1_2554 SET2.md)</t>
        </is>
      </c>
      <c r="O54" s="2" t="inlineStr">
        <is>
          <t>ข้อสอบจริง</t>
        </is>
      </c>
      <c r="P54" s="2" t="inlineStr">
        <is>
          <t>ปี 2554</t>
        </is>
      </c>
    </row>
    <row r="55" ht="13.2" customHeight="1" s="49">
      <c r="A55" s="2" t="n">
        <v>53</v>
      </c>
      <c r="B55" s="2"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t>
        </is>
      </c>
      <c r="C55" s="2" t="n"/>
      <c r="D55" s="2" t="inlineStr">
        <is>
          <t>Covalent Irreversible Enzyme Inhibition</t>
        </is>
      </c>
      <c r="E55" s="2" t="inlineStr">
        <is>
          <t>Structure-Activity Relationship (SAR) Optimization</t>
        </is>
      </c>
      <c r="F55" s="2" t="inlineStr">
        <is>
          <t>Bioisosteric Replacement (Carboxylic acid → Tetrazole)</t>
        </is>
      </c>
      <c r="G55" s="2" t="inlineStr">
        <is>
          <t>Prodrug Design via Esterification for Oral Bioavailability</t>
        </is>
      </c>
      <c r="H55" s="2" t="inlineStr">
        <is>
          <t>Cytochrome P450 CYP3A4 Phase I Oxidation</t>
        </is>
      </c>
      <c r="I55" s="2" t="n">
        <v>1</v>
      </c>
      <c r="J55"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SAR &amp; Drug Design</t>
        </is>
      </c>
      <c r="M55" s="2" t="inlineStr">
        <is>
          <t>Product</t>
        </is>
      </c>
      <c r="N55" s="2" t="inlineStr">
        <is>
          <t>ข้อ 5 (PLE_CC1_Practice_Exam.md)</t>
        </is>
      </c>
      <c r="O55" s="2" t="inlineStr">
        <is>
          <t>Mock</t>
        </is>
      </c>
      <c r="P55" s="2" t="inlineStr">
        <is>
          <t>Mock สภาเภสัชฯ Practice</t>
        </is>
      </c>
    </row>
    <row r="56" ht="13.2" customHeight="1" s="49">
      <c r="A56" s="2" t="n">
        <v>54</v>
      </c>
      <c r="B56" s="2"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2" t="n"/>
      <c r="D56" s="2" t="inlineStr">
        <is>
          <t>Prodrug Design via Esterification for Oral Bioavailability</t>
        </is>
      </c>
      <c r="E56" s="2" t="inlineStr">
        <is>
          <t>Cytochrome P450 CYP3A4 Phase I Oxidation</t>
        </is>
      </c>
      <c r="F56" s="2" t="inlineStr">
        <is>
          <t>Phase II Glucuronidation Conjugation by UGT</t>
        </is>
      </c>
      <c r="G56" s="2" t="inlineStr">
        <is>
          <t>Log P Lipophilicity Partition Coefficient optimization</t>
        </is>
      </c>
      <c r="H56" s="2" t="inlineStr">
        <is>
          <t>Chiral Eutomer vs Distomer Pharmacological activity</t>
        </is>
      </c>
      <c r="I56" s="2" t="n">
        <v>2</v>
      </c>
      <c r="J56" s="2"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SAR &amp; Drug Design</t>
        </is>
      </c>
      <c r="M56" s="2" t="inlineStr">
        <is>
          <t>Product</t>
        </is>
      </c>
      <c r="N56" s="2" t="inlineStr">
        <is>
          <t>ข้อ 13 (PLE_CC1_Practice_Exam.md)</t>
        </is>
      </c>
      <c r="O56" s="2" t="inlineStr">
        <is>
          <t>Mock</t>
        </is>
      </c>
      <c r="P56" s="2" t="inlineStr">
        <is>
          <t>Mock สภาเภสัชฯ Practice</t>
        </is>
      </c>
    </row>
    <row r="57" ht="13.2" customHeight="1" s="49">
      <c r="A57" s="2" t="n">
        <v>55</v>
      </c>
      <c r="B57" s="2"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t>
        </is>
      </c>
      <c r="C57" s="2" t="n"/>
      <c r="D57" s="2" t="inlineStr">
        <is>
          <t>Log P Lipophilicity Partition Coefficient optimization</t>
        </is>
      </c>
      <c r="E57" s="2" t="inlineStr">
        <is>
          <t>Chiral Eutomer vs Distomer Pharmacological activity</t>
        </is>
      </c>
      <c r="F57" s="2" t="inlineStr">
        <is>
          <t>Covalent Irreversible Enzyme Inhibition</t>
        </is>
      </c>
      <c r="G57" s="2" t="inlineStr">
        <is>
          <t>Structure-Activity Relationship (SAR) Optimization</t>
        </is>
      </c>
      <c r="H57" s="2" t="inlineStr">
        <is>
          <t>Bioisosteric Replacement (Carboxylic acid → Tetrazole)</t>
        </is>
      </c>
      <c r="I57" s="2" t="n">
        <v>2</v>
      </c>
      <c r="J57" s="2"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SAR &amp; Drug Design</t>
        </is>
      </c>
      <c r="M57" s="2" t="inlineStr">
        <is>
          <t>Product</t>
        </is>
      </c>
      <c r="N57" s="2" t="inlineStr">
        <is>
          <t>ข้อ 20 (PLE_CC1_Practice_Exam.md)</t>
        </is>
      </c>
      <c r="O57" s="2" t="inlineStr">
        <is>
          <t>Mock</t>
        </is>
      </c>
      <c r="P57" s="2" t="inlineStr">
        <is>
          <t>Mock สภาเภสัชฯ Practice</t>
        </is>
      </c>
    </row>
    <row r="58" ht="13.2" customHeight="1" s="49">
      <c r="A58" s="2" t="n">
        <v>56</v>
      </c>
      <c r="B58" s="2"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2" t="n"/>
      <c r="D58" s="2" t="inlineStr">
        <is>
          <t>Structure-Activity Relationship (SAR) Optimization</t>
        </is>
      </c>
      <c r="E58" s="2" t="inlineStr">
        <is>
          <t>Bioisosteric Replacement (Carboxylic acid → Tetrazole)</t>
        </is>
      </c>
      <c r="F58" s="2" t="inlineStr">
        <is>
          <t>Prodrug Design via Esterification for Oral Bioavailability</t>
        </is>
      </c>
      <c r="G58" s="2" t="inlineStr">
        <is>
          <t>Cytochrome P450 CYP3A4 Phase I Oxidation</t>
        </is>
      </c>
      <c r="H58" s="2" t="inlineStr">
        <is>
          <t>Phase II Glucuronidation Conjugation by UGT</t>
        </is>
      </c>
      <c r="I58" s="2" t="n">
        <v>1</v>
      </c>
      <c r="J58"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SAR &amp; Drug Design</t>
        </is>
      </c>
      <c r="M58" s="2" t="inlineStr">
        <is>
          <t>Product</t>
        </is>
      </c>
      <c r="N58" s="2" t="inlineStr">
        <is>
          <t>ข้อ 5 (PLE_CC1_Key_Rx20_UBU.md)</t>
        </is>
      </c>
      <c r="O58" s="2" t="inlineStr">
        <is>
          <t>Mock</t>
        </is>
      </c>
      <c r="P58" s="2" t="inlineStr">
        <is>
          <t>Mock Rx20 UBU</t>
        </is>
      </c>
    </row>
    <row r="59" ht="13.2" customHeight="1" s="49">
      <c r="A59" s="2" t="n">
        <v>57</v>
      </c>
      <c r="B59" s="2" t="inlineStr">
        <is>
          <t>Metformin Pravastatin , Losartan `Cat X</t>
        </is>
      </c>
      <c r="C59" s="2" t="n"/>
      <c r="D59" s="2" t="inlineStr">
        <is>
          <t>Cytochrome P450 CYP3A4 Phase I Oxidation</t>
        </is>
      </c>
      <c r="E59" s="2" t="inlineStr">
        <is>
          <t>Phase II Glucuronidation Conjugation by UGT</t>
        </is>
      </c>
      <c r="F59" s="2" t="inlineStr">
        <is>
          <t>Log P Lipophilicity Partition Coefficient optimization</t>
        </is>
      </c>
      <c r="G59" s="2" t="inlineStr">
        <is>
          <t>Chiral Eutomer vs Distomer Pharmacological activity</t>
        </is>
      </c>
      <c r="H59" s="2" t="inlineStr">
        <is>
          <t>Covalent Irreversible Enzyme Inhibition</t>
        </is>
      </c>
      <c r="I59" s="2" t="n">
        <v>1</v>
      </c>
      <c r="J59"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SAR &amp; Drug Design</t>
        </is>
      </c>
      <c r="M59" s="2" t="inlineStr">
        <is>
          <t>Product</t>
        </is>
      </c>
      <c r="N59" s="2" t="inlineStr">
        <is>
          <t>ข้อ 5 (PLE_CC1_Key_Rx20_UBU.md)</t>
        </is>
      </c>
      <c r="O59" s="2" t="inlineStr">
        <is>
          <t>Mock</t>
        </is>
      </c>
      <c r="P59" s="2" t="inlineStr">
        <is>
          <t>Mock Rx20 UBU</t>
        </is>
      </c>
    </row>
    <row r="60" ht="13.2" customHeight="1" s="49">
      <c r="A60" s="2" t="n">
        <v>58</v>
      </c>
      <c r="B60" s="2" t="inlineStr">
        <is>
          <t>เพิ่มยา Losartan</t>
        </is>
      </c>
      <c r="C60" s="2" t="n"/>
      <c r="D60" s="2" t="inlineStr">
        <is>
          <t>Chiral Eutomer vs Distomer Pharmacological activity</t>
        </is>
      </c>
      <c r="E60" s="2" t="inlineStr">
        <is>
          <t>Covalent Irreversible Enzyme Inhibition</t>
        </is>
      </c>
      <c r="F60" s="2" t="inlineStr">
        <is>
          <t>Structure-Activity Relationship (SAR) Optimization</t>
        </is>
      </c>
      <c r="G60" s="2" t="inlineStr">
        <is>
          <t>Bioisosteric Replacement (Carboxylic acid → Tetrazole)</t>
        </is>
      </c>
      <c r="H60" s="2" t="inlineStr">
        <is>
          <t>Prodrug Design via Esterification for Oral Bioavailability</t>
        </is>
      </c>
      <c r="I60" s="2" t="n">
        <v>1</v>
      </c>
      <c r="J60"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SAR &amp; Drug Design</t>
        </is>
      </c>
      <c r="M60" s="2" t="inlineStr">
        <is>
          <t>Product</t>
        </is>
      </c>
      <c r="N60" s="2" t="inlineStr">
        <is>
          <t>ข้อ 5 (PLE_CC1_Key_Rx20_UBU.md)</t>
        </is>
      </c>
      <c r="O60" s="2" t="inlineStr">
        <is>
          <t>Mock</t>
        </is>
      </c>
      <c r="P60" s="2" t="inlineStr">
        <is>
          <t>Mock Rx20 UBU</t>
        </is>
      </c>
    </row>
    <row r="61" ht="13.2" customHeight="1" s="49">
      <c r="A61" s="2" t="n">
        <v>59</v>
      </c>
      <c r="B61" s="2"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2" t="n"/>
      <c r="D61" s="2" t="inlineStr">
        <is>
          <t>Bioisosteric Replacement (Carboxylic acid → Tetrazole)</t>
        </is>
      </c>
      <c r="E61" s="2" t="inlineStr">
        <is>
          <t>Prodrug Design via Esterification for Oral Bioavailability</t>
        </is>
      </c>
      <c r="F61" s="2" t="inlineStr">
        <is>
          <t>Cytochrome P450 CYP3A4 Phase I Oxidation</t>
        </is>
      </c>
      <c r="G61" s="2" t="inlineStr">
        <is>
          <t>Phase II Glucuronidation Conjugation by UGT</t>
        </is>
      </c>
      <c r="H61" s="2" t="inlineStr">
        <is>
          <t>Log P Lipophilicity Partition Coefficient optimization</t>
        </is>
      </c>
      <c r="I61" s="2" t="n">
        <v>3</v>
      </c>
      <c r="J61" s="2"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SAR &amp; Drug Design</t>
        </is>
      </c>
      <c r="M61" s="2" t="inlineStr">
        <is>
          <t>Product</t>
        </is>
      </c>
      <c r="N61" s="2" t="inlineStr">
        <is>
          <t>ข้อ 5 (PLE_CC1_Key_Rx20_UBU.md)</t>
        </is>
      </c>
      <c r="O61" s="2" t="inlineStr">
        <is>
          <t>Mock</t>
        </is>
      </c>
      <c r="P61" s="2" t="inlineStr">
        <is>
          <t>Mock Rx20 UBU</t>
        </is>
      </c>
    </row>
    <row r="62" ht="13.2" customHeight="1" s="49">
      <c r="A62" s="2" t="n">
        <v>60</v>
      </c>
      <c r="B62" s="2" t="inlineStr">
        <is>
          <t>pKa ประมาณ 3.6 ยาเป็นกรดละลายได้ดีในสารละลายกรดอ่อน</t>
        </is>
      </c>
      <c r="C62" s="2" t="n"/>
      <c r="D62" s="2" t="inlineStr">
        <is>
          <t>Phase II Glucuronidation Conjugation by UGT</t>
        </is>
      </c>
      <c r="E62" s="2" t="inlineStr">
        <is>
          <t>Log P Lipophilicity Partition Coefficient optimization</t>
        </is>
      </c>
      <c r="F62" s="2" t="inlineStr">
        <is>
          <t>Chiral Eutomer vs Distomer Pharmacological activity</t>
        </is>
      </c>
      <c r="G62" s="2" t="inlineStr">
        <is>
          <t>Covalent Irreversible Enzyme Inhibition</t>
        </is>
      </c>
      <c r="H62" s="2" t="inlineStr">
        <is>
          <t>Structure-Activity Relationship (SAR) Optimization</t>
        </is>
      </c>
      <c r="I62" s="2" t="n">
        <v>1</v>
      </c>
      <c r="J62" s="2"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SAR &amp; Drug Design</t>
        </is>
      </c>
      <c r="M62" s="2" t="inlineStr">
        <is>
          <t>Product</t>
        </is>
      </c>
      <c r="N62" s="2" t="inlineStr">
        <is>
          <t>ข้อ 3 (PLE_CC1_Key_Rx20_UBU.md)</t>
        </is>
      </c>
      <c r="O62" s="2" t="inlineStr">
        <is>
          <t>Mock</t>
        </is>
      </c>
      <c r="P62" s="2" t="inlineStr">
        <is>
          <t>Mock Rx20 UBU</t>
        </is>
      </c>
    </row>
    <row r="63" ht="13.2" customHeight="1" s="49">
      <c r="A63" s="2" t="n">
        <v>61</v>
      </c>
      <c r="B63" s="2" t="inlineStr">
        <is>
          <t>จากโครงสร้าง ยากลุ่ม ACEI ตัวใดที่ไม่ใช่ Prodrug</t>
        </is>
      </c>
      <c r="C63" s="2" t="n"/>
      <c r="D63" s="2" t="inlineStr">
        <is>
          <t>Covalent Irreversible Enzyme Inhibition</t>
        </is>
      </c>
      <c r="E63" s="2" t="inlineStr">
        <is>
          <t>Structure-Activity Relationship (SAR) Optimization</t>
        </is>
      </c>
      <c r="F63" s="2" t="inlineStr">
        <is>
          <t>Bioisosteric Replacement (Carboxylic acid → Tetrazole)</t>
        </is>
      </c>
      <c r="G63" s="2" t="inlineStr">
        <is>
          <t>Prodrug Design via Esterification for Oral Bioavailability</t>
        </is>
      </c>
      <c r="H63" s="2" t="inlineStr">
        <is>
          <t>Cytochrome P450 CYP3A4 Phase I Oxidation</t>
        </is>
      </c>
      <c r="I63" s="2" t="n">
        <v>1</v>
      </c>
      <c r="J63"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SAR &amp; Drug Design</t>
        </is>
      </c>
      <c r="M63" s="2" t="inlineStr">
        <is>
          <t>Product</t>
        </is>
      </c>
      <c r="N63" s="2" t="inlineStr">
        <is>
          <t>ข้อ 65 (PLE_CC1_Key_Rx20_UBU.md)</t>
        </is>
      </c>
      <c r="O63" s="2" t="inlineStr">
        <is>
          <t>Mock</t>
        </is>
      </c>
      <c r="P63" s="2" t="inlineStr">
        <is>
          <t>Mock Rx20 UBU</t>
        </is>
      </c>
    </row>
    <row r="64" ht="13.2" customHeight="1" s="49">
      <c r="A64" s="2" t="n">
        <v>62</v>
      </c>
      <c r="B64" s="2" t="inlineStr">
        <is>
          <t>Phenylephrine มีค่า Log P ต่ำกว่า Brompheniramine</t>
        </is>
      </c>
      <c r="C64" s="2" t="n"/>
      <c r="D64" s="2" t="inlineStr">
        <is>
          <t>Prodrug Design via Esterification for Oral Bioavailability</t>
        </is>
      </c>
      <c r="E64" s="2" t="inlineStr">
        <is>
          <t>Cytochrome P450 CYP3A4 Phase I Oxidation</t>
        </is>
      </c>
      <c r="F64" s="2" t="inlineStr">
        <is>
          <t>Phase II Glucuronidation Conjugation by UGT</t>
        </is>
      </c>
      <c r="G64" s="2" t="inlineStr">
        <is>
          <t>Log P Lipophilicity Partition Coefficient optimization</t>
        </is>
      </c>
      <c r="H64" s="2" t="inlineStr">
        <is>
          <t>Chiral Eutomer vs Distomer Pharmacological activity</t>
        </is>
      </c>
      <c r="I64" s="2" t="n">
        <v>1</v>
      </c>
      <c r="J64" s="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SAR &amp; Drug Design</t>
        </is>
      </c>
      <c r="M64" s="2" t="inlineStr">
        <is>
          <t>Product</t>
        </is>
      </c>
      <c r="N64" s="2" t="inlineStr">
        <is>
          <t>ข้อ 4 (PLE_CC1_Key_Rx20_UBU.md)</t>
        </is>
      </c>
      <c r="O64" s="2" t="inlineStr">
        <is>
          <t>Mock</t>
        </is>
      </c>
      <c r="P64" s="2" t="inlineStr">
        <is>
          <t>Mock Rx20 UBU</t>
        </is>
      </c>
    </row>
    <row r="65" ht="13.2" customHeight="1" s="49">
      <c r="A65" s="2" t="n">
        <v>63</v>
      </c>
      <c r="B65" s="2" t="inlineStr">
        <is>
          <t>ให$ SAR ของ progestin แล$วถามวGาการดัดแปลงตำแหนGงใดมีผลลด androgenic effect</t>
        </is>
      </c>
      <c r="C65" s="2" t="n"/>
      <c r="D65" s="2" t="inlineStr">
        <is>
          <t>Log P Lipophilicity Partition Coefficient optimization</t>
        </is>
      </c>
      <c r="E65" s="2" t="inlineStr">
        <is>
          <t>Chiral Eutomer vs Distomer Pharmacological activity</t>
        </is>
      </c>
      <c r="F65" s="2" t="inlineStr">
        <is>
          <t>Covalent Irreversible Enzyme Inhibition</t>
        </is>
      </c>
      <c r="G65" s="2" t="inlineStr">
        <is>
          <t>Structure-Activity Relationship (SAR) Optimization</t>
        </is>
      </c>
      <c r="H65" s="2" t="inlineStr">
        <is>
          <t>Bioisosteric Replacement (Carboxylic acid → Tetrazole)</t>
        </is>
      </c>
      <c r="I65" s="2" t="n">
        <v>1</v>
      </c>
      <c r="J65" s="2"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SAR &amp; Drug Design</t>
        </is>
      </c>
      <c r="M65" s="2" t="inlineStr">
        <is>
          <t>Product</t>
        </is>
      </c>
      <c r="N65" s="2" t="inlineStr">
        <is>
          <t>ข้อ 46 (PLE_CC1_Key_Rx20_UBU.md)</t>
        </is>
      </c>
      <c r="O65" s="2" t="inlineStr">
        <is>
          <t>Mock</t>
        </is>
      </c>
      <c r="P65" s="2" t="inlineStr">
        <is>
          <t>Mock Rx20 UBU</t>
        </is>
      </c>
    </row>
    <row r="66" ht="13.2" customHeight="1" s="49">
      <c r="A66" s="2" t="n">
        <v>64</v>
      </c>
      <c r="B66" s="2" t="inlineStr">
        <is>
          <t>มีหมู่ mycosamine ทำให้ lipophilicity ต่ำ</t>
        </is>
      </c>
      <c r="C66" s="2" t="n"/>
      <c r="D66" s="2" t="inlineStr">
        <is>
          <t>Structure-Activity Relationship (SAR) Optimization</t>
        </is>
      </c>
      <c r="E66" s="2" t="inlineStr">
        <is>
          <t>Bioisosteric Replacement (Carboxylic acid → Tetrazole)</t>
        </is>
      </c>
      <c r="F66" s="2" t="inlineStr">
        <is>
          <t>Prodrug Design via Esterification for Oral Bioavailability</t>
        </is>
      </c>
      <c r="G66" s="2" t="inlineStr">
        <is>
          <t>Cytochrome P450 CYP3A4 Phase I Oxidation</t>
        </is>
      </c>
      <c r="H66" s="2" t="inlineStr">
        <is>
          <t>Phase II Glucuronidation Conjugation by UGT</t>
        </is>
      </c>
      <c r="I66" s="2" t="n">
        <v>1</v>
      </c>
      <c r="J66"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SAR &amp; Drug Design</t>
        </is>
      </c>
      <c r="M66" s="2" t="inlineStr">
        <is>
          <t>Product</t>
        </is>
      </c>
      <c r="N66" s="2" t="inlineStr">
        <is>
          <t>ข้อ 4 (PLE_CC1_Key_Rx20_UBU.md)</t>
        </is>
      </c>
      <c r="O66" s="2" t="inlineStr">
        <is>
          <t>Mock</t>
        </is>
      </c>
      <c r="P66" s="2" t="inlineStr">
        <is>
          <t>Mock Rx20 UBU</t>
        </is>
      </c>
    </row>
    <row r="67" ht="13.2" customHeight="1" s="49">
      <c r="A67" s="2" t="n">
        <v>65</v>
      </c>
      <c r="B67" s="2" t="inlineStr">
        <is>
          <t>Cyclophosphamide เป็น prodrug</t>
        </is>
      </c>
      <c r="C67" s="2" t="n"/>
      <c r="D67" s="2" t="inlineStr">
        <is>
          <t>Cytochrome P450 CYP3A4 Phase I Oxidation</t>
        </is>
      </c>
      <c r="E67" s="2" t="inlineStr">
        <is>
          <t>Phase II Glucuronidation Conjugation by UGT</t>
        </is>
      </c>
      <c r="F67" s="2" t="inlineStr">
        <is>
          <t>Log P Lipophilicity Partition Coefficient optimization</t>
        </is>
      </c>
      <c r="G67" s="2" t="inlineStr">
        <is>
          <t>Chiral Eutomer vs Distomer Pharmacological activity</t>
        </is>
      </c>
      <c r="H67" s="2" t="inlineStr">
        <is>
          <t>Covalent Irreversible Enzyme Inhibition</t>
        </is>
      </c>
      <c r="I67" s="2" t="n">
        <v>1</v>
      </c>
      <c r="J67"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SAR &amp; Drug Design</t>
        </is>
      </c>
      <c r="M67" s="2" t="inlineStr">
        <is>
          <t>Product</t>
        </is>
      </c>
      <c r="N67" s="2" t="inlineStr">
        <is>
          <t>ข้อ 2 (PLE_CC1_Key_Rx20_UBU.md)</t>
        </is>
      </c>
      <c r="O67" s="2" t="inlineStr">
        <is>
          <t>Mock</t>
        </is>
      </c>
      <c r="P67" s="2" t="inlineStr">
        <is>
          <t>Mock Rx20 UBU</t>
        </is>
      </c>
    </row>
    <row r="68" ht="13.2" customHeight="1" s="49">
      <c r="A68" s="2" t="n">
        <v>66</v>
      </c>
      <c r="B68" s="2" t="inlineStr">
        <is>
          <t>tamoxifen เป็น prodrug มีการ metabolize ด้วย CYP2D6 ได้เป็น active metabolites - ข้อใดถูกต้อง</t>
        </is>
      </c>
      <c r="C68" s="2" t="n"/>
      <c r="D68" s="2" t="inlineStr">
        <is>
          <t>Chiral Eutomer vs Distomer Pharmacological activity</t>
        </is>
      </c>
      <c r="E68" s="2" t="inlineStr">
        <is>
          <t>Covalent Irreversible Enzyme Inhibition</t>
        </is>
      </c>
      <c r="F68" s="2" t="inlineStr">
        <is>
          <t>Structure-Activity Relationship (SAR) Optimization</t>
        </is>
      </c>
      <c r="G68" s="2" t="inlineStr">
        <is>
          <t>Bioisosteric Replacement (Carboxylic acid → Tetrazole)</t>
        </is>
      </c>
      <c r="H68" s="2" t="inlineStr">
        <is>
          <t>Prodrug Design via Esterification for Oral Bioavailability</t>
        </is>
      </c>
      <c r="I68" s="2" t="n">
        <v>1</v>
      </c>
      <c r="J68"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SAR &amp; Drug Design</t>
        </is>
      </c>
      <c r="M68" s="2" t="inlineStr">
        <is>
          <t>Product</t>
        </is>
      </c>
      <c r="N68" s="2" t="inlineStr">
        <is>
          <t>ข้อ 8 (PLE_CC1_Key_Rx20_UBU.md)</t>
        </is>
      </c>
      <c r="O68" s="2" t="inlineStr">
        <is>
          <t>Mock</t>
        </is>
      </c>
      <c r="P68" s="2" t="inlineStr">
        <is>
          <t>Mock Rx20 UBU</t>
        </is>
      </c>
    </row>
    <row r="69" ht="409.6" customHeight="1" s="49">
      <c r="A69" s="35" t="n">
        <v>67</v>
      </c>
      <c r="B69" s="34"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35" t="inlineStr">
        <is>
          <t>[แนบรูป: ข้อสอบ Product ปี 2567 รหัสรูปภาพ image6]</t>
        </is>
      </c>
      <c r="D69" s="34" t="inlineStr">
        <is>
          <t>Ethyl acetate</t>
        </is>
      </c>
      <c r="E69" s="34" t="inlineStr">
        <is>
          <t>Hexane</t>
        </is>
      </c>
      <c r="F69" s="34" t="inlineStr">
        <is>
          <t>Chloroform</t>
        </is>
      </c>
      <c r="G69" s="34" t="inlineStr">
        <is>
          <t>Water</t>
        </is>
      </c>
      <c r="H69" s="34" t="inlineStr">
        <is>
          <t>Dichloromethane</t>
        </is>
      </c>
      <c r="I69" s="35" t="n">
        <v>1</v>
      </c>
      <c r="J69" s="34"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35" t="n"/>
      <c r="L69" s="34" t="inlineStr">
        <is>
          <t>Medicinal Chemistry &amp; SAR</t>
        </is>
      </c>
      <c r="M69" s="35" t="inlineStr">
        <is>
          <t>Product</t>
        </is>
      </c>
      <c r="N69" s="34" t="inlineStr">
        <is>
          <t>ข้อสอบจริง Product ปี 2567 ข้อ 27</t>
        </is>
      </c>
      <c r="O69" s="35" t="inlineStr">
        <is>
          <t>ข้อสอบจริง</t>
        </is>
      </c>
      <c r="P69" s="35" t="inlineStr">
        <is>
          <t>ปี 2567</t>
        </is>
      </c>
    </row>
    <row r="70" ht="409.6" customHeight="1" s="49">
      <c r="A70" s="35" t="n">
        <v>68</v>
      </c>
      <c r="B70" s="34" t="inlineStr">
        <is>
          <t>(ปี 2566, Day 2 ข้อ 14\) (เรื่อง: การทดสอบโครงสร้าง Alkaloid - Nicotine gum) ให้โครงสร้าง Nicotine gum มา ควรตรวจด้วย test ใด</t>
        </is>
      </c>
      <c r="C70" s="35" t="n"/>
      <c r="D70" s="34" t="inlineStr">
        <is>
          <t>Shinoda’s Test</t>
        </is>
      </c>
      <c r="E70" s="34" t="inlineStr">
        <is>
          <t>Dragendorff’s reagent</t>
        </is>
      </c>
      <c r="F70" s="34" t="n"/>
      <c r="G70" s="34" t="n"/>
      <c r="H70" s="34" t="n"/>
      <c r="I70" s="35" t="n">
        <v>4</v>
      </c>
      <c r="J70" s="34" t="inlineStr">
        <is>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0" s="35" t="n"/>
      <c r="L70" s="34" t="inlineStr">
        <is>
          <t>Medicinal Chemistry &amp; SAR</t>
        </is>
      </c>
      <c r="M70" s="35" t="inlineStr">
        <is>
          <t>Product</t>
        </is>
      </c>
      <c r="N70" s="34" t="inlineStr">
        <is>
          <t>ข้อสอบจริง Product ปี 2566 ข้อ 12</t>
        </is>
      </c>
      <c r="O70" s="35" t="inlineStr">
        <is>
          <t>ข้อสอบจริง</t>
        </is>
      </c>
      <c r="P70" s="35" t="inlineStr">
        <is>
          <t>ปี 2566</t>
        </is>
      </c>
    </row>
    <row r="71" ht="409.6" customHeight="1" s="49">
      <c r="A71" s="35" t="n">
        <v>69</v>
      </c>
      <c r="B71" s="34" t="inlineStr">
        <is>
          <t>โครงสร้างส่วนใดของ Loratadine ที่ทำให้ยามีความ selective ต่อ histamine 1 receptor [แนบรูป: ข้อสอบ Product ปี 2565 รหัสรูปภาพ image14]</t>
        </is>
      </c>
      <c r="C71" s="35" t="inlineStr">
        <is>
          <t>[แนบรูป: ข้อสอบ Product ปี 2565 รหัสรูปภาพ image14]</t>
        </is>
      </c>
      <c r="D71" s="34" t="inlineStr">
        <is>
          <t>A</t>
        </is>
      </c>
      <c r="E71" s="34" t="inlineStr">
        <is>
          <t>B</t>
        </is>
      </c>
      <c r="F71" s="34" t="inlineStr">
        <is>
          <t>C</t>
        </is>
      </c>
      <c r="G71" s="34" t="inlineStr">
        <is>
          <t>D</t>
        </is>
      </c>
      <c r="H71" s="34" t="inlineStr">
        <is>
          <t>A และ C</t>
        </is>
      </c>
      <c r="I71" s="35" t="n">
        <v>1</v>
      </c>
      <c r="J71" s="34"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35" t="n"/>
      <c r="L71" s="34" t="inlineStr">
        <is>
          <t>Medicinal Chemistry &amp; SAR</t>
        </is>
      </c>
      <c r="M71" s="35" t="inlineStr">
        <is>
          <t>Product</t>
        </is>
      </c>
      <c r="N71" s="34" t="inlineStr">
        <is>
          <t>ข้อสอบจริง Product ปี 2565 ข้อ 88</t>
        </is>
      </c>
      <c r="O71" s="35" t="inlineStr">
        <is>
          <t>ข้อสอบจริง</t>
        </is>
      </c>
      <c r="P71" s="35" t="inlineStr">
        <is>
          <t>ปี 2565</t>
        </is>
      </c>
    </row>
    <row r="72" ht="409.6" customHeight="1" s="49">
      <c r="A72" s="35" t="n">
        <v>70</v>
      </c>
      <c r="B72" s="34" t="inlineStr">
        <is>
          <t>ยาในรูปแบบกินกับแผ่นแปะมีข้อแตกต่างที่เด่นชัดอย่างไรก. ยาในรูปแบบแผ่นแปะมี therapeutic effect ต่ำกว่า</t>
        </is>
      </c>
      <c r="C72" s="35" t="n"/>
      <c r="D72" s="34" t="n"/>
      <c r="E72" s="34" t="inlineStr">
        <is>
          <t>ยาในรูปแบบแผ่นแปะไม่มี first pass metabolism</t>
        </is>
      </c>
      <c r="F72" s="34" t="inlineStr">
        <is>
          <t>[NEED_REVIEW]</t>
        </is>
      </c>
      <c r="G72" s="34" t="n"/>
      <c r="H72" s="34" t="n"/>
      <c r="I72" s="35" t="n">
        <v>1</v>
      </c>
      <c r="J72" s="34" t="inlineStr">
        <is>
          <t>✅ คำตอบที่ถูกต้อง: ข้อ ก. 
💡 Background:
คำถามข้อสอบจริงใบประกอบวิชาชีพ PLE-CC 1 (Product) ปี 2565 ข้อ 10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2" s="35" t="n"/>
      <c r="L72" s="34" t="inlineStr">
        <is>
          <t>Medicinal Chemistry &amp; SAR</t>
        </is>
      </c>
      <c r="M72" s="35" t="inlineStr">
        <is>
          <t>Product</t>
        </is>
      </c>
      <c r="N72" s="34" t="inlineStr">
        <is>
          <t>ข้อสอบจริง Product ปี 2565 ข้อ 10</t>
        </is>
      </c>
      <c r="O72" s="35" t="inlineStr">
        <is>
          <t>ข้อสอบจริง</t>
        </is>
      </c>
      <c r="P72" s="35" t="inlineStr">
        <is>
          <t>ปี 2565</t>
        </is>
      </c>
    </row>
    <row r="73" ht="409.6" customHeight="1" s="49">
      <c r="A73" s="35" t="n">
        <v>71</v>
      </c>
      <c r="B73" s="34" t="inlineStr">
        <is>
          <t>ข้อใดถูกเกี่ยวกับ nicotine และ cotinine [แนบรูป: ข้อสอบ Product ปี 2565 รหัสรูปภาพ image17]</t>
        </is>
      </c>
      <c r="C73" s="35" t="inlineStr">
        <is>
          <t>[แนบรูป: ข้อสอบ Product ปี 2565 รหัสรูปภาพ image17]</t>
        </is>
      </c>
      <c r="D73" s="34" t="inlineStr">
        <is>
          <t>Nicotine แสดงคุณสมบัติเป็นกรดอ่อน มี pKa เท่ากับ 8.0</t>
        </is>
      </c>
      <c r="E73" s="34" t="inlineStr">
        <is>
          <t>Nicotine ในสภาวะ physiological pH สามารถดูดซึมผ่านเมมเบรนได้ดี</t>
        </is>
      </c>
      <c r="F73" s="34" t="inlineStr">
        <is>
          <t>Cotinine เป็น major metabolite ของ nicotine กรณีศึกษาที่ 9</t>
        </is>
      </c>
      <c r="G73" s="34" t="n"/>
      <c r="H73" s="34" t="n"/>
      <c r="I73" s="35" t="n">
        <v>1</v>
      </c>
      <c r="J73" s="34" t="inlineStr">
        <is>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3" s="35" t="n"/>
      <c r="L73" s="34" t="inlineStr">
        <is>
          <t>Medicinal Chemistry &amp; SAR</t>
        </is>
      </c>
      <c r="M73" s="35" t="inlineStr">
        <is>
          <t>Product</t>
        </is>
      </c>
      <c r="N73" s="34" t="inlineStr">
        <is>
          <t>ข้อสอบจริง Product ปี 2565 ข้อ 11</t>
        </is>
      </c>
      <c r="O73" s="35" t="inlineStr">
        <is>
          <t>ข้อสอบจริง</t>
        </is>
      </c>
      <c r="P73" s="35" t="inlineStr">
        <is>
          <t>ปี 2565</t>
        </is>
      </c>
    </row>
    <row r="74" ht="409.6" customHeight="1" s="49">
      <c r="A74" s="35" t="n">
        <v>72</v>
      </c>
      <c r="B74" s="34" t="inlineStr">
        <is>
          <t>จากโครงสร้าง ถ้า pKa ตำแหน่งสีเขียวลดลง จะทำให้เกิดอะไร [แนบรูป: ข้อสอบ Product ปี 2565 รหัสรูปภาพ image18]</t>
        </is>
      </c>
      <c r="C74" s="35" t="inlineStr">
        <is>
          <t>[แนบรูป: ข้อสอบ Product ปี 2565 รหัสรูปภาพ image18]</t>
        </is>
      </c>
      <c r="D74" s="34" t="inlineStr">
        <is>
          <t>ยาออกฤทธิ์ช้าลง</t>
        </is>
      </c>
      <c r="E74" s="34" t="inlineStr">
        <is>
          <t>ยาออกฤทธิ์นานขึ้น</t>
        </is>
      </c>
      <c r="F74" s="34" t="inlineStr">
        <is>
          <t>ยาถูก protonate ไวขึ้น</t>
        </is>
      </c>
      <c r="G74" s="34" t="inlineStr">
        <is>
          <t>[NEED_REVIEW]</t>
        </is>
      </c>
      <c r="H74" s="34" t="inlineStr">
        <is>
          <t>[NEED_REVIEW]</t>
        </is>
      </c>
      <c r="I74" s="35" t="n">
        <v>1</v>
      </c>
      <c r="J74" s="34"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35" t="n"/>
      <c r="L74" s="34" t="inlineStr">
        <is>
          <t>Medicinal Chemistry &amp; SAR</t>
        </is>
      </c>
      <c r="M74" s="35" t="inlineStr">
        <is>
          <t>Product</t>
        </is>
      </c>
      <c r="N74" s="34" t="inlineStr">
        <is>
          <t>ข้อสอบจริง Product ปี 2565 ข้อ 31</t>
        </is>
      </c>
      <c r="O74" s="35" t="inlineStr">
        <is>
          <t>ข้อสอบจริง</t>
        </is>
      </c>
      <c r="P74" s="35" t="inlineStr">
        <is>
          <t>ปี 2565</t>
        </is>
      </c>
    </row>
    <row r="75" ht="409.6" customHeight="1" s="49">
      <c r="A75" s="35" t="n">
        <v>73</v>
      </c>
      <c r="B75" s="34" t="inlineStr">
        <is>
          <t>โครงสร้างใดไม่ช่วยอาการร้อนวูบวาบ</t>
        </is>
      </c>
      <c r="C75" s="35" t="n"/>
      <c r="D75" s="34" t="inlineStr">
        <is>
          <t>phytosterol</t>
        </is>
      </c>
      <c r="E75" s="34" t="inlineStr">
        <is>
          <t>anthraquinone</t>
        </is>
      </c>
      <c r="F75" s="34" t="inlineStr">
        <is>
          <t>stilbene</t>
        </is>
      </c>
      <c r="G75" s="34" t="inlineStr">
        <is>
          <t>isoflavone</t>
        </is>
      </c>
      <c r="H75" s="34" t="inlineStr">
        <is>
          <t>[NEED_REVIEW]</t>
        </is>
      </c>
      <c r="I75" s="35" t="n">
        <v>1</v>
      </c>
      <c r="J75" s="34"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35" t="n"/>
      <c r="L75" s="34" t="inlineStr">
        <is>
          <t>Medicinal Chemistry &amp; SAR</t>
        </is>
      </c>
      <c r="M75" s="35" t="inlineStr">
        <is>
          <t>Product</t>
        </is>
      </c>
      <c r="N75" s="34" t="inlineStr">
        <is>
          <t>ข้อสอบจริง Product ปี 2565 ข้อ 45</t>
        </is>
      </c>
      <c r="O75" s="35" t="inlineStr">
        <is>
          <t>ข้อสอบจริง</t>
        </is>
      </c>
      <c r="P75" s="35" t="inlineStr">
        <is>
          <t>ปี 2565</t>
        </is>
      </c>
    </row>
    <row r="76" ht="409.6" customHeight="1" s="49">
      <c r="A76" s="35" t="n">
        <v>74</v>
      </c>
      <c r="B76" s="34" t="inlineStr">
        <is>
          <t>พบว่า salbutamol เป็น Chiral molecule จึงมีทั้ง (R)-salbutamol และ (S)-salbutamol ข้อใดกล่าว ถูกต้องเกี่ยวกับสารผสม 50:50 ระหว่าง (R)-salbutamol และ (S)-salbutamol</t>
        </is>
      </c>
      <c r="C76" s="35" t="n"/>
      <c r="D76" s="34" t="inlineStr">
        <is>
          <t>Cis/Trans mixture</t>
        </is>
      </c>
      <c r="E76" s="34" t="inlineStr">
        <is>
          <t>Chiral mixture</t>
        </is>
      </c>
      <c r="F76" s="34" t="inlineStr">
        <is>
          <t>Racemic mixture</t>
        </is>
      </c>
      <c r="G76" s="34" t="inlineStr">
        <is>
          <t>Conformational mixture</t>
        </is>
      </c>
      <c r="H76" s="34" t="inlineStr">
        <is>
          <t>Mixed form mixture</t>
        </is>
      </c>
      <c r="I76" s="35" t="n">
        <v>1</v>
      </c>
      <c r="J76" s="34" t="inlineStr">
        <is>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6" s="35" t="n"/>
      <c r="L76" s="34" t="inlineStr">
        <is>
          <t>Medicinal Chemistry &amp; SAR</t>
        </is>
      </c>
      <c r="M76" s="35" t="inlineStr">
        <is>
          <t>Product</t>
        </is>
      </c>
      <c r="N76" s="34" t="inlineStr">
        <is>
          <t>ข้อสอบจริง Product ปี 2565 ข้อ 47</t>
        </is>
      </c>
      <c r="O76" s="35" t="inlineStr">
        <is>
          <t>ข้อสอบจริง</t>
        </is>
      </c>
      <c r="P76" s="35" t="inlineStr">
        <is>
          <t>ปี 2565</t>
        </is>
      </c>
    </row>
    <row r="77" ht="409.6" customHeight="1" s="49">
      <c r="A77" s="35" t="n">
        <v>75</v>
      </c>
      <c r="B77" s="34" t="inlineStr">
        <is>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is>
      </c>
      <c r="C77" s="35" t="inlineStr">
        <is>
          <t>[แนบรูป: ข้อสอบ Product ปี 2563 รหัสรูปภาพ image96]</t>
        </is>
      </c>
      <c r="D77" s="34" t="inlineStr">
        <is>
          <t>A</t>
        </is>
      </c>
      <c r="E77" s="34" t="inlineStr">
        <is>
          <t>B</t>
        </is>
      </c>
      <c r="F77" s="34" t="inlineStr">
        <is>
          <t>A และ B</t>
        </is>
      </c>
      <c r="G77" s="34" t="inlineStr">
        <is>
          <t>B และ C</t>
        </is>
      </c>
      <c r="H77" s="34" t="inlineStr">
        <is>
          <t>A และ C</t>
        </is>
      </c>
      <c r="I77" s="35" t="n">
        <v>3</v>
      </c>
      <c r="J77" s="34"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35" t="n"/>
      <c r="L77" s="34" t="inlineStr">
        <is>
          <t>Medicinal Chemistry &amp; SAR</t>
        </is>
      </c>
      <c r="M77" s="35" t="inlineStr">
        <is>
          <t>Product</t>
        </is>
      </c>
      <c r="N77" s="34" t="inlineStr">
        <is>
          <t>ข้อสอบจริง Product ปี 2563 ข้อ 12</t>
        </is>
      </c>
      <c r="O77" s="35" t="inlineStr">
        <is>
          <t>ข้อสอบจริง</t>
        </is>
      </c>
      <c r="P77" s="35" t="inlineStr">
        <is>
          <t>ปี 2563</t>
        </is>
      </c>
    </row>
    <row r="78" ht="409.6" customHeight="1" s="49">
      <c r="A78" s="35" t="n">
        <v>76</v>
      </c>
      <c r="B78" s="34" t="inlineStr">
        <is>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is>
      </c>
      <c r="C78" s="35" t="inlineStr">
        <is>
          <t>[แนบรูป: ข้อสอบ Product ปี 2563 รหัสรูปภาพ image98]</t>
        </is>
      </c>
      <c r="D78" s="34" t="inlineStr">
        <is>
          <t>Hydrolysis</t>
        </is>
      </c>
      <c r="E78" s="34" t="inlineStr">
        <is>
          <t>Oxidation</t>
        </is>
      </c>
      <c r="F78" s="34" t="inlineStr">
        <is>
          <t>Photolysis</t>
        </is>
      </c>
      <c r="G78" s="34" t="inlineStr">
        <is>
          <t>Dehydration</t>
        </is>
      </c>
      <c r="H78" s="34" t="inlineStr">
        <is>
          <t>Racemization</t>
        </is>
      </c>
      <c r="I78" s="35" t="n">
        <v>1</v>
      </c>
      <c r="J78" s="34"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35" t="n"/>
      <c r="L78" s="34" t="inlineStr">
        <is>
          <t>Medicinal Chemistry &amp; SAR</t>
        </is>
      </c>
      <c r="M78" s="35" t="inlineStr">
        <is>
          <t>Product</t>
        </is>
      </c>
      <c r="N78" s="34" t="inlineStr">
        <is>
          <t>ข้อสอบจริง Product ปี 2563 ข้อ 13</t>
        </is>
      </c>
      <c r="O78" s="35" t="inlineStr">
        <is>
          <t>ข้อสอบจริง</t>
        </is>
      </c>
      <c r="P78" s="35" t="inlineStr">
        <is>
          <t>ปี 2563</t>
        </is>
      </c>
    </row>
    <row r="79" ht="409.6" customHeight="1" s="49">
      <c r="A79" s="35" t="n">
        <v>77</v>
      </c>
      <c r="B79" s="34" t="inlineStr">
        <is>
          <t>ข้อใดไม่ควรเป็น flocculating agent ต้นฉบับ: Day 2 ข้อ 93</t>
        </is>
      </c>
      <c r="C79" s="35" t="n"/>
      <c r="D79" s="34" t="inlineStr">
        <is>
          <t>Electrolyte</t>
        </is>
      </c>
      <c r="E79" s="34" t="inlineStr">
        <is>
          <t>Surfactant</t>
        </is>
      </c>
      <c r="F79" s="34" t="inlineStr">
        <is>
          <t>Polymer</t>
        </is>
      </c>
      <c r="G79" s="34" t="inlineStr">
        <is>
          <t>Clay</t>
        </is>
      </c>
      <c r="H79" s="34" t="inlineStr">
        <is>
          <t>Alcohol | คำตอบที่น่าจะเป็น: e) Alcohol Flocculating agent ที่ใช้ทั่วไปคือ electrolyte, surfactant และ polymer ส่วน alcohol ไม่ใช่ตัวเลือกมาตรฐาน</t>
        </is>
      </c>
      <c r="I79" s="35" t="n">
        <v>1</v>
      </c>
      <c r="J79" s="34"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35" t="n"/>
      <c r="L79" s="34" t="inlineStr">
        <is>
          <t>Medicinal Chemistry &amp; SAR</t>
        </is>
      </c>
      <c r="M79" s="35" t="inlineStr">
        <is>
          <t>Product</t>
        </is>
      </c>
      <c r="N79" s="34" t="inlineStr">
        <is>
          <t>ข้อสอบจริง Product ปี 2563 ข้อ 56</t>
        </is>
      </c>
      <c r="O79" s="35" t="inlineStr">
        <is>
          <t>ข้อสอบจริง</t>
        </is>
      </c>
      <c r="P79" s="35" t="inlineStr">
        <is>
          <t>ปี 2563</t>
        </is>
      </c>
    </row>
    <row r="80" ht="409.6" customHeight="1" s="49">
      <c r="A80" s="35" t="n">
        <v>78</v>
      </c>
      <c r="B80" s="34" t="inlineStr">
        <is>
          <t>โครงสร้าง omeprazole ที่จำหน่ายเป็น racemic mixture ยา racemic mixture มีคุณสมบัติใด</t>
        </is>
      </c>
      <c r="C80" s="35" t="n"/>
      <c r="D80" s="34" t="inlineStr">
        <is>
          <t>ละลายน้ำดี</t>
        </is>
      </c>
      <c r="E80" s="34" t="inlineStr">
        <is>
          <t>เป็น achiral molecule</t>
        </is>
      </c>
      <c r="F80" s="34" t="inlineStr">
        <is>
          <t>ไม่หมุนระนาบแสง polarized</t>
        </is>
      </c>
      <c r="G80" s="34" t="inlineStr">
        <is>
          <t>ยาดูดกลืนแสงหลายคลื่นความถี่</t>
        </is>
      </c>
      <c r="H80" s="34" t="inlineStr">
        <is>
          <t>Potent ดีกว่าที่ไม่ใช่ racemic mixture</t>
        </is>
      </c>
      <c r="I80" s="35" t="n">
        <v>1</v>
      </c>
      <c r="J80" s="34" t="inlineStr">
        <is>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0" s="35" t="n"/>
      <c r="L80" s="34" t="inlineStr">
        <is>
          <t>Medicinal Chemistry &amp; SAR</t>
        </is>
      </c>
      <c r="M80" s="35" t="inlineStr">
        <is>
          <t>Product</t>
        </is>
      </c>
      <c r="N80" s="34" t="inlineStr">
        <is>
          <t>ข้อสอบจริง Product ปี 2561 ข้อ 90</t>
        </is>
      </c>
      <c r="O80" s="35" t="inlineStr">
        <is>
          <t>ข้อสอบจริง</t>
        </is>
      </c>
      <c r="P80" s="35" t="inlineStr">
        <is>
          <t>ปี 2561</t>
        </is>
      </c>
    </row>
    <row r="81" ht="409.6" customHeight="1" s="49">
      <c r="A81" s="35" t="n">
        <v>79</v>
      </c>
      <c r="B81" s="34" t="inlineStr">
        <is>
          <t>เพราะเหตุใดจึงต้องมีการพัฒนาตำรับยา Amphotericin B ให้อยู่ในรูปแบบลิโปโซม (Liposomal Amphotericin B)?</t>
        </is>
      </c>
      <c r="C81" s="35" t="n"/>
      <c r="D81" s="34" t="inlineStr">
        <is>
          <t>เพื่อลดการเกิดพิษ (Toxicity) โดยเฉพาะต่อไต</t>
        </is>
      </c>
      <c r="E81" s="34" t="inlineStr">
        <is>
          <t>เพื่อเพิ่มการละลายของตัวยา</t>
        </is>
      </c>
      <c r="F81" s="34" t="inlineStr">
        <is>
          <t>เพื่อเพิ่มการดูดซึมของยา</t>
        </is>
      </c>
      <c r="G81" s="34" t="inlineStr">
        <is>
          <t>เพื่อทำให้ยามีความคงตัวทางเคมีเพิ่มขึ้น</t>
        </is>
      </c>
      <c r="H81" s="34" t="inlineStr">
        <is>
          <t>เพื่อลดการเกิด Metabolism</t>
        </is>
      </c>
      <c r="I81" s="35" t="n">
        <v>1</v>
      </c>
      <c r="J81" s="34"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35" t="n"/>
      <c r="L81" s="34" t="inlineStr">
        <is>
          <t>Medicinal Chemistry &amp; SAR</t>
        </is>
      </c>
      <c r="M81" s="35" t="inlineStr">
        <is>
          <t>Product</t>
        </is>
      </c>
      <c r="N81" s="34" t="inlineStr">
        <is>
          <t>ข้อสอบจริง Product ปี 2558 ข้อ 4</t>
        </is>
      </c>
      <c r="O81" s="35" t="inlineStr">
        <is>
          <t>ข้อสอบจริง</t>
        </is>
      </c>
      <c r="P81" s="35" t="inlineStr">
        <is>
          <t>ปี 2558</t>
        </is>
      </c>
    </row>
    <row r="82" ht="409.6" customHeight="1" s="49">
      <c r="A82" s="35" t="n">
        <v>80</v>
      </c>
      <c r="B82" s="34"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35" t="n"/>
      <c r="D82" s="34" t="inlineStr">
        <is>
          <t>ปริมาณสิ่งปนเปื้อนชนิดสารอินทรีย์ (Organic impurities)</t>
        </is>
      </c>
      <c r="E82" s="34" t="inlineStr">
        <is>
          <t>ปริมาณสิ่งปนเปื้อนชนิดสารอนินทรีย์ (Inorganic impurities / Inorganic residues)</t>
        </is>
      </c>
      <c r="F82" s="34" t="inlineStr">
        <is>
          <t>ระบุชนิดและโครงสร้างของสารอินทรีย์ปนเปื้อน</t>
        </is>
      </c>
      <c r="G82" s="34" t="inlineStr">
        <is>
          <t>ระบุโครงสร้างทางเคมีของสารอนินทรีย์ปนเปื้อน</t>
        </is>
      </c>
      <c r="H82" s="34" t="inlineStr">
        <is>
          <t>ปริมาณของตัวทำละลายและสารที่ระเหยได้ง่ายด้วยความร้อน (Loss on drying)</t>
        </is>
      </c>
      <c r="I82" s="35" t="n">
        <v>1</v>
      </c>
      <c r="J82" s="34"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35" t="n"/>
      <c r="L82" s="34" t="inlineStr">
        <is>
          <t>Medicinal Chemistry &amp; SAR</t>
        </is>
      </c>
      <c r="M82" s="35" t="inlineStr">
        <is>
          <t>Product</t>
        </is>
      </c>
      <c r="N82" s="34" t="inlineStr">
        <is>
          <t>ข้อสอบจริง Product ปี 2558 ข้อ 32</t>
        </is>
      </c>
      <c r="O82" s="35" t="inlineStr">
        <is>
          <t>ข้อสอบจริง</t>
        </is>
      </c>
      <c r="P82" s="35" t="inlineStr">
        <is>
          <t>ปี 2558</t>
        </is>
      </c>
    </row>
    <row r="83" ht="13.2" customHeight="1" s="49">
      <c r="A83" t="n">
        <v>81</v>
      </c>
      <c r="B83" t="inlineStr">
        <is>
          <t>หากนำ aspirin มาเคราะห์ความบริสุทธิ์จะมีโอกาสพบสารใด</t>
        </is>
      </c>
      <c r="D83" t="inlineStr">
        <is>
          <t>Citric acid</t>
        </is>
      </c>
      <c r="E83" t="inlineStr">
        <is>
          <t>Ascorbic acid</t>
        </is>
      </c>
      <c r="F83" t="inlineStr">
        <is>
          <t>Sulfuric acid</t>
        </is>
      </c>
      <c r="G83" t="inlineStr">
        <is>
          <t>Salicylic acid</t>
        </is>
      </c>
      <c r="H83" t="inlineStr">
        <is>
          <t>ถูกทุกข้อ</t>
        </is>
      </c>
      <c r="I83" t="inlineStr">
        <is>
          <t>1</t>
        </is>
      </c>
      <c r="J83"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3" t="inlineStr">
        <is>
          <t>Hypertension</t>
        </is>
      </c>
      <c r="M83" t="inlineStr">
        <is>
          <t>Clinic</t>
        </is>
      </c>
      <c r="N83" t="inlineStr">
        <is>
          <t>ข้อ 92 (Pharmtutor_2024_Set1.md)</t>
        </is>
      </c>
    </row>
  </sheetData>
  <mergeCells count="1">
    <mergeCell ref="A1:F1"/>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0" summaryRight="0"/>
    <pageSetUpPr/>
  </sheetPr>
  <dimension ref="A1:Q315"/>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24" t="inlineStr">
        <is>
          <t>ข้อที่</t>
        </is>
      </c>
      <c r="B2" s="24" t="inlineStr">
        <is>
          <t>คำถาม</t>
        </is>
      </c>
      <c r="C2" s="24" t="inlineStr">
        <is>
          <t>รูปถาม</t>
        </is>
      </c>
      <c r="D2" s="24" t="inlineStr">
        <is>
          <t>ตัวเลือก 1</t>
        </is>
      </c>
      <c r="E2" s="24" t="inlineStr">
        <is>
          <t>ตัวเลือก 2</t>
        </is>
      </c>
      <c r="F2" s="24" t="inlineStr">
        <is>
          <t>ตัวเลือก 3</t>
        </is>
      </c>
      <c r="G2" s="24" t="inlineStr">
        <is>
          <t>ตัวเลือก 4</t>
        </is>
      </c>
      <c r="H2" s="24" t="inlineStr">
        <is>
          <t>ตัวเลือก 5</t>
        </is>
      </c>
      <c r="I2" s="24" t="inlineStr">
        <is>
          <t>เฉลย (ตัวเลข 1-5)</t>
        </is>
      </c>
      <c r="J2" s="24" t="inlineStr">
        <is>
          <t>คำอธิบายเฉลย</t>
        </is>
      </c>
      <c r="K2" s="24" t="inlineStr">
        <is>
          <t>รูปเฉลย</t>
        </is>
      </c>
      <c r="L2" s="24" t="inlineStr">
        <is>
          <t>Filter หมวด/Subtopic</t>
        </is>
      </c>
      <c r="M2" s="24" t="inlineStr">
        <is>
          <t>Product / Clinic</t>
        </is>
      </c>
      <c r="N2" s="24" t="inlineStr">
        <is>
          <t>หมายเหตุ</t>
        </is>
      </c>
      <c r="O2" s="2" t="inlineStr">
        <is>
          <t>ประเภทข้อสอบ</t>
        </is>
      </c>
      <c r="P2" s="2" t="inlineStr">
        <is>
          <t>ปี / เลขชุด</t>
        </is>
      </c>
    </row>
    <row r="3" ht="13.2" customHeight="1" s="49">
      <c r="A3" s="2" t="n">
        <v>1</v>
      </c>
      <c r="B3" s="2" t="inlineStr">
        <is>
          <t>ยาควบคุมพิเศษ (Special Controlled Drugs) ตามพระราชบัญญัติยา พ.ศ. 2510 มีข้อกำหนดทางกฎหมายที่เภสัชกรต้องปฏิบัติอย่างไร?</t>
        </is>
      </c>
      <c r="C3" s="2" t="n"/>
      <c r="D3" s="2" t="inlineStr">
        <is>
          <t>จำหน่ายได้โดยไม่ต้องมีใบสั่งยาจากแพทย์ แต่ต้องจดบันทึก</t>
        </is>
      </c>
      <c r="E3" s="2" t="inlineStr">
        <is>
          <t>ต้องจำหน่ายตามใบสั่งยาของผู้ประกอบวิชาชีพเวชกรรมเท่านั้น และต้องจัดทำบัญชีการรับ-จ่ายยา</t>
        </is>
      </c>
      <c r="F3" s="2" t="inlineStr">
        <is>
          <t>จำหน่ายได้เฉพาะในโรงพยาบาลรัฐบาลเท่านั้น</t>
        </is>
      </c>
      <c r="G3" s="2" t="inlineStr">
        <is>
          <t>สามารถโฆษณาต่อประชาชนทั่วไปได้ตามปกติ</t>
        </is>
      </c>
      <c r="H3" s="2" t="inlineStr">
        <is>
          <t>เภสัชกรไม่ต้องอยู่ปฏิบัติการตลอดเวลาที่เปิดจำหน่าย</t>
        </is>
      </c>
      <c r="I3" s="2" t="n">
        <v>2</v>
      </c>
      <c r="J3" s="2"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พ.ร.บ. ยา พ.ศ. 2510</t>
        </is>
      </c>
      <c r="M3" s="2" t="inlineStr">
        <is>
          <t>SAP</t>
        </is>
      </c>
      <c r="N3" s="2" t="inlineStr">
        <is>
          <t>พ.ร.บ. ยา พ.ศ. 2510</t>
        </is>
      </c>
      <c r="O3" s="2" t="inlineStr">
        <is>
          <t>Mock</t>
        </is>
      </c>
      <c r="P3" s="2" t="n"/>
    </row>
    <row r="4" ht="13.2" customHeight="1" s="49">
      <c r="A4" s="2" t="n">
        <v>6</v>
      </c>
      <c r="B4" s="2" t="inlineStr">
        <is>
          <t>ข้อใดถูกต้องเกี่ยวกับ oral isotretinoin ในร้านยา</t>
        </is>
      </c>
      <c r="C4" s="2" t="n"/>
      <c r="D4" s="2" t="inlineStr">
        <is>
          <t>จ่ายได้ แต่ต้องมีใบสั่งแพทย์</t>
        </is>
      </c>
      <c r="E4" s="2" t="inlineStr">
        <is>
          <t>จ่ายได้ โดยไม่มีใบสั่งแพทย์</t>
        </is>
      </c>
      <c r="F4" s="2" t="inlineStr">
        <is>
          <t>จ่ายได้ เฉพาะสถานพยาบาลที่มีแพทย์เฉพาะทาง</t>
        </is>
      </c>
      <c r="G4" s="2" t="inlineStr">
        <is>
          <t>จ่ายได้ เฉพาะคลินิกและโรงพยาบาล</t>
        </is>
      </c>
      <c r="H4" s="2" t="inlineStr">
        <is>
          <t>จ่ายได้ เฉพาะร้านยาที่ขึ้นทะเบียนเป็นร้านยาคุณภาพ</t>
        </is>
      </c>
      <c r="I4" s="2" t="n">
        <v>4</v>
      </c>
      <c r="J4" s="2"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พ.ร.บ. ยา พ.ศ. 2510</t>
        </is>
      </c>
      <c r="M4" s="2" t="inlineStr">
        <is>
          <t>SAP</t>
        </is>
      </c>
      <c r="N4" s="2" t="inlineStr">
        <is>
          <t>ข้อ 6 Pharma Plus เล่มม่วง (เฉลยข้อ ง)</t>
        </is>
      </c>
      <c r="O4" s="2" t="inlineStr">
        <is>
          <t>Mock</t>
        </is>
      </c>
      <c r="P4" s="2" t="inlineStr">
        <is>
          <t>Pharma Plus เล่มม่วง</t>
        </is>
      </c>
    </row>
    <row r="5" ht="13.2" customHeight="1" s="49">
      <c r="A5" s="2" t="n">
        <v>7</v>
      </c>
      <c r="B5" s="2" t="inlineStr">
        <is>
          <t>ยา oral isotretinoin มีเลขทะเบียน 1C 2554/55 หมายความว่าอย่างไร</t>
        </is>
      </c>
      <c r="C5" s="2" t="n"/>
      <c r="D5" s="2" t="inlineStr">
        <is>
          <t>ยาเดี่ยวแผนปัจจุบันที่ผลิตในประเทศไทย</t>
        </is>
      </c>
      <c r="E5" s="2" t="inlineStr">
        <is>
          <t>ยาเดี่ยวแผนปัจจุบันที่นำเข้าจากต่างประเทศ</t>
        </is>
      </c>
      <c r="F5" s="2" t="inlineStr">
        <is>
          <t>ยาเดี่ยวแผนปัจจุบันที่แบ่งบรรจุในประเทศไทย</t>
        </is>
      </c>
      <c r="G5" s="2" t="inlineStr">
        <is>
          <t>ยาผสมแผนโบราณ ที่ผลิตในประเทศไทย</t>
        </is>
      </c>
      <c r="H5" s="2" t="inlineStr">
        <is>
          <t>ยาผสมแผนโบราณ ที่นำเข้าจากต่างประเทศ</t>
        </is>
      </c>
      <c r="I5" s="2" t="n">
        <v>2</v>
      </c>
      <c r="J5" s="2"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พ.ร.บ. ยา พ.ศ. 2510</t>
        </is>
      </c>
      <c r="M5" s="2" t="inlineStr">
        <is>
          <t>SAP</t>
        </is>
      </c>
      <c r="N5" s="2" t="inlineStr">
        <is>
          <t>ข้อ 7 Pharma Plus เล่มม่วง (เฉลยข้อ ข)</t>
        </is>
      </c>
      <c r="O5" s="2" t="inlineStr">
        <is>
          <t>Mock</t>
        </is>
      </c>
      <c r="P5" s="2" t="inlineStr">
        <is>
          <t>Pharma Plus เล่มม่วง</t>
        </is>
      </c>
    </row>
    <row r="6" ht="13.2" customHeight="1" s="49">
      <c r="A6" s="2" t="n">
        <v>8</v>
      </c>
      <c r="B6" s="2" t="inlineStr">
        <is>
          <t>ยาพ่น budesonide เป็นยาประเภทใดตามกฎหมาย</t>
        </is>
      </c>
      <c r="C6" s="2" t="n"/>
      <c r="D6" s="2" t="inlineStr">
        <is>
          <t>ยาควบคุมพิเศษ</t>
        </is>
      </c>
      <c r="E6" s="2" t="inlineStr">
        <is>
          <t>ยาอันตราย</t>
        </is>
      </c>
      <c r="F6" s="2" t="inlineStr">
        <is>
          <t>ยาแผนปัจจุบันบรรจุเสร็จ</t>
        </is>
      </c>
      <c r="G6" s="2" t="inlineStr">
        <is>
          <t>ยาสามัญประจำบ้าน</t>
        </is>
      </c>
      <c r="H6" s="2" t="inlineStr">
        <is>
          <t>ยาใช้ภายนอก</t>
        </is>
      </c>
      <c r="I6" s="2" t="n">
        <v>2</v>
      </c>
      <c r="J6"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พ.ร.บ. ยา พ.ศ. 2510</t>
        </is>
      </c>
      <c r="M6" s="2" t="inlineStr">
        <is>
          <t>SAP</t>
        </is>
      </c>
      <c r="N6" s="2" t="inlineStr">
        <is>
          <t>ข้อ 8 Pharma Plus เล่มม่วง (เฉลยข้อ ข)</t>
        </is>
      </c>
      <c r="O6" s="2" t="inlineStr">
        <is>
          <t>Mock</t>
        </is>
      </c>
      <c r="P6" s="2" t="inlineStr">
        <is>
          <t>Pharma Plus เล่มม่วง</t>
        </is>
      </c>
    </row>
    <row r="7" ht="13.2" customHeight="1" s="49">
      <c r="A7" s="2" t="n">
        <v>10</v>
      </c>
      <c r="B7" s="2"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2" t="n"/>
      <c r="D7" s="2" t="inlineStr">
        <is>
          <t>สังเกตแผ่นพับว่ามีเลขทะเบียนโฆษณาตามที่ อย. กำหนดหรือไม่ เช่น ฆยxxxx/xx หรือไม่</t>
        </is>
      </c>
      <c r="E7" s="2" t="inlineStr">
        <is>
          <t>แนะนำเรื่องความปลอดภัยในการใช้ยาแผนโบราณไม่มีเลขทะเบียน และขอให้ผู้ป่วยนำยามาให้เพื่อส่งตรวจ</t>
        </is>
      </c>
      <c r="F7" s="2" t="inlineStr">
        <is>
          <t>ไม่สามารถจ่ายยาลาดังกล่าวได้ เนื่องจากไม่มีใบอนุญาตขายยาแผนโบราณ</t>
        </is>
      </c>
      <c r="G7" s="2" t="inlineStr">
        <is>
          <t>แนะนำว่ายาแผนโบราณที่ใช้ภายนอกไม่มีเลขทะเบียนน่าจะใช้ได้ เพราะมีอันตรายน้อยกว่ายารับประทาน</t>
        </is>
      </c>
      <c r="H7" s="2" t="inlineStr">
        <is>
          <t>ไปหาทยาแผนโบราณดังกล่าวมาขาย เพราะมีลูกค้ามาถามซื้อ</t>
        </is>
      </c>
      <c r="I7" s="2" t="n">
        <v>2</v>
      </c>
      <c r="J7" s="2"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พ.ร.บ. ยา พ.ศ. 2510</t>
        </is>
      </c>
      <c r="M7" s="2" t="inlineStr">
        <is>
          <t>SAP</t>
        </is>
      </c>
      <c r="N7" s="2" t="inlineStr">
        <is>
          <t>ข้อ 10 Pharma Plus เล่มม่วง (เฉลยข้อ ข)</t>
        </is>
      </c>
      <c r="O7" s="2" t="inlineStr">
        <is>
          <t>Mock</t>
        </is>
      </c>
      <c r="P7" s="2" t="inlineStr">
        <is>
          <t>Pharma Plus เล่มม่วง</t>
        </is>
      </c>
    </row>
    <row r="8" ht="13.2" customHeight="1" s="49">
      <c r="A8" s="2" t="n">
        <v>11</v>
      </c>
      <c r="B8" s="2"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2" t="n"/>
      <c r="D8" s="2" t="inlineStr">
        <is>
          <t>ยาปลอม</t>
        </is>
      </c>
      <c r="E8" s="2" t="inlineStr">
        <is>
          <t>ยาเสื่อมคุณภาพ</t>
        </is>
      </c>
      <c r="F8" s="2" t="inlineStr">
        <is>
          <t>ยาผิดมาตรฐาน</t>
        </is>
      </c>
      <c r="G8" s="2" t="inlineStr">
        <is>
          <t>ยาสิ้นสภาพ</t>
        </is>
      </c>
      <c r="H8" s="2" t="inlineStr">
        <is>
          <t>ยาไม่ได้ขึ้นทะเบียนตำรับ</t>
        </is>
      </c>
      <c r="I8" s="2" t="n">
        <v>1</v>
      </c>
      <c r="J8"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พ.ร.บ. ยา พ.ศ. 2510</t>
        </is>
      </c>
      <c r="M8" s="2" t="inlineStr">
        <is>
          <t>SAP</t>
        </is>
      </c>
      <c r="N8" s="2" t="inlineStr">
        <is>
          <t>ข้อ 11 Pharma Plus เล่มม่วง (เฉลยข้อ ก)</t>
        </is>
      </c>
      <c r="O8" s="2" t="inlineStr">
        <is>
          <t>Mock</t>
        </is>
      </c>
      <c r="P8" s="2" t="inlineStr">
        <is>
          <t>Pharma Plus เล่มม่วง</t>
        </is>
      </c>
    </row>
    <row r="9" ht="13.2" customHeight="1" s="49">
      <c r="A9" s="2" t="n">
        <v>12</v>
      </c>
      <c r="B9" s="2"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2" t="n"/>
      <c r="D9" s="2" t="inlineStr">
        <is>
          <t>ยาสิดมาตรฐาน</t>
        </is>
      </c>
      <c r="E9" s="2" t="inlineStr">
        <is>
          <t>ยาเสื่อมคุณภาพ</t>
        </is>
      </c>
      <c r="F9" s="2" t="inlineStr">
        <is>
          <t>ยาปลอม</t>
        </is>
      </c>
      <c r="G9" s="2" t="inlineStr">
        <is>
          <t>ยาที่ไม่ได้ขึ้นทะเบียน</t>
        </is>
      </c>
      <c r="H9" s="2" t="inlineStr">
        <is>
          <t>ยาที่ถูกเพิกถอนทะเบียนตำรับ</t>
        </is>
      </c>
      <c r="I9" s="2" t="n">
        <v>3</v>
      </c>
      <c r="J9" s="2"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พ.ร.บ. ยา พ.ศ. 2510</t>
        </is>
      </c>
      <c r="M9" s="2" t="inlineStr">
        <is>
          <t>SAP</t>
        </is>
      </c>
      <c r="N9" s="2" t="inlineStr">
        <is>
          <t>ข้อ 12 Pharma Plus เล่มม่วง (เฉลยข้อ ค)</t>
        </is>
      </c>
      <c r="O9" s="2" t="inlineStr">
        <is>
          <t>Mock</t>
        </is>
      </c>
      <c r="P9" s="2" t="inlineStr">
        <is>
          <t>Pharma Plus เล่มม่วง</t>
        </is>
      </c>
    </row>
    <row r="10" ht="13.2" customHeight="1" s="49">
      <c r="A10" s="2" t="n">
        <v>13</v>
      </c>
      <c r="B10" s="2" t="inlineStr">
        <is>
          <t>การเบิกยาในโรงพยาบาลระบบ FIFO เป็นไปตามข้อใด</t>
        </is>
      </c>
      <c r="C10" s="2" t="n"/>
      <c r="D10" s="2" t="inlineStr">
        <is>
          <t>เบิกยาจากคลังยาโดยเบิกยาที่ซื้อมากก่อน</t>
        </is>
      </c>
      <c r="E10" s="2" t="inlineStr">
        <is>
          <t>เบิกยาจากคลังยาโดยเบิกยาที่ใกล้หมดายุก่อน</t>
        </is>
      </c>
      <c r="F10" s="2" t="inlineStr">
        <is>
          <t>เบิกยาจากคลังยา โดยเบิก lot ที่ผลิตก่อน</t>
        </is>
      </c>
      <c r="G10" s="2" t="inlineStr">
        <is>
          <t>เบิกยาจากคลังยา โดยเบิกจาก lot ที่ซื้อมาจากบริษทายาก่อน</t>
        </is>
      </c>
      <c r="H10" s="2" t="inlineStr">
        <is>
          <t>ไม่มีข้อใดถูก</t>
        </is>
      </c>
      <c r="I10" s="2" t="n">
        <v>1</v>
      </c>
      <c r="J10" s="2"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พ.ร.บ. ยา พ.ศ. 2510</t>
        </is>
      </c>
      <c r="M10" s="2" t="inlineStr">
        <is>
          <t>SAP</t>
        </is>
      </c>
      <c r="N10" s="2" t="inlineStr">
        <is>
          <t>ข้อ 13 Pharma Plus เล่มม่วง (เฉลยข้อ ก)</t>
        </is>
      </c>
      <c r="O10" s="2" t="inlineStr">
        <is>
          <t>Mock</t>
        </is>
      </c>
      <c r="P10" s="2" t="inlineStr">
        <is>
          <t>Pharma Plus เล่มม่วง</t>
        </is>
      </c>
    </row>
    <row r="11" ht="13.2" customHeight="1" s="49">
      <c r="A11" s="2" t="n">
        <v>14</v>
      </c>
      <c r="B11" s="2" t="inlineStr">
        <is>
          <t>ข้อใดต่อไปนี้ คือ ยาผิดมาตรฐาน</t>
        </is>
      </c>
      <c r="C11" s="2" t="n"/>
      <c r="D11" s="2" t="inlineStr">
        <is>
          <t>ยาที่หมดอายุแล้ว</t>
        </is>
      </c>
      <c r="E11" s="2" t="inlineStr">
        <is>
          <t>ยาที่ตรวจพบปริมาณยาสำคัญ ต่ำกว่าปริมาณต่ำสุด 15%</t>
        </is>
      </c>
      <c r="F11" s="2" t="inlineStr">
        <is>
          <t>ยาที่ตรวจพบปริมาณยาสำคัญ ต่ำกว่าปริมาณต่ำสุด 5%</t>
        </is>
      </c>
      <c r="G11" s="2" t="inlineStr">
        <is>
          <t>ยาที่ตรวจพบปริมาณยาสำคัญ สูงกว่าปริมาณสูงสุด 25%</t>
        </is>
      </c>
      <c r="H11" s="2" t="inlineStr">
        <is>
          <t>ยามีสิ่งเทียมเจือปนอยู่ ไม่เกิน 10%</t>
        </is>
      </c>
      <c r="I11" s="2" t="n">
        <v>2</v>
      </c>
      <c r="J11" s="2"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พ.ร.บ. ยา พ.ศ. 2510</t>
        </is>
      </c>
      <c r="M11" s="2" t="inlineStr">
        <is>
          <t>SAP</t>
        </is>
      </c>
      <c r="N11" s="2" t="inlineStr">
        <is>
          <t>ข้อ 14 Pharma Plus เล่มม่วง (เฉลยข้อ ข ค)</t>
        </is>
      </c>
      <c r="O11" s="2" t="inlineStr">
        <is>
          <t>Mock</t>
        </is>
      </c>
      <c r="P11" s="2" t="inlineStr">
        <is>
          <t>Pharma Plus เล่มม่วง</t>
        </is>
      </c>
    </row>
    <row r="12" ht="13.2" customHeight="1" s="49">
      <c r="A12" s="2" t="n">
        <v>15</v>
      </c>
      <c r="B12" s="2"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2" t="n"/>
      <c r="D12" s="2" t="inlineStr">
        <is>
          <t>เหมือนกัน ทั้งสมุนไพรในรูปแคปซูล กับรูปชาชง เป็นยาแผนโบราณ</t>
        </is>
      </c>
      <c r="E12" s="2" t="inlineStr">
        <is>
          <t>เหมือนกัน ทั้งสมุนไพรในรูปแคปซูล กับรูปชาชง เป็นยาสมุนไพร</t>
        </is>
      </c>
      <c r="F12" s="2" t="inlineStr">
        <is>
          <t>เหมือนกัน ทั้งสมุนไพรในรูปแคปซูล กับรูปชาชง เป็นอาหาร</t>
        </is>
      </c>
      <c r="G12" s="2" t="inlineStr">
        <is>
          <t>ไม่เหมือนกัน สมุนไพรในรูปแคปซูล เป็นยาแผนโบราณ ส่วนรูปชาชง เป็นอาหาร</t>
        </is>
      </c>
      <c r="H12" s="2" t="inlineStr">
        <is>
          <t>ไม่เหมือนกัน สมุนไพรในรูปแคปซูล เป็นยาแผนโบราณ ส่วนรูปชาชงเป็นยาสมุนไพร</t>
        </is>
      </c>
      <c r="I12" s="2" t="n">
        <v>5</v>
      </c>
      <c r="J12" s="2"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พ.ร.บ. ผลิตภัณฑ์สมุนไพร &amp; เครื่องสำอาง</t>
        </is>
      </c>
      <c r="M12" s="2" t="inlineStr">
        <is>
          <t>SAP</t>
        </is>
      </c>
      <c r="N12" s="2" t="inlineStr">
        <is>
          <t>ข้อ 15 Pharma Plus เล่มม่วง (เฉลยข้อ จ)</t>
        </is>
      </c>
      <c r="O12" s="2" t="inlineStr">
        <is>
          <t>Mock</t>
        </is>
      </c>
      <c r="P12" s="2" t="inlineStr">
        <is>
          <t>Pharma Plus เล่มม่วง</t>
        </is>
      </c>
    </row>
    <row r="13" ht="13.2" customHeight="1" s="49">
      <c r="A13" s="2" t="n">
        <v>16</v>
      </c>
      <c r="B13" s="2" t="inlineStr">
        <is>
          <t>หากผู้ป่วยมาขอซื้อยา lorazepam tab ในร้านขายยาท่านสามารถจำหน่ายยาได้หรือไม่
ท่านสามารถจำหน่ายยาได้หรือไม่</t>
        </is>
      </c>
      <c r="C13" s="2" t="n"/>
      <c r="D13" s="2" t="inlineStr">
        <is>
          <t>ได้หากมีใบอนุญาตจำหน่ายยาอันตราย</t>
        </is>
      </c>
      <c r="E13" s="2" t="inlineStr">
        <is>
          <t>ได้หากมีใบอนุญาตจำหน่ายวัตถุออกฤทธิ์</t>
        </is>
      </c>
      <c r="F13" s="2" t="inlineStr">
        <is>
          <t>ได้หากมีใบอนุญาตจำหน่ายยาเสพติดประเภท 2</t>
        </is>
      </c>
      <c r="G13" s="2" t="inlineStr">
        <is>
          <t>ไม่ได้เพราะเป็นยาเสพติดประเภท 2</t>
        </is>
      </c>
      <c r="H13" s="2" t="inlineStr">
        <is>
          <t>ไม่ได้เพราะเป็นวัตถุออกฤทธิ์</t>
        </is>
      </c>
      <c r="I13" s="2" t="n">
        <v>2</v>
      </c>
      <c r="J13" s="2"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พ.ร.บ. ยาเสพติดให้โทษ &amp; วัตถุออกฤทธิ์</t>
        </is>
      </c>
      <c r="M13" s="2" t="inlineStr">
        <is>
          <t>SAP</t>
        </is>
      </c>
      <c r="N13" s="2" t="inlineStr">
        <is>
          <t>ข้อ 16 Pharma Plus เล่มม่วง (เฉลยข้อ ข)</t>
        </is>
      </c>
      <c r="O13" s="2" t="inlineStr">
        <is>
          <t>Mock</t>
        </is>
      </c>
      <c r="P13" s="2" t="inlineStr">
        <is>
          <t>Pharma Plus เล่มม่วง</t>
        </is>
      </c>
    </row>
    <row r="14" ht="13.2" customHeight="1" s="49">
      <c r="A14" s="2" t="n">
        <v>17</v>
      </c>
      <c r="B14" s="2"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2" t="n"/>
      <c r="D14" s="2" t="inlineStr">
        <is>
          <t>การศึกษานี้เป็นการประเมินทางด้านเศรษฐศาสตร์แบบ partial economic evaluations และเป็นการศึกษาแบบ cost analysis</t>
        </is>
      </c>
      <c r="E14" s="2" t="inlineStr">
        <is>
          <t>การศึกษานี้เป็นการประเมินทางด้านเศรษฐศาสตร์แบบ partial economic evaluations และเป็นการศึกษาแบบ cost-outcome description</t>
        </is>
      </c>
      <c r="F14" s="2" t="inlineStr">
        <is>
          <t>การศึกษานี้เป็นการประเมินทางด้านเศรษฐศาสตร์แบบ full economic evaluations และเป็นการศึกษาแบบ cost-benefit analysis (CBA)</t>
        </is>
      </c>
      <c r="G14" s="2" t="inlineStr">
        <is>
          <t>การศึกษานี้เป็นการประเมินทางด้านเศรษฐศาสตร์แบบ full economic evaluations และเป็นการศึกษาแบบ cost-utility analysis (CUA)</t>
        </is>
      </c>
      <c r="H14" s="2" t="inlineStr">
        <is>
          <t>การศึกษานี้เป็นการประเมินทางด้านเศรษฐศาสตร์แบบ full economic evaluations และเป็นการศึกษาแบบ cost-effectiveness analysis (CEA)</t>
        </is>
      </c>
      <c r="I14" s="2" t="n">
        <v>3</v>
      </c>
      <c r="J14" s="2"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2" t="n"/>
      <c r="L14" s="2" t="inlineStr">
        <is>
          <t>พ.ร.บ. ยา พ.ศ. 2510</t>
        </is>
      </c>
      <c r="M14" s="2" t="inlineStr">
        <is>
          <t>SAP</t>
        </is>
      </c>
      <c r="N14" s="2" t="inlineStr">
        <is>
          <t>ข้อ 17 Pharma Plus เล่มม่วง (เฉลยข้อ ค)</t>
        </is>
      </c>
      <c r="O14" s="2" t="inlineStr">
        <is>
          <t>Mock</t>
        </is>
      </c>
      <c r="P14" s="2" t="inlineStr">
        <is>
          <t>Pharma Plus เล่มม่วง</t>
        </is>
      </c>
    </row>
    <row r="15" ht="13.2" customHeight="1" s="49">
      <c r="A15" s="2" t="n">
        <v>18</v>
      </c>
      <c r="B15" s="2" t="inlineStr">
        <is>
          <t>จากข้อ 17 ในกรณีที่ รพ. มีงบประมาณที่จำกัด ควรเลือกยาใด เพราะอะไร</t>
        </is>
      </c>
      <c r="C15" s="2" t="n"/>
      <c r="D15" s="2" t="inlineStr">
        <is>
          <t>Enalapril เพราะต้นทุนต่ำกว่า captopril</t>
        </is>
      </c>
      <c r="E15" s="2" t="inlineStr">
        <is>
          <t>Enalapril เพราะ มี B/C ratio ต่ำกว่า มีความคุ้มค่าคุ้มทุนมากกว่า captopril</t>
        </is>
      </c>
      <c r="F15" s="2" t="inlineStr">
        <is>
          <t>Captopril มีประสิทธิภาพสูงกว่า</t>
        </is>
      </c>
      <c r="G15" s="2" t="inlineStr">
        <is>
          <t>Captopril เพราะมี B/C ratio สูงกว่า มีความคุ้มค่าคุ้มทุนมากกว่า enalapril</t>
        </is>
      </c>
      <c r="H15" s="2" t="inlineStr">
        <is>
          <t>ไม่มีข้อใดถูก</t>
        </is>
      </c>
      <c r="I15" s="2" t="n">
        <v>5</v>
      </c>
      <c r="J15" s="2"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2" t="n"/>
      <c r="L15" s="2" t="inlineStr">
        <is>
          <t>พ.ร.บ. ยา พ.ศ. 2510</t>
        </is>
      </c>
      <c r="M15" s="2" t="inlineStr">
        <is>
          <t>SAP</t>
        </is>
      </c>
      <c r="N15" s="2" t="inlineStr">
        <is>
          <t>ข้อ 18 Pharma Plus เล่มม่วง (เฉลยข้อ จ)</t>
        </is>
      </c>
      <c r="O15" s="2" t="inlineStr">
        <is>
          <t>Mock</t>
        </is>
      </c>
      <c r="P15" s="2" t="inlineStr">
        <is>
          <t>Pharma Plus เล่มม่วง</t>
        </is>
      </c>
    </row>
    <row r="16" ht="13.2" customHeight="1" s="49">
      <c r="A16" s="2" t="n">
        <v>19</v>
      </c>
      <c r="B16" s="2" t="inlineStr">
        <is>
          <t>หากต้องการโฆษณา simvastatin ข้อใดถูกต้อง</t>
        </is>
      </c>
      <c r="C16" s="2" t="n"/>
      <c r="D16" s="2" t="inlineStr">
        <is>
          <t>สามารถโฆษณากับผู้ประกอบโรคศิลป์ โดยไม่ต้องขออนุญาต</t>
        </is>
      </c>
      <c r="E16" s="2" t="inlineStr">
        <is>
          <t>สามารถโฆษณากับผู้ประกอบโรคศิลป์ โดยต้องขออนุญาต</t>
        </is>
      </c>
      <c r="F16" s="2" t="inlineStr">
        <is>
          <t>สามารถโฆษณากับแพทย์เฉพาะทางเท่านั้น โดยไม่ต้องขออนุญาตก่อน</t>
        </is>
      </c>
      <c r="G16" s="2" t="inlineStr">
        <is>
          <t>สามารถโฆษณากับแพทย์เฉพาะทางเท่านั้น โดยต้องขออนุญาตญาติก่อน</t>
        </is>
      </c>
      <c r="H16" s="2" t="inlineStr">
        <is>
          <t>ไม่สามารถโฆษณาได้</t>
        </is>
      </c>
      <c r="I16" s="2" t="n">
        <v>2</v>
      </c>
      <c r="J16" s="2"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2" t="n"/>
      <c r="L16" s="2" t="inlineStr">
        <is>
          <t>พ.ร.บ. ยา พ.ศ. 2510</t>
        </is>
      </c>
      <c r="M16" s="2" t="inlineStr">
        <is>
          <t>SAP</t>
        </is>
      </c>
      <c r="N16" s="2" t="inlineStr">
        <is>
          <t>ข้อ 19 Pharma Plus เล่มม่วง (เฉลยข้อ ข)</t>
        </is>
      </c>
      <c r="O16" s="2" t="inlineStr">
        <is>
          <t>Mock</t>
        </is>
      </c>
      <c r="P16" s="2" t="inlineStr">
        <is>
          <t>Pharma Plus เล่มม่วง</t>
        </is>
      </c>
    </row>
    <row r="17" ht="13.2" customHeight="1" s="49">
      <c r="A17" s="2" t="n">
        <v>20</v>
      </c>
      <c r="B17" s="2"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2" t="n"/>
      <c r="D17" s="2" t="inlineStr">
        <is>
          <t>Cost minimization analysis</t>
        </is>
      </c>
      <c r="E17" s="2" t="inlineStr">
        <is>
          <t>Cost effectiveness analysis</t>
        </is>
      </c>
      <c r="F17" s="2" t="inlineStr">
        <is>
          <t>Cost benefits analysis</t>
        </is>
      </c>
      <c r="G17" s="2" t="inlineStr">
        <is>
          <t>Cost utility analysis</t>
        </is>
      </c>
      <c r="H17" s="2" t="inlineStr">
        <is>
          <t>Cost outcome description</t>
        </is>
      </c>
      <c r="I17" s="2" t="n">
        <v>4</v>
      </c>
      <c r="J17" s="2"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2" t="n"/>
      <c r="L17" s="2" t="inlineStr">
        <is>
          <t>พ.ร.บ. ยา พ.ศ. 2510</t>
        </is>
      </c>
      <c r="M17" s="2" t="inlineStr">
        <is>
          <t>SAP</t>
        </is>
      </c>
      <c r="N17" s="2" t="inlineStr">
        <is>
          <t>ข้อ 20 Pharma Plus เล่มม่วง (เฉลยข้อ ง)</t>
        </is>
      </c>
      <c r="O17" s="2" t="inlineStr">
        <is>
          <t>Mock</t>
        </is>
      </c>
      <c r="P17" s="2" t="inlineStr">
        <is>
          <t>Pharma Plus เล่มม่วง</t>
        </is>
      </c>
    </row>
    <row r="18" ht="13.2" customHeight="1" s="49">
      <c r="A18" s="2" t="n">
        <v>21</v>
      </c>
      <c r="B18" s="2"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2" t="n"/>
      <c r="D18" s="2" t="inlineStr">
        <is>
          <t>ยานี้ผลิตในประเทศไทย ได้รับอนุญาตทะเบียนยาในปี พ.ศ.2545</t>
        </is>
      </c>
      <c r="E18" s="2" t="inlineStr">
        <is>
          <t>ยานี้ผลิตในประเทศไทย เมื่อวันที่ 8 ก.พ. 2545</t>
        </is>
      </c>
      <c r="F18" s="2" t="inlineStr">
        <is>
          <t>ยานี้ผลิตในประเทศไทยและจะหมดอายุในวันที่ 8 ก.พ. 2545</t>
        </is>
      </c>
      <c r="G18" s="2" t="inlineStr">
        <is>
          <t>ยานำเข้ามาจากต่างประเทศ ได้รับอนุญาตทะเบียนยาในปี พ.ศ.2545</t>
        </is>
      </c>
      <c r="H18" s="2" t="inlineStr">
        <is>
          <t>ยานำเข้ามาจากต่างประเทศ และผลิตเมื่อวันที่ 8 ก.พ. 2545</t>
        </is>
      </c>
      <c r="I18" s="2" t="n">
        <v>4</v>
      </c>
      <c r="J18" s="2"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2" t="n"/>
      <c r="L18" s="2" t="inlineStr">
        <is>
          <t>พ.ร.บ. ยา พ.ศ. 2510</t>
        </is>
      </c>
      <c r="M18" s="2" t="inlineStr">
        <is>
          <t>SAP</t>
        </is>
      </c>
      <c r="N18" s="2" t="inlineStr">
        <is>
          <t>ข้อ 21 Pharma Plus เล่มม่วง (เฉลยข้อ ง)</t>
        </is>
      </c>
      <c r="O18" s="2" t="inlineStr">
        <is>
          <t>Mock</t>
        </is>
      </c>
      <c r="P18" s="2" t="inlineStr">
        <is>
          <t>Pharma Plus เล่มม่วง</t>
        </is>
      </c>
    </row>
    <row r="19" ht="13.2" customHeight="1" s="49">
      <c r="A19" s="2" t="n">
        <v>22</v>
      </c>
      <c r="B19" s="2" t="inlineStr">
        <is>
          <t>ยาทาครีม isotretinoin 0.05% จัดเป็นยาประเภทใดตามพ.ร.บ.ยา</t>
        </is>
      </c>
      <c r="C19" s="2" t="n"/>
      <c r="D19" s="2" t="inlineStr">
        <is>
          <t>ยาใช้ภายนอกที่ไม่ใช่ยาอันตราย</t>
        </is>
      </c>
      <c r="E19" s="2" t="inlineStr">
        <is>
          <t>ยาใช้ภายนอกและยาอันตราย</t>
        </is>
      </c>
      <c r="F19" s="2" t="inlineStr">
        <is>
          <t>ยาใช้ภายนอกและยาควบคุมพิเศษ</t>
        </is>
      </c>
      <c r="G19" s="2" t="inlineStr">
        <is>
          <t>ยาใช้เฉพาะที่และยาอันตราย</t>
        </is>
      </c>
      <c r="H19" s="2" t="inlineStr">
        <is>
          <t>ยาใช้เฉพาะที่และยาควบคุมพิเศษ</t>
        </is>
      </c>
      <c r="I19" s="2" t="n">
        <v>2</v>
      </c>
      <c r="J19" s="2"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พ.ร.บ. ยา พ.ศ. 2510</t>
        </is>
      </c>
      <c r="M19" s="2" t="inlineStr">
        <is>
          <t>SAP</t>
        </is>
      </c>
      <c r="N19" s="2" t="inlineStr">
        <is>
          <t>ข้อ 22 Pharma Plus เล่มม่วง (เฉลยข้อ ข)</t>
        </is>
      </c>
      <c r="O19" s="2" t="inlineStr">
        <is>
          <t>Mock</t>
        </is>
      </c>
      <c r="P19" s="2" t="inlineStr">
        <is>
          <t>Pharma Plus เล่มม่วง</t>
        </is>
      </c>
    </row>
    <row r="20" ht="13.2" customHeight="1" s="49">
      <c r="A20" s="2" t="n">
        <v>23</v>
      </c>
      <c r="B20" s="2" t="inlineStr">
        <is>
          <t>Baby aspirin จัดเป็นยาประเภทใด</t>
        </is>
      </c>
      <c r="C20" s="2" t="n"/>
      <c r="D20" s="2" t="inlineStr">
        <is>
          <t>ยาสามัญประจำบ้าน</t>
        </is>
      </c>
      <c r="E20" s="2" t="inlineStr">
        <is>
          <t>ยาควบคุมพิเศษ</t>
        </is>
      </c>
      <c r="F20" s="2" t="inlineStr">
        <is>
          <t>ยาอันตราย</t>
        </is>
      </c>
      <c r="G20" s="2" t="inlineStr">
        <is>
          <t>ยาเสพติดให้โทษ</t>
        </is>
      </c>
      <c r="H20" s="2" t="inlineStr">
        <is>
          <t>วัตถุออกฤทธิ์ต่อจิตประสาท</t>
        </is>
      </c>
      <c r="I20" s="2" t="n">
        <v>2</v>
      </c>
      <c r="J20"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2" t="n"/>
      <c r="L20" s="2" t="inlineStr">
        <is>
          <t>พ.ร.บ. ยา พ.ศ. 2510</t>
        </is>
      </c>
      <c r="M20" s="2" t="inlineStr">
        <is>
          <t>SAP</t>
        </is>
      </c>
      <c r="N20" s="2" t="inlineStr">
        <is>
          <t>ข้อ 23 Pharma Plus เล่มม่วง (เฉลยข้อ ข)</t>
        </is>
      </c>
      <c r="O20" s="2" t="inlineStr">
        <is>
          <t>Mock</t>
        </is>
      </c>
      <c r="P20" s="2" t="inlineStr">
        <is>
          <t>Pharma Plus เล่มม่วง</t>
        </is>
      </c>
    </row>
    <row r="21" ht="13.2" customHeight="1" s="49">
      <c r="A21" s="2" t="n">
        <v>24</v>
      </c>
      <c r="B21" s="2"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2" t="n"/>
      <c r="D21" s="2" t="inlineStr">
        <is>
          <t>ผิดจรรยาบรรณแห่งวิชาชีพ</t>
        </is>
      </c>
      <c r="E21" s="2" t="inlineStr">
        <is>
          <t>ผิดกฎหมายยา</t>
        </is>
      </c>
      <c r="F21" s="2" t="inlineStr">
        <is>
          <t>ละเมิดสิทธิ์ของผู้ป่วย</t>
        </is>
      </c>
      <c r="G21" s="2" t="inlineStr">
        <is>
          <t>ผิดข้อบังคับสภาว่าด้วยข้อจำกัดและเงื่อนไขการปฏิบัติหน้าที่</t>
        </is>
      </c>
      <c r="H21" s="2" t="inlineStr">
        <is>
          <t>ไม่ทำตามประกาศเรื่องการเลือกสรร</t>
        </is>
      </c>
      <c r="I21" s="2" t="n">
        <v>1</v>
      </c>
      <c r="J21" s="2"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พ.ร.บ. ยา พ.ศ. 2510</t>
        </is>
      </c>
      <c r="M21" s="2" t="inlineStr">
        <is>
          <t>SAP</t>
        </is>
      </c>
      <c r="N21" s="2" t="inlineStr">
        <is>
          <t>ข้อ 24 Pharma Plus เล่มม่วง (เฉลยข้อ ก)</t>
        </is>
      </c>
      <c r="O21" s="2" t="inlineStr">
        <is>
          <t>Mock</t>
        </is>
      </c>
      <c r="P21" s="2" t="inlineStr">
        <is>
          <t>Pharma Plus เล่มม่วง</t>
        </is>
      </c>
    </row>
    <row r="22" ht="13.2" customHeight="1" s="49">
      <c r="A22" s="2" t="n">
        <v>25</v>
      </c>
      <c r="B22" s="2" t="inlineStr">
        <is>
          <t>ข้อใดถูกต้องเกี่ยวกับยา fluoxetine</t>
        </is>
      </c>
      <c r="C22" s="2" t="n"/>
      <c r="D22" s="2" t="inlineStr">
        <is>
          <t>จัดอยู่ในประเภทยาอันตราย เภสัชกรสามารถจ่ายได้ในร้านยา</t>
        </is>
      </c>
      <c r="E22" s="2" t="inlineStr">
        <is>
          <t>จัดอยู่ในประเภทยาควบคุมพิเศษ เภสัชกรไม่สามารถจ่ายได้</t>
        </is>
      </c>
      <c r="F22" s="2" t="inlineStr">
        <is>
          <t>จัดอยู่ในประเภทยาอันตราย จ่ายได้ในเฉพาะโรงพยาบาล</t>
        </is>
      </c>
      <c r="G22" s="2" t="inlineStr">
        <is>
          <t>จัดอยู่ในประเภทยาเสพติดให้โทษประเภท 2 ต้องทำบัญชีรายงาน อย.</t>
        </is>
      </c>
      <c r="H22" s="2" t="inlineStr">
        <is>
          <t>จัดอยู่ในประเภทยาวัตถุออกฤทธิ์ต่อจิตประสาท</t>
        </is>
      </c>
      <c r="I22" s="2" t="n">
        <v>1</v>
      </c>
      <c r="J22" s="2"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2" t="n"/>
      <c r="L22" s="2" t="inlineStr">
        <is>
          <t>พ.ร.บ. ยาเสพติดให้โทษ &amp; วัตถุออกฤทธิ์</t>
        </is>
      </c>
      <c r="M22" s="2" t="inlineStr">
        <is>
          <t>SAP</t>
        </is>
      </c>
      <c r="N22" s="2" t="inlineStr">
        <is>
          <t>ข้อ 25 Pharma Plus เล่มม่วง (เฉลยข้อ ก)</t>
        </is>
      </c>
      <c r="O22" s="2" t="inlineStr">
        <is>
          <t>Mock</t>
        </is>
      </c>
      <c r="P22" s="2" t="inlineStr">
        <is>
          <t>Pharma Plus เล่มม่วง</t>
        </is>
      </c>
    </row>
    <row r="23" ht="13.2" customHeight="1" s="49">
      <c r="A23" s="2" t="n">
        <v>26</v>
      </c>
      <c r="B23" s="2" t="inlineStr">
        <is>
          <t>ยาที่ใช้ในการรักษาโรคหืดชนิดใด ซึ่งตามกฎหมายจัดเป็นยาควบคุมพิเศษ</t>
        </is>
      </c>
      <c r="C23" s="2" t="n"/>
      <c r="D23" s="2" t="inlineStr">
        <is>
          <t>Turbutaline (2.5mg/tab)</t>
        </is>
      </c>
      <c r="E23" s="2" t="inlineStr">
        <is>
          <t>Prednisolone (5mg/tab)</t>
        </is>
      </c>
      <c r="F23" s="2" t="inlineStr">
        <is>
          <t>Inhaled fermoterol (4.5 mcg/dose)</t>
        </is>
      </c>
      <c r="G23" s="2" t="inlineStr">
        <is>
          <t>Inhaled beclomethasone</t>
        </is>
      </c>
      <c r="H23" s="2" t="inlineStr">
        <is>
          <t>Theophylline (200 mg sustained-release)</t>
        </is>
      </c>
      <c r="I23" s="2" t="n">
        <v>2</v>
      </c>
      <c r="J23" s="2"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พ.ร.บ. ยา พ.ศ. 2510</t>
        </is>
      </c>
      <c r="M23" s="2" t="inlineStr">
        <is>
          <t>SAP</t>
        </is>
      </c>
      <c r="N23" s="2" t="inlineStr">
        <is>
          <t>ข้อ 26 Pharma Plus เล่มม่วง (เฉลยข้อ ข)</t>
        </is>
      </c>
      <c r="O23" s="2" t="inlineStr">
        <is>
          <t>Mock</t>
        </is>
      </c>
      <c r="P23" s="2" t="inlineStr">
        <is>
          <t>Pharma Plus เล่มม่วง</t>
        </is>
      </c>
    </row>
    <row r="24" ht="13.2" customHeight="1" s="49">
      <c r="A24" s="2" t="n">
        <v>27</v>
      </c>
      <c r="B24" s="2"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2" t="n"/>
      <c r="D24" s="2" t="inlineStr">
        <is>
          <t>เนื่องจากจัดเป็นยาควบคุมพิเศษ</t>
        </is>
      </c>
      <c r="E24" s="2" t="inlineStr">
        <is>
          <t>เนื่องจากจัดเป็นยาที่ลงทะเบียนแบบมีเงื่อนไขต้องติดตามการใช้ในโรงพยาบาล</t>
        </is>
      </c>
      <c r="F24" s="2" t="inlineStr">
        <is>
          <t>เนื่องจากจัดเป็นยาเสพติดให้โทษ ประเภทที่ 2</t>
        </is>
      </c>
      <c r="G24" s="2" t="inlineStr">
        <is>
          <t>เนื่องจากจัดเป็นวัตถุออกฤทธิ์ต่อจิตประสาทประเภทที่ 2</t>
        </is>
      </c>
      <c r="H24" s="2" t="inlineStr">
        <is>
          <t>เนื่องจากจัดเป็นยาอันตราย</t>
        </is>
      </c>
      <c r="I24" s="2" t="n">
        <v>4</v>
      </c>
      <c r="J24" s="2"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2" t="n"/>
      <c r="L24" s="2" t="inlineStr">
        <is>
          <t>พ.ร.บ. ยา พ.ศ. 2510</t>
        </is>
      </c>
      <c r="M24" s="2" t="inlineStr">
        <is>
          <t>SAP</t>
        </is>
      </c>
      <c r="N24" s="2" t="inlineStr">
        <is>
          <t>ข้อ 27 Pharma Plus เล่มม่วง (เฉลยข้อ ง)</t>
        </is>
      </c>
      <c r="O24" s="2" t="inlineStr">
        <is>
          <t>Mock</t>
        </is>
      </c>
      <c r="P24" s="2" t="inlineStr">
        <is>
          <t>Pharma Plus เล่มม่วง</t>
        </is>
      </c>
    </row>
    <row r="25" ht="13.2" customHeight="1" s="49">
      <c r="A25" s="2" t="n">
        <v>28</v>
      </c>
      <c r="B25" s="2"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2" t="n"/>
      <c r="D25" s="2" t="inlineStr">
        <is>
          <t>ยาแก้ไอ้น้ำดำ องค์การเภสัช ขนาด 60 ml</t>
        </is>
      </c>
      <c r="E25" s="2" t="inlineStr">
        <is>
          <t>ยาแก้ไอ้น้ำดำ องค์การเภสัช ขนาด 120 ml</t>
        </is>
      </c>
      <c r="F25" s="2" t="inlineStr">
        <is>
          <t>Cofeed (Diphenhydramine and ammonium chloride)</t>
        </is>
      </c>
      <c r="G25" s="2" t="inlineStr">
        <is>
          <t>Terco-D (Dextromethorphan and terpin hydrate)</t>
        </is>
      </c>
      <c r="H25" s="2" t="inlineStr">
        <is>
          <t>Godipect (Codeine phosphate and glycerylguaicolate)</t>
        </is>
      </c>
      <c r="I25" s="2" t="n">
        <v>1</v>
      </c>
      <c r="J25" s="2"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พ.ร.บ. ยา พ.ศ. 2510</t>
        </is>
      </c>
      <c r="M25" s="2" t="inlineStr">
        <is>
          <t>SAP</t>
        </is>
      </c>
      <c r="N25" s="2" t="inlineStr">
        <is>
          <t>ข้อ 28 Pharma Plus เล่มม่วง (เฉลยข้อ ก ค ง)</t>
        </is>
      </c>
      <c r="O25" s="2" t="inlineStr">
        <is>
          <t>Mock</t>
        </is>
      </c>
      <c r="P25" s="2" t="inlineStr">
        <is>
          <t>Pharma Plus เล่มม่วง</t>
        </is>
      </c>
    </row>
    <row r="26" ht="13.2" customHeight="1" s="49">
      <c r="A26" s="2" t="n">
        <v>29</v>
      </c>
      <c r="B26" s="2" t="inlineStr">
        <is>
          <t>ตาม พ.ร.บ.ยา พ.ศ. 2510 ยารับประทานคุมกำเนิดอยู่ในข้อใด
ยารับประทานคุมกำเนิดอยู่ในข้อใด</t>
        </is>
      </c>
      <c r="C26" s="2" t="n"/>
      <c r="D26" s="2" t="inlineStr">
        <is>
          <t>ยาที่จ่ายตามใบสั่งแพทย์เท่านั้น</t>
        </is>
      </c>
      <c r="E26" s="2" t="inlineStr">
        <is>
          <t>ยาที่จ่ายได้โดยเภสัชกร</t>
        </is>
      </c>
      <c r="F26" s="2" t="inlineStr">
        <is>
          <t>ยาที่จ่ายได้ในร้านยาแผนปัจจุบันบรรจุเสร็จ</t>
        </is>
      </c>
      <c r="G26" s="2" t="inlineStr">
        <is>
          <t>ยาประเภท over the counter (OTC)</t>
        </is>
      </c>
      <c r="H26" s="2" t="inlineStr">
        <is>
          <t>ยาควบคุมพิเศษ</t>
        </is>
      </c>
      <c r="I26" s="2" t="n">
        <v>2</v>
      </c>
      <c r="J26" s="2"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พ.ร.บ. ยา พ.ศ. 2510</t>
        </is>
      </c>
      <c r="M26" s="2" t="inlineStr">
        <is>
          <t>SAP</t>
        </is>
      </c>
      <c r="N26" s="2" t="inlineStr">
        <is>
          <t>ข้อ 29 Pharma Plus เล่มม่วง (เฉลยข้อ ข ค)</t>
        </is>
      </c>
      <c r="O26" s="2" t="inlineStr">
        <is>
          <t>Mock</t>
        </is>
      </c>
      <c r="P26" s="2" t="inlineStr">
        <is>
          <t>Pharma Plus เล่มม่วง</t>
        </is>
      </c>
    </row>
    <row r="27" ht="13.2" customHeight="1" s="49">
      <c r="A27" s="2" t="n">
        <v>32</v>
      </c>
      <c r="B27" s="2"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2" t="n"/>
      <c r="D27" s="2" t="inlineStr">
        <is>
          <t>ชื่อยา</t>
        </is>
      </c>
      <c r="E27" s="2" t="inlineStr">
        <is>
          <t>สารออกฤทธิ์</t>
        </is>
      </c>
      <c r="F27" s="2" t="inlineStr">
        <is>
          <t>ที่ตั้งสถานที่ผลิตยา</t>
        </is>
      </c>
      <c r="G27" s="2" t="inlineStr">
        <is>
          <t>วันเดือนปีที่ยาสิ้นอายุ</t>
        </is>
      </c>
      <c r="H27" s="2" t="inlineStr">
        <is>
          <t>เลขที่ทะเบียนโฆษณายา</t>
        </is>
      </c>
      <c r="I27" s="2" t="n">
        <v>5</v>
      </c>
      <c r="J27" s="2"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พ.ร.บ. ยา พ.ศ. 2510</t>
        </is>
      </c>
      <c r="M27" s="2" t="inlineStr">
        <is>
          <t>SAP</t>
        </is>
      </c>
      <c r="N27" s="2" t="inlineStr">
        <is>
          <t>ข้อ 32 Pharma Plus เล่มม่วง (เฉลยข้อ จ)</t>
        </is>
      </c>
      <c r="O27" s="2" t="inlineStr">
        <is>
          <t>Mock</t>
        </is>
      </c>
      <c r="P27" s="2" t="inlineStr">
        <is>
          <t>Pharma Plus เล่มม่วง</t>
        </is>
      </c>
    </row>
    <row r="28" ht="13.2" customHeight="1" s="49">
      <c r="A28" s="2" t="n">
        <v>33</v>
      </c>
      <c r="B28" s="2"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2" t="n"/>
      <c r="D28" s="2" t="inlineStr">
        <is>
          <t>ยาปลอม</t>
        </is>
      </c>
      <c r="E28" s="2" t="inlineStr">
        <is>
          <t>ยาแปรสภาพ</t>
        </is>
      </c>
      <c r="F28" s="2" t="inlineStr">
        <is>
          <t>ยาผิดมาตรฐาน</t>
        </is>
      </c>
      <c r="G28" s="2" t="inlineStr">
        <is>
          <t>ยาเสื่อมคุณภาพ</t>
        </is>
      </c>
      <c r="H28" s="2" t="inlineStr">
        <is>
          <t>ยาเทียม</t>
        </is>
      </c>
      <c r="I28" s="2" t="n">
        <v>3</v>
      </c>
      <c r="J28" s="2"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พ.ร.บ. ยา พ.ศ. 2510</t>
        </is>
      </c>
      <c r="M28" s="2" t="inlineStr">
        <is>
          <t>SAP</t>
        </is>
      </c>
      <c r="N28" s="2" t="inlineStr">
        <is>
          <t>ข้อ 33 Pharma Plus เล่มม่วง (เฉลยข้อ ค)</t>
        </is>
      </c>
      <c r="O28" s="2" t="inlineStr">
        <is>
          <t>Mock</t>
        </is>
      </c>
      <c r="P28" s="2" t="inlineStr">
        <is>
          <t>Pharma Plus เล่มม่วง</t>
        </is>
      </c>
    </row>
    <row r="29" ht="13.2" customHeight="1" s="49">
      <c r="A29" s="2" t="n">
        <v>34</v>
      </c>
      <c r="B29" s="2" t="inlineStr">
        <is>
          <t>หากเภสัชกรยังไม่ได้เป็นผู้ประกอบวิชาชีพเภสัชกรรม ข้อใดกล่าวถูกต้อง</t>
        </is>
      </c>
      <c r="C29" s="2" t="n"/>
      <c r="D29" s="2" t="inlineStr">
        <is>
          <t>เขาจะไม่สามารถพัฒนาตำรับ triamcinolone lotion นี้ขึ้นมาได้</t>
        </is>
      </c>
      <c r="E29" s="2" t="inlineStr">
        <is>
          <t>เขาจะไม่สามารถเป็นเจ้าของโรงงานผลิต triamcinolone lotion นี้ขึ้นมาได้</t>
        </is>
      </c>
      <c r="F29" s="2" t="inlineStr">
        <is>
          <t>เขาจะไม่สามารถระบุชื่อว่าเป็นผู้พัฒนา triamcinolone lotion ตำรับได้</t>
        </is>
      </c>
      <c r="G29" s="2" t="inlineStr">
        <is>
          <t>เขาจะไม่สามารถทำหน้าที่เป็นเภสัชกรควบคุมการผลิต triamcinolone lotion นี้ขึ้นมาได้</t>
        </is>
      </c>
      <c r="H29" s="2" t="inlineStr">
        <is>
          <t>เขาจะไม่สามารถทำหน้าที่เป็นผู้เดินเรื่องขึ้นทะเบียนตำรับนี้</t>
        </is>
      </c>
      <c r="I29" s="2" t="n">
        <v>4</v>
      </c>
      <c r="J29" s="2"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พ.ร.บ. ยา พ.ศ. 2510</t>
        </is>
      </c>
      <c r="M29" s="2" t="inlineStr">
        <is>
          <t>SAP</t>
        </is>
      </c>
      <c r="N29" s="2" t="inlineStr">
        <is>
          <t>ข้อ 34 Pharma Plus เล่มม่วง (เฉลยข้อ ง)</t>
        </is>
      </c>
      <c r="O29" s="2" t="inlineStr">
        <is>
          <t>Mock</t>
        </is>
      </c>
      <c r="P29" s="2" t="inlineStr">
        <is>
          <t>Pharma Plus เล่มม่วง</t>
        </is>
      </c>
    </row>
    <row r="30" ht="13.2" customHeight="1" s="49">
      <c r="A30" s="2" t="n">
        <v>35</v>
      </c>
      <c r="B30" s="2" t="inlineStr">
        <is>
          <t>เจ้าของโรงงานผลิต triamcinolone cream 0.1% จำหน่ายในขนาดบรรจุ 15 g จัดเป็นยาพวกใด</t>
        </is>
      </c>
      <c r="C30" s="2" t="n"/>
      <c r="D30" s="2" t="inlineStr">
        <is>
          <t>ยาอันตราย</t>
        </is>
      </c>
      <c r="E30" s="2" t="inlineStr">
        <is>
          <t>ยาควบคุมพิเศษ</t>
        </is>
      </c>
      <c r="F30" s="2" t="inlineStr">
        <is>
          <t>ยาสามัญประจำบ้าน</t>
        </is>
      </c>
      <c r="G30" s="2" t="inlineStr">
        <is>
          <t>ยาแผนปัจจุบันบรรจุเสร็จ</t>
        </is>
      </c>
      <c r="H30" s="2" t="inlineStr">
        <is>
          <t>ยาใช้ภายนอกที่ไม่ใช่ยาอันตราย</t>
        </is>
      </c>
      <c r="I30" s="2" t="n">
        <v>1</v>
      </c>
      <c r="J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พ.ร.บ. ยา พ.ศ. 2510</t>
        </is>
      </c>
      <c r="M30" s="2" t="inlineStr">
        <is>
          <t>SAP</t>
        </is>
      </c>
      <c r="N30" s="2" t="inlineStr">
        <is>
          <t>ข้อ 35 Pharma Plus เล่มม่วง (เฉลยข้อ ก)</t>
        </is>
      </c>
      <c r="O30" s="2" t="inlineStr">
        <is>
          <t>Mock</t>
        </is>
      </c>
      <c r="P30" s="2" t="inlineStr">
        <is>
          <t>Pharma Plus เล่มม่วง</t>
        </is>
      </c>
    </row>
    <row r="31" ht="13.2" customHeight="1" s="49">
      <c r="A31" s="2" t="n">
        <v>36</v>
      </c>
      <c r="B31" s="2" t="inlineStr">
        <is>
          <t>ยาตาข้อใดต่อไปนี้ เป็นยาสามัญประจำบ้าน</t>
        </is>
      </c>
      <c r="C31" s="2" t="n"/>
      <c r="D31" s="2" t="inlineStr">
        <is>
          <t>Diclofenac ED</t>
        </is>
      </c>
      <c r="E31" s="2" t="inlineStr">
        <is>
          <t>Chloramphenicol eye ointment</t>
        </is>
      </c>
      <c r="F31" s="2" t="inlineStr">
        <is>
          <t>Timolol ED</t>
        </is>
      </c>
      <c r="G31" s="2" t="inlineStr">
        <is>
          <t>Dexamethasone ED</t>
        </is>
      </c>
      <c r="H31" s="2" t="inlineStr">
        <is>
          <t>Tetracycline eye ointment</t>
        </is>
      </c>
      <c r="I31" s="2" t="n">
        <v>1</v>
      </c>
      <c r="J31" s="2"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พ.ร.บ. ยา พ.ศ. 2510</t>
        </is>
      </c>
      <c r="M31" s="2" t="inlineStr">
        <is>
          <t>SAP</t>
        </is>
      </c>
      <c r="N31" s="2" t="inlineStr">
        <is>
          <t>ข้อ 36 Pharma Plus เล่มม่วง (เฉลยข้อ ไมมีคำตอบ)</t>
        </is>
      </c>
      <c r="O31" s="2" t="inlineStr">
        <is>
          <t>Mock</t>
        </is>
      </c>
      <c r="P31" s="2" t="inlineStr">
        <is>
          <t>Pharma Plus เล่มม่วง</t>
        </is>
      </c>
    </row>
    <row r="32" ht="13.2" customHeight="1" s="49">
      <c r="A32" s="2" t="n">
        <v>37</v>
      </c>
      <c r="B32" s="2"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2" t="n"/>
      <c r="D32" s="2" t="inlineStr">
        <is>
          <t>ยาปลอม</t>
        </is>
      </c>
      <c r="E32" s="2" t="inlineStr">
        <is>
          <t>ยาสิ้นอายุ</t>
        </is>
      </c>
      <c r="F32" s="2" t="inlineStr">
        <is>
          <t>ยาเสื่อมคุณภาพ</t>
        </is>
      </c>
      <c r="G32" s="2" t="inlineStr">
        <is>
          <t>ยาผิดมาตรฐาน</t>
        </is>
      </c>
      <c r="H32" s="2" t="inlineStr">
        <is>
          <t>ยาต่ำกว่ามาตรฐาน</t>
        </is>
      </c>
      <c r="I32" s="2" t="n">
        <v>1</v>
      </c>
      <c r="J32"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พ.ร.บ. ยา พ.ศ. 2510</t>
        </is>
      </c>
      <c r="M32" s="2" t="inlineStr">
        <is>
          <t>SAP</t>
        </is>
      </c>
      <c r="N32" s="2" t="inlineStr">
        <is>
          <t>ข้อ 37 Pharma Plus เล่มม่วง (เฉลยข้อ ก)</t>
        </is>
      </c>
      <c r="O32" s="2" t="inlineStr">
        <is>
          <t>Mock</t>
        </is>
      </c>
      <c r="P32" s="2" t="inlineStr">
        <is>
          <t>Pharma Plus เล่มม่วง</t>
        </is>
      </c>
    </row>
    <row r="33" ht="13.2" customHeight="1" s="49">
      <c r="A33" s="2" t="n">
        <v>38</v>
      </c>
      <c r="B33" s="2" t="inlineStr">
        <is>
          <t>ยาในข้อใดที่เภสัชกรสามารถจ่ายได้เมื่อได้รับใบสั่งยาจากแพทย์เท่านั้น</t>
        </is>
      </c>
      <c r="C33" s="2" t="n"/>
      <c r="D33" s="2" t="inlineStr">
        <is>
          <t>Celecoxib</t>
        </is>
      </c>
      <c r="E33" s="2" t="inlineStr">
        <is>
          <t>Tramadol</t>
        </is>
      </c>
      <c r="F33" s="2" t="inlineStr">
        <is>
          <t>Meloxicam</t>
        </is>
      </c>
      <c r="G33" s="2" t="inlineStr">
        <is>
          <t>Prednisolone</t>
        </is>
      </c>
      <c r="H33" s="2" t="inlineStr">
        <is>
          <t>Indomethacin</t>
        </is>
      </c>
      <c r="I33" s="2" t="n">
        <v>4</v>
      </c>
      <c r="J33" s="2"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พ.ร.บ. ยา พ.ศ. 2510</t>
        </is>
      </c>
      <c r="M33" s="2" t="inlineStr">
        <is>
          <t>SAP</t>
        </is>
      </c>
      <c r="N33" s="2" t="inlineStr">
        <is>
          <t>ข้อ 38 Pharma Plus เล่มม่วง (เฉลยข้อ ง)</t>
        </is>
      </c>
      <c r="O33" s="2" t="inlineStr">
        <is>
          <t>Mock</t>
        </is>
      </c>
      <c r="P33" s="2" t="inlineStr">
        <is>
          <t>Pharma Plus เล่มม่วง</t>
        </is>
      </c>
    </row>
    <row r="34" ht="13.2" customHeight="1" s="49">
      <c r="A34" s="2" t="n">
        <v>39</v>
      </c>
      <c r="B34" s="2" t="inlineStr">
        <is>
          <t>ถ้าเภสัชกรจ่ายยาในข้อ 38 โดยไม่มีใบสั่งแพทย์จะมีความผิดในข้อใด</t>
        </is>
      </c>
      <c r="C34" s="2" t="n"/>
      <c r="D34" s="2" t="inlineStr">
        <is>
          <t>จ่ายยาควบคุมพิเศษโดยไม่มีใบสั่งยา</t>
        </is>
      </c>
      <c r="E34" s="2" t="inlineStr">
        <is>
          <t>จ่ายยาอันตรายโดยไม่มีใบสั่งยา</t>
        </is>
      </c>
      <c r="F34" s="2" t="inlineStr">
        <is>
          <t>จ่ายยาประเภทวัตถุออกฤทธิ์ต่อจิตประสาทโดยไม่มีใบสั่งยา</t>
        </is>
      </c>
      <c r="G34" s="2" t="inlineStr">
        <is>
          <t>จ่ายยาประเภทยาเสพติดให้โทษประเภท 2 โดยไม่มีใบสั่งยา</t>
        </is>
      </c>
      <c r="H34" s="2" t="inlineStr">
        <is>
          <t>จ่ายยาประเภทยาเสพติดให้โทษประเภท 3 โดยไม่มีใบสั่งยา</t>
        </is>
      </c>
      <c r="I34" s="2" t="n">
        <v>1</v>
      </c>
      <c r="J34" s="2"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พ.ร.บ. ยาเสพติดให้โทษ &amp; วัตถุออกฤทธิ์</t>
        </is>
      </c>
      <c r="M34" s="2" t="inlineStr">
        <is>
          <t>SAP</t>
        </is>
      </c>
      <c r="N34" s="2" t="inlineStr">
        <is>
          <t>ข้อ 39 Pharma Plus เล่มม่วง (เฉลยข้อ ก)</t>
        </is>
      </c>
      <c r="O34" s="2" t="inlineStr">
        <is>
          <t>Mock</t>
        </is>
      </c>
      <c r="P34" s="2" t="inlineStr">
        <is>
          <t>Pharma Plus เล่มม่วง</t>
        </is>
      </c>
    </row>
    <row r="35" ht="13.2" customHeight="1" s="49">
      <c r="A35" s="2" t="n">
        <v>46</v>
      </c>
      <c r="B35" s="2" t="inlineStr">
        <is>
          <t>ผงน้ำตาลเกลือแร่จัดเป็นยาประเภทใด</t>
        </is>
      </c>
      <c r="C35" s="2" t="n"/>
      <c r="D35" s="2" t="inlineStr">
        <is>
          <t>ยาบรรจุเสร็จที่ไม่ใช่ยาอันตราย</t>
        </is>
      </c>
      <c r="E35" s="2" t="inlineStr">
        <is>
          <t>ยาสามัญประจำบ้าน</t>
        </is>
      </c>
      <c r="F35" s="2" t="inlineStr">
        <is>
          <t>ยาอันตราย</t>
        </is>
      </c>
      <c r="G35" s="2" t="inlineStr">
        <is>
          <t>ยาควบคุมพิเศษ</t>
        </is>
      </c>
      <c r="H35" s="2" t="inlineStr">
        <is>
          <t>ยาแผนโบราณ</t>
        </is>
      </c>
      <c r="I35" s="2" t="n">
        <v>2</v>
      </c>
      <c r="J35" s="2"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พ.ร.บ. ยา พ.ศ. 2510</t>
        </is>
      </c>
      <c r="M35" s="2" t="inlineStr">
        <is>
          <t>SAP</t>
        </is>
      </c>
      <c r="N35" s="2" t="inlineStr">
        <is>
          <t>ข้อ 46 Pharma Plus เล่มม่วง (เฉลยข้อ ข)</t>
        </is>
      </c>
      <c r="O35" s="2" t="inlineStr">
        <is>
          <t>Mock</t>
        </is>
      </c>
      <c r="P35" s="2" t="inlineStr">
        <is>
          <t>Pharma Plus เล่มม่วง</t>
        </is>
      </c>
    </row>
    <row r="36" ht="13.2" customHeight="1" s="49">
      <c r="A36" s="2" t="n">
        <v>47</v>
      </c>
      <c r="B36" s="2" t="inlineStr">
        <is>
          <t>ตารางแสดงการเกิด MI ในผู้ป่วยที่ใช้ยา atorvastatin และ simvastatin
ข้อใดถูก</t>
        </is>
      </c>
      <c r="C36" s="2" t="n"/>
      <c r="D36" s="2" t="inlineStr">
        <is>
          <t>เป็นประชากรที่เกิด MI ทั้งเก่าและใหม่</t>
        </is>
      </c>
      <c r="E36" s="2" t="inlineStr">
        <is>
          <t>Atorvastatin เกิด MI ต่ำกว่า simvastatin</t>
        </is>
      </c>
      <c r="F36" s="2" t="inlineStr">
        <is>
          <t>Simvastatin ลดการเกิด MI ก่อนถึง 100 ปี</t>
        </is>
      </c>
      <c r="G36" s="2" t="inlineStr">
        <is>
          <t>Simvastatin เกิด MI ต่ำกว่า atorvastatin</t>
        </is>
      </c>
      <c r="H36" s="2" t="inlineStr">
        <is>
          <t>ไม่มีข้อใดถูก</t>
        </is>
      </c>
      <c r="I36" s="2" t="n">
        <v>2</v>
      </c>
      <c r="J36" s="2"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พ.ร.บ. ยา พ.ศ. 2510</t>
        </is>
      </c>
      <c r="M36" s="2" t="inlineStr">
        <is>
          <t>SAP</t>
        </is>
      </c>
      <c r="N36" s="2" t="inlineStr">
        <is>
          <t>ข้อ 47 Pharma Plus เล่มม่วง (เฉลยข้อ ข)</t>
        </is>
      </c>
      <c r="O36" s="2" t="inlineStr">
        <is>
          <t>Mock</t>
        </is>
      </c>
      <c r="P36" s="2" t="inlineStr">
        <is>
          <t>Pharma Plus เล่มม่วง</t>
        </is>
      </c>
    </row>
    <row r="37" ht="13.2" customHeight="1" s="49">
      <c r="A37" s="2" t="n">
        <v>48</v>
      </c>
      <c r="B37" s="2"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2" t="n"/>
      <c r="D37" s="2" t="inlineStr">
        <is>
          <t>ลิขสิทธิ์</t>
        </is>
      </c>
      <c r="E37" s="2" t="inlineStr">
        <is>
          <t>เครื่องหมายการค้า</t>
        </is>
      </c>
      <c r="F37" s="2" t="inlineStr">
        <is>
          <t>สิทธิบัตร</t>
        </is>
      </c>
      <c r="G37" s="2" t="inlineStr">
        <is>
          <t>ความลับทางการค้า</t>
        </is>
      </c>
      <c r="H37" s="2" t="inlineStr">
        <is>
          <t>สิทธิเหนือสิทธิบัตร</t>
        </is>
      </c>
      <c r="I37" s="2" t="n">
        <v>3</v>
      </c>
      <c r="J37" s="2"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พ.ร.บ. ยา พ.ศ. 2510</t>
        </is>
      </c>
      <c r="M37" s="2" t="inlineStr">
        <is>
          <t>SAP</t>
        </is>
      </c>
      <c r="N37" s="2" t="inlineStr">
        <is>
          <t>ข้อ 48 Pharma Plus เล่มม่วง (เฉลยข้อ ค)</t>
        </is>
      </c>
      <c r="O37" s="2" t="inlineStr">
        <is>
          <t>Mock</t>
        </is>
      </c>
      <c r="P37" s="2" t="inlineStr">
        <is>
          <t>Pharma Plus เล่มม่วง</t>
        </is>
      </c>
    </row>
    <row r="38" ht="13.2" customHeight="1" s="49">
      <c r="A38" s="2" t="n">
        <v>49</v>
      </c>
      <c r="B38" s="2" t="inlineStr">
        <is>
          <t>ข้อใดคือยาผิดมาตรฐาน</t>
        </is>
      </c>
      <c r="C38" s="2" t="n"/>
      <c r="D38" s="2" t="inlineStr">
        <is>
          <t>ผสม cotrimazole ร่วมกับ terbinafine เพื่อลดต้นทุน</t>
        </is>
      </c>
      <c r="E38" s="2" t="inlineStr">
        <is>
          <t>ในฉลากระบุวันหมดอายุ คือ มกราคม 2009 แต่ความจริงหมดอายุเมื่อ มกราคม 2019</t>
        </is>
      </c>
      <c r="F38" s="2" t="inlineStr">
        <is>
          <t>ยามี %LA = 87%</t>
        </is>
      </c>
      <c r="G38" s="2" t="inlineStr">
        <is>
          <t>ยาหมดอายุตามที่ระบุไว้ในฉลาก</t>
        </is>
      </c>
      <c r="H38" s="2" t="inlineStr">
        <is>
          <t>แจ้งที่อยู่ในการผลิต ไม่ตรงกับที่ขึ้นทะเบียนยา</t>
        </is>
      </c>
      <c r="I38" s="2" t="n">
        <v>3</v>
      </c>
      <c r="J38"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พ.ร.บ. ยา พ.ศ. 2510</t>
        </is>
      </c>
      <c r="M38" s="2" t="inlineStr">
        <is>
          <t>SAP</t>
        </is>
      </c>
      <c r="N38" s="2" t="inlineStr">
        <is>
          <t>ข้อ 49 Pharma Plus เล่มม่วง (เฉลยข้อ ค)</t>
        </is>
      </c>
      <c r="O38" s="2" t="inlineStr">
        <is>
          <t>Mock</t>
        </is>
      </c>
      <c r="P38" s="2" t="inlineStr">
        <is>
          <t>Pharma Plus เล่มม่วง</t>
        </is>
      </c>
    </row>
    <row r="39" ht="13.2" customHeight="1" s="49">
      <c r="A39" s="2" t="n">
        <v>50</v>
      </c>
      <c r="B39" s="2" t="inlineStr">
        <is>
          <t>Norfloxacin จัดอยู่ในบัญชียาหลักแห่งชาติบัญชีอะไร</t>
        </is>
      </c>
      <c r="C39" s="2" t="n"/>
      <c r="D39" s="2" t="inlineStr">
        <is>
          <t>บัญชี ก</t>
        </is>
      </c>
      <c r="E39" s="2" t="inlineStr">
        <is>
          <t>บัญชี ข</t>
        </is>
      </c>
      <c r="F39" s="2" t="inlineStr">
        <is>
          <t>บัญชี ค</t>
        </is>
      </c>
      <c r="G39" s="2" t="inlineStr">
        <is>
          <t>บัญชี ง</t>
        </is>
      </c>
      <c r="H39" s="2" t="inlineStr">
        <is>
          <t>บัญชี จ</t>
        </is>
      </c>
      <c r="I39" s="2" t="n">
        <v>1</v>
      </c>
      <c r="J39" s="2"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พ.ร.บ. ยา พ.ศ. 2510</t>
        </is>
      </c>
      <c r="M39" s="2" t="inlineStr">
        <is>
          <t>SAP</t>
        </is>
      </c>
      <c r="N39" s="2" t="inlineStr">
        <is>
          <t>ข้อ 50 Pharma Plus เล่มม่วง (เฉลยข้อ ก)</t>
        </is>
      </c>
      <c r="O39" s="2" t="inlineStr">
        <is>
          <t>Mock</t>
        </is>
      </c>
      <c r="P39" s="2" t="inlineStr">
        <is>
          <t>Pharma Plus เล่มม่วง</t>
        </is>
      </c>
    </row>
    <row r="40" ht="13.2" customHeight="1" s="49">
      <c r="A40" s="2" t="n">
        <v>51</v>
      </c>
      <c r="B40" s="2" t="inlineStr">
        <is>
          <t>บัญชียา ก หมายถึง</t>
        </is>
      </c>
      <c r="C40" s="2" t="n"/>
      <c r="D40" s="2" t="inlineStr">
        <is>
          <t>รายการยาที่ต้องใช้โดยผู้เชี่ยวชาญ</t>
        </is>
      </c>
      <c r="E40" s="2" t="inlineStr">
        <is>
          <t>รายการยาที่จำเป็นต้องใช้ในสถานพยาบาลบางระดับ</t>
        </is>
      </c>
      <c r="F40" s="2" t="inlineStr">
        <is>
          <t>รายการยาสำหรับใช้เฉพาะโครงการพิเศษของกระทรวง</t>
        </is>
      </c>
      <c r="G40" s="2" t="inlineStr">
        <is>
          <t>รายการยาที่มีความจำเป็นสำหรับสถานพยาบาลทุกระดับ</t>
        </is>
      </c>
      <c r="H40" s="2"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2" t="n">
        <v>4</v>
      </c>
      <c r="J40"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พ.ร.บ. ยา พ.ศ. 2510</t>
        </is>
      </c>
      <c r="M40" s="2" t="inlineStr">
        <is>
          <t>SAP</t>
        </is>
      </c>
      <c r="N40" s="2" t="inlineStr">
        <is>
          <t>ข้อ 51 Pharma Plus เล่มม่วง (เฉลยข้อ ง)</t>
        </is>
      </c>
      <c r="O40" s="2" t="inlineStr">
        <is>
          <t>Mock</t>
        </is>
      </c>
      <c r="P40" s="2" t="inlineStr">
        <is>
          <t>Pharma Plus เล่มม่วง</t>
        </is>
      </c>
    </row>
    <row r="41" ht="13.2" customHeight="1" s="49">
      <c r="A41" s="2" t="n">
        <v>53</v>
      </c>
      <c r="B41" s="2"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2" t="n"/>
      <c r="D41" s="2" t="inlineStr">
        <is>
          <t>ได้ เนื่องจากได้รับอนุญาตขายยาแผนปัจจุบัน</t>
        </is>
      </c>
      <c r="E41" s="2" t="inlineStr">
        <is>
          <t>ได้ เนื่องจากเป็นยาบรรจุเสร็จที่ไม่ใช่ยาอันตรายหรือยาควบคุมพิเศษ</t>
        </is>
      </c>
      <c r="F41" s="2" t="inlineStr">
        <is>
          <t>ได้ เนื่องจากมีเภสัชกรประจำอยู่ตลอดเวลา</t>
        </is>
      </c>
      <c r="G41" s="2" t="inlineStr">
        <is>
          <t>ไม่ได้ เนื่องจากขายเฉพาะในสถานที่ที่ได้รับอนุญาตเท่านั้น</t>
        </is>
      </c>
      <c r="H41" s="2" t="inlineStr">
        <is>
          <t>ไม่ได้ เพราะไม่เห็นหน้าผู้ป่วย</t>
        </is>
      </c>
      <c r="I41" s="2" t="n">
        <v>4</v>
      </c>
      <c r="J41" s="2"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พ.ร.บ. ยา พ.ศ. 2510</t>
        </is>
      </c>
      <c r="M41" s="2" t="inlineStr">
        <is>
          <t>SAP</t>
        </is>
      </c>
      <c r="N41" s="2" t="inlineStr">
        <is>
          <t>ข้อ 53 Pharma Plus เล่มม่วง (เฉลยข้อ ง)</t>
        </is>
      </c>
      <c r="O41" s="2" t="inlineStr">
        <is>
          <t>Mock</t>
        </is>
      </c>
      <c r="P41" s="2" t="inlineStr">
        <is>
          <t>Pharma Plus เล่มม่วง</t>
        </is>
      </c>
    </row>
    <row r="42" ht="13.2" customHeight="1" s="49">
      <c r="A42" s="2" t="n">
        <v>54</v>
      </c>
      <c r="B42" s="2" t="inlineStr">
        <is>
          <t>ถ้าจะทำการทดลองผลของยา isotretinoin ต่อหญิงตั้งครรภ์ ข้อใดไม่ควรใช้</t>
        </is>
      </c>
      <c r="C42" s="2" t="n"/>
      <c r="D42" s="2" t="inlineStr">
        <is>
          <t>Case-control</t>
        </is>
      </c>
      <c r="E42" s="2" t="inlineStr">
        <is>
          <t>Cohort</t>
        </is>
      </c>
      <c r="F42" s="2" t="inlineStr">
        <is>
          <t>RCT</t>
        </is>
      </c>
      <c r="G42" s="2" t="inlineStr">
        <is>
          <t>ข้อ ก และ ข</t>
        </is>
      </c>
      <c r="H42" s="2" t="inlineStr">
        <is>
          <t>ข้อ ข และ ค</t>
        </is>
      </c>
      <c r="I42" s="2" t="n">
        <v>5</v>
      </c>
      <c r="J42" s="2"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พ.ร.บ. ยา พ.ศ. 2510</t>
        </is>
      </c>
      <c r="M42" s="2" t="inlineStr">
        <is>
          <t>SAP</t>
        </is>
      </c>
      <c r="N42" s="2" t="inlineStr">
        <is>
          <t>ข้อ 54 Pharma Plus เล่มม่วง (เฉลยข้อ จ)</t>
        </is>
      </c>
      <c r="O42" s="2" t="inlineStr">
        <is>
          <t>Mock</t>
        </is>
      </c>
      <c r="P42" s="2" t="inlineStr">
        <is>
          <t>Pharma Plus เล่มม่วง</t>
        </is>
      </c>
    </row>
    <row r="43" ht="13.2" customHeight="1" s="49">
      <c r="A43" s="2" t="n">
        <v>57</v>
      </c>
      <c r="B43" s="2"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2" t="n"/>
      <c r="D43" s="2" t="inlineStr">
        <is>
          <t>ผู้หญิงมีพฤติกรรมการให้ความร่วมมือในการใช้ยาดีกว่าผู้ชาย</t>
        </is>
      </c>
      <c r="E43" s="2"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2" t="inlineStr">
        <is>
          <t>ผู้ป่วยสูงอายุมีพฤติกรรมให้ความร่วมมือในการใช้ยาไม่เท่ากับผู้ป่วยวัยกลางคน</t>
        </is>
      </c>
      <c r="G43" s="2" t="inlineStr">
        <is>
          <t>คนมีการศึกษาสูงให้ความร่วมมือในการใช้ยากกว่าคนที่มีการศึกษาต่ำ</t>
        </is>
      </c>
      <c r="H43" s="2" t="inlineStr">
        <is>
          <t>การให้ยาน้ำ (ถ้าทำได้) จะทำให้ผู้ป่วยมีความร่วมมือในการใช้ยากกว่าการใช้ยาเม็ด</t>
        </is>
      </c>
      <c r="I43" s="2" t="n">
        <v>2</v>
      </c>
      <c r="J43" s="2"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พ.ร.บ. ยา พ.ศ. 2510</t>
        </is>
      </c>
      <c r="M43" s="2" t="inlineStr">
        <is>
          <t>SAP</t>
        </is>
      </c>
      <c r="N43" s="2" t="inlineStr">
        <is>
          <t>ข้อ 57 Pharma Plus เล่มม่วง (เฉลยข้อ ข)</t>
        </is>
      </c>
      <c r="O43" s="2" t="inlineStr">
        <is>
          <t>Mock</t>
        </is>
      </c>
      <c r="P43" s="2" t="inlineStr">
        <is>
          <t>Pharma Plus เล่มม่วง</t>
        </is>
      </c>
    </row>
    <row r="44" ht="13.2" customHeight="1" s="49">
      <c r="A44" s="2" t="n">
        <v>58</v>
      </c>
      <c r="B44" s="2"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2" t="n"/>
      <c r="D44" s="2" t="inlineStr">
        <is>
          <t>จัดซื้อด้วยเงินงบประมาณเท่านั้น</t>
        </is>
      </c>
      <c r="E44" s="2" t="inlineStr">
        <is>
          <t>จัดซื้อด้วยวิธีกรณีพิเศษจากองค์การเภสัชกรรมถ้าวงเงินเกิน 50,000บาท</t>
        </is>
      </c>
      <c r="F44" s="2" t="inlineStr">
        <is>
          <t>จัดซื้อโดยวิธีตกลงราคาจากองค์การเภสัชกรรมเท่านั้น ไม่จำกัดวงเงิน</t>
        </is>
      </c>
      <c r="G44" s="2" t="inlineStr">
        <is>
          <t>จัดซื้อโดยวิธีตกลงราคาจากบริษัทใดก็ได้ถ้าวงเงินไม่เกิน 50,000 บาท</t>
        </is>
      </c>
      <c r="H44" s="2" t="inlineStr">
        <is>
          <t>จัดซื้อด้วยวิธีกรณีพิเศษจากองค์การเภสัชกรรม ไม่จำกัดวงเงิน</t>
        </is>
      </c>
      <c r="I44" s="2" t="n">
        <v>5</v>
      </c>
      <c r="J44" s="2"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พ.ร.บ. ยา พ.ศ. 2510</t>
        </is>
      </c>
      <c r="M44" s="2" t="inlineStr">
        <is>
          <t>SAP</t>
        </is>
      </c>
      <c r="N44" s="2" t="inlineStr">
        <is>
          <t>ข้อ 58 Pharma Plus เล่มม่วง (เฉลยข้อ จ)</t>
        </is>
      </c>
      <c r="O44" s="2" t="inlineStr">
        <is>
          <t>Mock</t>
        </is>
      </c>
      <c r="P44" s="2" t="inlineStr">
        <is>
          <t>Pharma Plus เล่มม่วง</t>
        </is>
      </c>
    </row>
    <row r="45" ht="13.2" customHeight="1" s="49">
      <c r="A45" s="2" t="n">
        <v>60</v>
      </c>
      <c r="B45" s="2" t="inlineStr">
        <is>
          <t>Propylthiouracil จัดอยู่ในบัญชี ก ตามบัญชียาหลักแห่งชาติ 2542 ยาที่อยู่ในบัญชี ก หมายถึงข้อใด</t>
        </is>
      </c>
      <c r="C45" s="2" t="n"/>
      <c r="D45" s="2" t="inlineStr">
        <is>
          <t>รายการยาที่ต้องใช้โดยผู้เชี่ยวชาญ</t>
        </is>
      </c>
      <c r="E45" s="2" t="inlineStr">
        <is>
          <t>รายการยาที่จำเป็นต้องใช้ในสถานพยาบาลบางระดับ</t>
        </is>
      </c>
      <c r="F45" s="2" t="inlineStr">
        <is>
          <t>รายการยาสำหรับใช้เฉพาะโครงการพิเศษของกระทรวง</t>
        </is>
      </c>
      <c r="G45" s="2" t="inlineStr">
        <is>
          <t>รายการยาที่มีความจำเป็นสำหรับสถานพยาบาลทุกระดับ</t>
        </is>
      </c>
      <c r="H45" s="2"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2" t="n">
        <v>4</v>
      </c>
      <c r="J45"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พ.ร.บ. ยา พ.ศ. 2510</t>
        </is>
      </c>
      <c r="M45" s="2" t="inlineStr">
        <is>
          <t>SAP</t>
        </is>
      </c>
      <c r="N45" s="2" t="inlineStr">
        <is>
          <t>ข้อ 60 Pharma Plus เล่มม่วง (เฉลยข้อ ง)</t>
        </is>
      </c>
      <c r="O45" s="2" t="inlineStr">
        <is>
          <t>Mock</t>
        </is>
      </c>
      <c r="P45" s="2" t="inlineStr">
        <is>
          <t>Pharma Plus เล่มม่วง</t>
        </is>
      </c>
    </row>
    <row r="46" ht="13.2" customHeight="1" s="49">
      <c r="A46" s="2" t="n">
        <v>61</v>
      </c>
      <c r="B46" s="2"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2" t="n"/>
      <c r="D46" s="2" t="inlineStr">
        <is>
          <t>ยานี้ผลิตในประเทศไทย ได้รับอนุญาตทะเบียนยาในปี พ.ศ. 2557</t>
        </is>
      </c>
      <c r="E46" s="2" t="inlineStr">
        <is>
          <t>ยานี้ผลิตในประเทศไทย เมื่อวันที่ 8 ก.พ. 2557</t>
        </is>
      </c>
      <c r="F46" s="2" t="inlineStr">
        <is>
          <t>ยานี้ผลิตในประเทศไทยและหมดอายุในวันที่ 8 ก.พ. 2557</t>
        </is>
      </c>
      <c r="G46" s="2" t="inlineStr">
        <is>
          <t>ยานี้นำเข้ามาจากต่างประเทศ ได้รับอนุญาตทะเบียนยาในปี พ.ศ. 2557</t>
        </is>
      </c>
      <c r="H46" s="2" t="inlineStr">
        <is>
          <t>ยานี้นำเข้ามาจากต่างประเทศ และผลิตเมื่อวันที่ 8 ก.พ. 2557</t>
        </is>
      </c>
      <c r="I46" s="2" t="n">
        <v>4</v>
      </c>
      <c r="J46" s="2"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พ.ร.บ. ยา พ.ศ. 2510</t>
        </is>
      </c>
      <c r="M46" s="2" t="inlineStr">
        <is>
          <t>SAP</t>
        </is>
      </c>
      <c r="N46" s="2" t="inlineStr">
        <is>
          <t>ข้อ 61 Pharma Plus เล่มม่วง (เฉลยข้อ ง)</t>
        </is>
      </c>
      <c r="O46" s="2" t="inlineStr">
        <is>
          <t>Mock</t>
        </is>
      </c>
      <c r="P46" s="2" t="inlineStr">
        <is>
          <t>Pharma Plus เล่มม่วง</t>
        </is>
      </c>
    </row>
    <row r="47" ht="13.2" customHeight="1" s="49">
      <c r="A47" s="2" t="n">
        <v>62</v>
      </c>
      <c r="B47" s="2"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2" t="n"/>
      <c r="D47" s="2" t="inlineStr">
        <is>
          <t>1 ชนิด</t>
        </is>
      </c>
      <c r="E47" s="2" t="inlineStr">
        <is>
          <t>2 ชนิด</t>
        </is>
      </c>
      <c r="F47" s="2" t="inlineStr">
        <is>
          <t>3 ชนิด</t>
        </is>
      </c>
      <c r="G47" s="2" t="inlineStr">
        <is>
          <t>4 ชนิด</t>
        </is>
      </c>
      <c r="H47" s="2" t="inlineStr">
        <is>
          <t>5 ชนิด</t>
        </is>
      </c>
      <c r="I47" s="2" t="n">
        <v>1</v>
      </c>
      <c r="J47" s="2"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พ.ร.บ. ยา พ.ศ. 2510</t>
        </is>
      </c>
      <c r="M47" s="2" t="inlineStr">
        <is>
          <t>SAP</t>
        </is>
      </c>
      <c r="N47" s="2" t="inlineStr">
        <is>
          <t>ข้อ 62 Pharma Plus เล่มม่วง (เฉลยข้อ ก)</t>
        </is>
      </c>
      <c r="O47" s="2" t="inlineStr">
        <is>
          <t>Mock</t>
        </is>
      </c>
      <c r="P47" s="2" t="inlineStr">
        <is>
          <t>Pharma Plus เล่มม่วง</t>
        </is>
      </c>
    </row>
    <row r="48" ht="13.2" customHeight="1" s="49">
      <c r="A48" s="2" t="n">
        <v>69</v>
      </c>
      <c r="B48" s="2" t="inlineStr">
        <is>
          <t>ท่านควรอธิบายเกี่ยวกับยา ยารักษาสิว isotretinoin ที่ผู้ป่วยต้องการซื้ออย่างไร</t>
        </is>
      </c>
      <c r="C48" s="2" t="n"/>
      <c r="D48" s="2" t="inlineStr">
        <is>
          <t>ยานี้จัดเป็นยาควบคุมพิเศษตามกฎหมาย ต้องใช้ใบสั่งแพทย์ เภสัชกรไม่สามารถจ่ายเองได้</t>
        </is>
      </c>
      <c r="E48" s="2" t="inlineStr">
        <is>
          <t>ยานี้จัดเป็นยาควบคุมพิเศษตามกฎหมาย เภสัชกรจ่ายได้ ไม่ต้องใช้ใบสั่งแพทย์</t>
        </is>
      </c>
      <c r="F48" s="2" t="inlineStr">
        <is>
          <t>ยานี้จัดเป็นยาอันตราย เภสัชกรจ่ายได้ ไม่ต้องใช้ใบสั่งแพทย์</t>
        </is>
      </c>
      <c r="G48" s="2" t="inlineStr">
        <is>
          <t>ยานี้จัดเป็นยาอันตราย เภสัชกรสามารถจ่ายได้หากมีใบสั่งแพทย์</t>
        </is>
      </c>
      <c r="H48" s="2" t="inlineStr">
        <is>
          <t>ยานี้ไม่สามารถขายได้ในร้านยา ต้องซื้อจากคลินิกแพทย์หรือสถานพยาบาลเท่านั้น</t>
        </is>
      </c>
      <c r="I48" s="2" t="n">
        <v>5</v>
      </c>
      <c r="J48" s="2"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พ.ร.บ. ยา พ.ศ. 2510</t>
        </is>
      </c>
      <c r="M48" s="2" t="inlineStr">
        <is>
          <t>SAP</t>
        </is>
      </c>
      <c r="N48" s="2" t="inlineStr">
        <is>
          <t>ข้อ 69 Pharma Plus เล่มม่วง (เฉลยข้อ จ)</t>
        </is>
      </c>
      <c r="O48" s="2" t="inlineStr">
        <is>
          <t>Mock</t>
        </is>
      </c>
      <c r="P48" s="2" t="inlineStr">
        <is>
          <t>Pharma Plus เล่มม่วง</t>
        </is>
      </c>
    </row>
    <row r="49" ht="13.2" customHeight="1" s="49">
      <c r="A49" s="2" t="n">
        <v>70</v>
      </c>
      <c r="B49" s="2" t="inlineStr">
        <is>
          <t>Itraconazole เป็นยาประเภทใดตามกฎหมาย</t>
        </is>
      </c>
      <c r="C49" s="2" t="n"/>
      <c r="D49" s="2" t="inlineStr">
        <is>
          <t>ยาแผนปัจจุบันที่ไม่ใช่ยาอันตรายและยาควบคุมพิเศษ</t>
        </is>
      </c>
      <c r="E49" s="2" t="inlineStr">
        <is>
          <t>ยาอันตราย</t>
        </is>
      </c>
      <c r="F49" s="2" t="inlineStr">
        <is>
          <t>ยาสามัญประจำบ้าน</t>
        </is>
      </c>
      <c r="G49" s="2" t="inlineStr">
        <is>
          <t>ยาควบคุมพิเศษ</t>
        </is>
      </c>
      <c r="H49" s="2" t="inlineStr">
        <is>
          <t>ยาเสพติดให้โทษประเภทที่ 3</t>
        </is>
      </c>
      <c r="I49" s="2" t="n">
        <v>2</v>
      </c>
      <c r="J49"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พ.ร.บ. ยา พ.ศ. 2510</t>
        </is>
      </c>
      <c r="M49" s="2" t="inlineStr">
        <is>
          <t>SAP</t>
        </is>
      </c>
      <c r="N49" s="2" t="inlineStr">
        <is>
          <t>ข้อ 70 Pharma Plus เล่มม่วง (เฉลยข้อ ข)</t>
        </is>
      </c>
      <c r="O49" s="2" t="inlineStr">
        <is>
          <t>Mock</t>
        </is>
      </c>
      <c r="P49" s="2" t="inlineStr">
        <is>
          <t>Pharma Plus เล่มม่วง</t>
        </is>
      </c>
    </row>
    <row r="50" ht="13.2" customHeight="1" s="49">
      <c r="A50" s="2" t="n">
        <v>71</v>
      </c>
      <c r="B50" s="2" t="inlineStr">
        <is>
          <t>FBC ชื่อการค้าหนึ่ง มีเลขทะเบียน 2C039/46 ข้อใดผิด</t>
        </is>
      </c>
      <c r="C50" s="2" t="n"/>
      <c r="D50" s="2" t="inlineStr">
        <is>
          <t>ยาสำหรับมนุษย์</t>
        </is>
      </c>
      <c r="E50" s="2" t="inlineStr">
        <is>
          <t>ยาแบ่งบรรจุในประเทศ</t>
        </is>
      </c>
      <c r="F50" s="2" t="inlineStr">
        <is>
          <t>ยาขึ้นทะเบียนปี 2546</t>
        </is>
      </c>
      <c r="G50" s="2" t="inlineStr">
        <is>
          <t>ยานำเข้าจากต่างประเทศ</t>
        </is>
      </c>
      <c r="H50" s="2" t="inlineStr">
        <is>
          <t>ในปีที่ขึ้นทะเบียน ยานี้อยู่ในลำดับที่ 39</t>
        </is>
      </c>
      <c r="I50" s="2" t="n">
        <v>2</v>
      </c>
      <c r="J50" s="2"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พ.ร.บ. ยา พ.ศ. 2510</t>
        </is>
      </c>
      <c r="M50" s="2" t="inlineStr">
        <is>
          <t>SAP</t>
        </is>
      </c>
      <c r="N50" s="2" t="inlineStr">
        <is>
          <t>ข้อ 71 Pharma Plus เล่มม่วง (เฉลยข้อ ข)</t>
        </is>
      </c>
      <c r="O50" s="2" t="inlineStr">
        <is>
          <t>Mock</t>
        </is>
      </c>
      <c r="P50" s="2" t="inlineStr">
        <is>
          <t>Pharma Plus เล่มม่วง</t>
        </is>
      </c>
    </row>
    <row r="51" ht="13.2" customHeight="1" s="49">
      <c r="A51" s="2" t="n">
        <v>72</v>
      </c>
      <c r="B51" s="2"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2" t="n"/>
      <c r="D51" s="2" t="inlineStr">
        <is>
          <t>ยาผิดมาตรฐาน</t>
        </is>
      </c>
      <c r="E51" s="2" t="inlineStr">
        <is>
          <t>ยาปลอม</t>
        </is>
      </c>
      <c r="F51" s="2" t="inlineStr">
        <is>
          <t>ยาหมดอายุ</t>
        </is>
      </c>
      <c r="G51" s="2" t="inlineStr">
        <is>
          <t>ยาต้องห้าม</t>
        </is>
      </c>
      <c r="H51" s="2" t="inlineStr">
        <is>
          <t>ยาเสื่อมคุณภาพ</t>
        </is>
      </c>
      <c r="I51" s="2" t="n">
        <v>1</v>
      </c>
      <c r="J51" s="2"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พ.ร.บ. ยา พ.ศ. 2510</t>
        </is>
      </c>
      <c r="M51" s="2" t="inlineStr">
        <is>
          <t>SAP</t>
        </is>
      </c>
      <c r="N51" s="2" t="inlineStr">
        <is>
          <t>ข้อ 72 Pharma Plus เล่มม่วง (เฉลยข้อ ก)</t>
        </is>
      </c>
      <c r="O51" s="2" t="inlineStr">
        <is>
          <t>Mock</t>
        </is>
      </c>
      <c r="P51" s="2" t="inlineStr">
        <is>
          <t>Pharma Plus เล่มม่วง</t>
        </is>
      </c>
    </row>
    <row r="52" ht="13.2" customHeight="1" s="49">
      <c r="A52" s="2" t="n">
        <v>73</v>
      </c>
      <c r="B52" s="2" t="inlineStr">
        <is>
          <t>Lomotil® จัดเป็นยาประเภทใดตามกฎหมายและเภสัชกรสามารถจ่ายได้ในร้านยาหรือไม่</t>
        </is>
      </c>
      <c r="C52" s="2" t="n"/>
      <c r="D52" s="2" t="inlineStr">
        <is>
          <t>ยาอันตราย สามารถจ่ายในร้านยา ขย.1 ได้</t>
        </is>
      </c>
      <c r="E52" s="2" t="inlineStr">
        <is>
          <t>ยาแผนปัจจุบันบรรจุเสร็จ สามารถจ่ายในร้านยา ขย.1 และ ขย.2 ได้</t>
        </is>
      </c>
      <c r="F52" s="2" t="inlineStr">
        <is>
          <t>ยาสามัญประจำบ้าน สามารถจ่ายในร้านยา ขย.1 และขย.2 ได้</t>
        </is>
      </c>
      <c r="G52" s="2" t="inlineStr">
        <is>
          <t>ยาเสพติดให้โทษประเภทที่ 3 ห้ามจำหน่ายในร้านยา</t>
        </is>
      </c>
      <c r="H52" s="2" t="inlineStr">
        <is>
          <t>ยาเสพติดให้โทษประเภทที่ 3 สามารถจ่ายในร้านยา ขย.1 ได้ แต่ต้องมีใบอนุญาต</t>
        </is>
      </c>
      <c r="I52" s="2" t="n">
        <v>5</v>
      </c>
      <c r="J52" s="2"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พ.ร.บ. ยา พ.ศ. 2510</t>
        </is>
      </c>
      <c r="M52" s="2" t="inlineStr">
        <is>
          <t>SAP</t>
        </is>
      </c>
      <c r="N52" s="2" t="inlineStr">
        <is>
          <t>ข้อ 73 Pharma Plus เล่มม่วง (เฉลยข้อ จ)</t>
        </is>
      </c>
      <c r="O52" s="2" t="inlineStr">
        <is>
          <t>Mock</t>
        </is>
      </c>
      <c r="P52" s="2" t="inlineStr">
        <is>
          <t>Pharma Plus เล่มม่วง</t>
        </is>
      </c>
    </row>
    <row r="53" ht="13.2" customHeight="1" s="49">
      <c r="A53" s="2" t="n">
        <v>74</v>
      </c>
      <c r="B53" s="2" t="inlineStr">
        <is>
          <t>การโฆษณาว่า indomethacin สามารถลดปวดได้ดีในผู้ป่วยโรคเกาท์ สามารถทำได้หรือไม่</t>
        </is>
      </c>
      <c r="C53" s="2" t="n"/>
      <c r="D53" s="2" t="inlineStr">
        <is>
          <t>ได้ เพราะไม่มีข้อห้ามทางกฎหมาย</t>
        </is>
      </c>
      <c r="E53" s="2" t="inlineStr">
        <is>
          <t>ได้ แต่ต้องขออนุญาตก่อน</t>
        </is>
      </c>
      <c r="F53" s="2" t="inlineStr">
        <is>
          <t>ไม่ได้ เพราะเป็นการอวดอ้างสรรพคุณ</t>
        </is>
      </c>
      <c r="G53" s="2" t="inlineStr">
        <is>
          <t>ไม่ได้ เพราะกฎหมายยาห้ามโฆษณาขายยาอันตราย</t>
        </is>
      </c>
      <c r="H53" s="2" t="inlineStr">
        <is>
          <t>ไม่ได้ เพราะกฎหมายยาห้ามโฆษณาขายยาควบคุมพิเศษ</t>
        </is>
      </c>
      <c r="I53" s="2" t="n">
        <v>4</v>
      </c>
      <c r="J53" s="2"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พ.ร.บ. ยา พ.ศ. 2510</t>
        </is>
      </c>
      <c r="M53" s="2" t="inlineStr">
        <is>
          <t>SAP</t>
        </is>
      </c>
      <c r="N53" s="2" t="inlineStr">
        <is>
          <t>ข้อ 74 Pharma Plus เล่มม่วง (เฉลยข้อ ง)</t>
        </is>
      </c>
      <c r="O53" s="2" t="inlineStr">
        <is>
          <t>Mock</t>
        </is>
      </c>
      <c r="P53" s="2" t="inlineStr">
        <is>
          <t>Pharma Plus เล่มม่วง</t>
        </is>
      </c>
    </row>
    <row r="54" ht="13.2" customHeight="1" s="49">
      <c r="A54" s="2" t="n">
        <v>75</v>
      </c>
      <c r="B54" s="2" t="inlineStr">
        <is>
          <t>ผู้ป่วยต้องการซื้อยา budesonide สามารถซื้อได้ที่ใด</t>
        </is>
      </c>
      <c r="C54" s="2" t="n"/>
      <c r="D54" s="2" t="inlineStr">
        <is>
          <t>ร้านสะดวกซื้อทั่วไป</t>
        </is>
      </c>
      <c r="E54" s="2" t="inlineStr">
        <is>
          <t>ร้านยา ข.ย. 2</t>
        </is>
      </c>
      <c r="F54" s="2" t="inlineStr">
        <is>
          <t>ร้านขายยาแผนปัจจุบัน โดยไม่ต้องมีใบสั่งแพทย์</t>
        </is>
      </c>
      <c r="G54" s="2" t="inlineStr">
        <is>
          <t>ร้านขายยาแผนปัจจุบัน โดยต้องมีใบสั่งแพทย์</t>
        </is>
      </c>
      <c r="H54" s="2" t="inlineStr">
        <is>
          <t>โรงพยาบาลเท่านั้น</t>
        </is>
      </c>
      <c r="I54" s="2" t="n">
        <v>3</v>
      </c>
      <c r="J54" s="2"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พ.ร.บ. ยา พ.ศ. 2510</t>
        </is>
      </c>
      <c r="M54" s="2" t="inlineStr">
        <is>
          <t>SAP</t>
        </is>
      </c>
      <c r="N54" s="2" t="inlineStr">
        <is>
          <t>ข้อ 75 Pharma Plus เล่มม่วง (เฉลยข้อ ค)</t>
        </is>
      </c>
      <c r="O54" s="2" t="inlineStr">
        <is>
          <t>Mock</t>
        </is>
      </c>
      <c r="P54" s="2" t="inlineStr">
        <is>
          <t>Pharma Plus เล่มม่วง</t>
        </is>
      </c>
    </row>
    <row r="55" ht="13.2" customHeight="1" s="49">
      <c r="A55" s="2" t="n">
        <v>76</v>
      </c>
      <c r="B55" s="2" t="inlineStr">
        <is>
          <t>ข้อใดถูกต้องเกี่ยวกับการจัดซื้อ prednisolone ชนิดรับประทาน</t>
        </is>
      </c>
      <c r="C55" s="2" t="n"/>
      <c r="D55" s="2" t="inlineStr">
        <is>
          <t>เป็นยาควบคุมพิเศษ ต้องซื้อโดยวิธีตกลงราคาในกรณีที่ซื้อน้อยกว่า 100,000 บาท</t>
        </is>
      </c>
      <c r="E55" s="2" t="inlineStr">
        <is>
          <t>เป็นยาควบคุมพิเศษ ต้องซื้อโดยวิธีสอบราคาในกรณีที่ซื้อน้อยกว่า 100,000 บาท</t>
        </is>
      </c>
      <c r="F55" s="2" t="inlineStr">
        <is>
          <t>เป็นยาควบคุมพิเศษ ต้องซื้อโดยวิธีประกวดราคาในกรณีที่ซื้อน้อยกว่า 100,000 บาท</t>
        </is>
      </c>
      <c r="G55" s="2" t="inlineStr">
        <is>
          <t>เป็นยาอันตราย ต้องซื้อโดยวิธีตกลงราคาในกรณีที่ซื้อน้อยกว่า 100,000 บาท</t>
        </is>
      </c>
      <c r="H55" s="2" t="inlineStr">
        <is>
          <t>เป็นยาอันตราย ต้องซื้อโดยวิธีสอบราคาในกรณีที่ซื้อน้อยกว่า 100,000 บาท</t>
        </is>
      </c>
      <c r="I55" s="2" t="n">
        <v>1</v>
      </c>
      <c r="J55" s="2"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พ.ร.บ. ยา พ.ศ. 2510</t>
        </is>
      </c>
      <c r="M55" s="2" t="inlineStr">
        <is>
          <t>SAP</t>
        </is>
      </c>
      <c r="N55" s="2" t="inlineStr">
        <is>
          <t>ข้อ 76 Pharma Plus เล่มม่วง (เฉลยข้อ ก)</t>
        </is>
      </c>
      <c r="O55" s="2" t="inlineStr">
        <is>
          <t>Mock</t>
        </is>
      </c>
      <c r="P55" s="2" t="inlineStr">
        <is>
          <t>Pharma Plus เล่มม่วง</t>
        </is>
      </c>
    </row>
    <row r="56" ht="13.2" customHeight="1" s="49">
      <c r="A56" s="2" t="n">
        <v>77</v>
      </c>
      <c r="B56" s="2" t="inlineStr">
        <is>
          <t>Insulin จัดเป็นยาประเภทใด</t>
        </is>
      </c>
      <c r="C56" s="2" t="n"/>
      <c r="D56" s="2" t="inlineStr">
        <is>
          <t>ยาสำคัญประจำบ้าน</t>
        </is>
      </c>
      <c r="E56" s="2" t="inlineStr">
        <is>
          <t>ยาควบคุมพิเศษ</t>
        </is>
      </c>
      <c r="F56" s="2" t="inlineStr">
        <is>
          <t>ยาอันตราย</t>
        </is>
      </c>
      <c r="G56" s="2" t="inlineStr">
        <is>
          <t>ยาบรรจุเสร็จที่ไม่ใช่ยาอันตรายและยาควบคุมพิเศษ</t>
        </is>
      </c>
      <c r="H56" s="2" t="inlineStr">
        <is>
          <t>ไม่มีข้อถูก</t>
        </is>
      </c>
      <c r="I56" s="2" t="n">
        <v>3</v>
      </c>
      <c r="J56" s="2"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พ.ร.บ. ยา พ.ศ. 2510</t>
        </is>
      </c>
      <c r="M56" s="2" t="inlineStr">
        <is>
          <t>SAP</t>
        </is>
      </c>
      <c r="N56" s="2" t="inlineStr">
        <is>
          <t>ข้อ 77 Pharma Plus เล่มม่วง (เฉลยข้อ ค)</t>
        </is>
      </c>
      <c r="O56" s="2" t="inlineStr">
        <is>
          <t>Mock</t>
        </is>
      </c>
      <c r="P56" s="2" t="inlineStr">
        <is>
          <t>Pharma Plus เล่มม่วง</t>
        </is>
      </c>
    </row>
    <row r="57" ht="13.2" customHeight="1" s="49">
      <c r="A57" s="2" t="n">
        <v>78</v>
      </c>
      <c r="B57" s="2" t="inlineStr">
        <is>
          <t>การโฆษณาคุมกำเนิดเป็นยาสำหรับคุมกำเนิด กระทำได้หรือไม่ เพราะเหตุใด</t>
        </is>
      </c>
      <c r="C57" s="2" t="n"/>
      <c r="D57" s="2" t="inlineStr">
        <is>
          <t>กระทำได้ เพราะไม่มีข้อห้ามใดในกฎหมายยา</t>
        </is>
      </c>
      <c r="E57" s="2" t="inlineStr">
        <is>
          <t>กระทำได้แต่ต้องให้รัฐมนตรีอนุญาตก่อน</t>
        </is>
      </c>
      <c r="F57" s="2" t="inlineStr">
        <is>
          <t>กระทำไม่ได้ เพราะกฎหมายห้ามโฆษณาสรรพคุณยาอันตรายและยาควบคุมพิเศษ</t>
        </is>
      </c>
      <c r="G57" s="2" t="inlineStr">
        <is>
          <t>กระทำไม่ได้ เพราะกฎหมายห้ามมิให้แสดงสรรพคุณว่าเป็นยาคุมกำเนิดหรือยาบำรุงกาม</t>
        </is>
      </c>
      <c r="H57" s="2" t="inlineStr">
        <is>
          <t>ข้อ ค และ ง ถูกต้อง</t>
        </is>
      </c>
      <c r="I57" s="2" t="n">
        <v>5</v>
      </c>
      <c r="J57" s="2"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พ.ร.บ. ยา พ.ศ. 2510</t>
        </is>
      </c>
      <c r="M57" s="2" t="inlineStr">
        <is>
          <t>SAP</t>
        </is>
      </c>
      <c r="N57" s="2" t="inlineStr">
        <is>
          <t>ข้อ 78 Pharma Plus เล่มม่วง (เฉลยข้อ จ)</t>
        </is>
      </c>
      <c r="O57" s="2" t="inlineStr">
        <is>
          <t>Mock</t>
        </is>
      </c>
      <c r="P57" s="2" t="inlineStr">
        <is>
          <t>Pharma Plus เล่มม่วง</t>
        </is>
      </c>
    </row>
    <row r="58" ht="13.2" customHeight="1" s="49">
      <c r="A58" s="2" t="n">
        <v>79</v>
      </c>
      <c r="B58" s="2" t="inlineStr">
        <is>
          <t>ยาในข้อใดมีประเภทตามกฎหมายเช่นเดียวกับ cotrimoxazole</t>
        </is>
      </c>
      <c r="C58" s="2" t="n"/>
      <c r="D58" s="2" t="inlineStr">
        <is>
          <t>Amitriptyline, brown mixture ขนาด 120 ml</t>
        </is>
      </c>
      <c r="E58" s="2" t="inlineStr">
        <is>
          <t>Tramadol, alprazolam</t>
        </is>
      </c>
      <c r="F58" s="2" t="inlineStr">
        <is>
          <t>Fluoxetine, topical steroid</t>
        </is>
      </c>
      <c r="G58" s="2" t="inlineStr">
        <is>
          <t>Methotrexate, Benadryl</t>
        </is>
      </c>
      <c r="H58" s="2" t="inlineStr">
        <is>
          <t>Isotretinoin, Imodium</t>
        </is>
      </c>
      <c r="I58" s="2" t="n">
        <v>1</v>
      </c>
      <c r="J58" s="2"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พ.ร.บ. ยา พ.ศ. 2510</t>
        </is>
      </c>
      <c r="M58" s="2" t="inlineStr">
        <is>
          <t>SAP</t>
        </is>
      </c>
      <c r="N58" s="2" t="inlineStr">
        <is>
          <t>ข้อ 79 Pharma Plus เล่มม่วง (เฉลยข้อ ไมมีคำตอบ)</t>
        </is>
      </c>
      <c r="O58" s="2" t="inlineStr">
        <is>
          <t>Mock</t>
        </is>
      </c>
      <c r="P58" s="2" t="inlineStr">
        <is>
          <t>Pharma Plus เล่มม่วง</t>
        </is>
      </c>
    </row>
    <row r="59" ht="13.2" customHeight="1" s="49">
      <c r="A59" s="2" t="n">
        <v>80</v>
      </c>
      <c r="B59" s="2" t="inlineStr">
        <is>
          <t>ข้อใดถูกต้องสำหรับยา haloperidol</t>
        </is>
      </c>
      <c r="C59" s="2" t="n"/>
      <c r="D59" s="2" t="inlineStr">
        <is>
          <t>จัดอยู่ในประเภทอันตราย เภสัชกรสามารถจ่ายได้ในร้านยา</t>
        </is>
      </c>
      <c r="E59" s="2" t="inlineStr">
        <is>
          <t>จัดอยู่ในประเภทยาควบคุมพิเศษ เภสัชกรสามารถจ่ายได้หากมีใบสั่งแพทย์</t>
        </is>
      </c>
      <c r="F59" s="2" t="inlineStr">
        <is>
          <t>จัดอยู่ในประเภทอันตราย จ่ายได้เฉพาะในโรงพยาบาล</t>
        </is>
      </c>
      <c r="G59" s="2" t="inlineStr">
        <is>
          <t>จัดอยู่ในประเภทยาเสพติดให้โทษประเภทที่ 3 ต้องทำบัญชีรายงานคณะกรรมการอาหารและยา</t>
        </is>
      </c>
      <c r="H59" s="2" t="inlineStr">
        <is>
          <t>จัดอยู่ในประเภทวัตถุออกฤทธิ์ต่อจิตประสาท</t>
        </is>
      </c>
      <c r="I59" s="2" t="n">
        <v>2</v>
      </c>
      <c r="J59" s="2"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2" t="n"/>
      <c r="L59" s="2" t="inlineStr">
        <is>
          <t>พ.ร.บ. ยาเสพติดให้โทษ &amp; วัตถุออกฤทธิ์</t>
        </is>
      </c>
      <c r="M59" s="2" t="inlineStr">
        <is>
          <t>SAP</t>
        </is>
      </c>
      <c r="N59" s="2" t="inlineStr">
        <is>
          <t>ข้อ 80 Pharma Plus เล่มม่วง (เฉลยข้อ ข)</t>
        </is>
      </c>
      <c r="O59" s="2" t="inlineStr">
        <is>
          <t>Mock</t>
        </is>
      </c>
      <c r="P59" s="2" t="inlineStr">
        <is>
          <t>Pharma Plus เล่มม่วง</t>
        </is>
      </c>
    </row>
    <row r="60" ht="13.2" customHeight="1" s="49">
      <c r="A60" s="2" t="n">
        <v>81</v>
      </c>
      <c r="B60" s="2" t="inlineStr">
        <is>
          <t>ยา risperidone มีเลขทะเบียนดังนี้: 1A253/49 จากเลขทะเบียนดังกล่าว ข้อใดมีความหมายถูกต้อง</t>
        </is>
      </c>
      <c r="C60" s="2" t="n"/>
      <c r="D60" s="2" t="inlineStr">
        <is>
          <t>เป็นยาเดี่ยวสำหรับมนุษย์ ผลิตในประเทศ</t>
        </is>
      </c>
      <c r="E60" s="2" t="inlineStr">
        <is>
          <t>เป็นยาแผนปัจจุบัน นำเข้าจากต่างประเทศ</t>
        </is>
      </c>
      <c r="F60" s="2" t="inlineStr">
        <is>
          <t>เป็นยาแผนปัจจุบัน แบ่งบรรจุ</t>
        </is>
      </c>
      <c r="G60" s="2" t="inlineStr">
        <is>
          <t>เป็นยาผสม ขึ้นทะเบียนในปี พ.ศ.2549</t>
        </is>
      </c>
      <c r="H60" s="2" t="inlineStr">
        <is>
          <t>เป็นยาเดี่ยว ขึ้นทะเบียนแบบมีเงื่อนไข</t>
        </is>
      </c>
      <c r="I60" s="2" t="n">
        <v>1</v>
      </c>
      <c r="J60" s="2"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พ.ร.บ. ยา พ.ศ. 2510</t>
        </is>
      </c>
      <c r="M60" s="2" t="inlineStr">
        <is>
          <t>SAP</t>
        </is>
      </c>
      <c r="N60" s="2" t="inlineStr">
        <is>
          <t>ข้อ 81 Pharma Plus เล่มม่วง (เฉลยข้อ ก)</t>
        </is>
      </c>
      <c r="O60" s="2" t="inlineStr">
        <is>
          <t>Mock</t>
        </is>
      </c>
      <c r="P60" s="2" t="inlineStr">
        <is>
          <t>Pharma Plus เล่มม่วง</t>
        </is>
      </c>
    </row>
    <row r="61" ht="13.2" customHeight="1" s="49">
      <c r="A61" s="2" t="n">
        <v>82</v>
      </c>
      <c r="B61" s="2"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2" t="n"/>
      <c r="D61" s="2" t="inlineStr">
        <is>
          <t>จ่ายได้ เพราะเป็นยาอันตราย</t>
        </is>
      </c>
      <c r="E61" s="2" t="inlineStr">
        <is>
          <t>จ่ายได้ เพราะเป็นยาบรรจุเสร็จที่ไม่ใช่ยาอันตรายหรือยาควบคุมพิเศษ</t>
        </is>
      </c>
      <c r="F61" s="2" t="inlineStr">
        <is>
          <t>จ่ายไม่ได้ เพราะเป็นวัตถุออกฤทธิ์ต่อจิตประสาทประเภทที่ 4</t>
        </is>
      </c>
      <c r="G61" s="2" t="inlineStr">
        <is>
          <t>จ่ายไม่ได้ เพราะเป็นยาเสพติดให้โทษประเภทที่ 3</t>
        </is>
      </c>
      <c r="H61" s="2" t="inlineStr">
        <is>
          <t>จ่ายไม่ได้ เพราะเป็นยาควบคุมพิเศษ</t>
        </is>
      </c>
      <c r="I61" s="2" t="n">
        <v>5</v>
      </c>
      <c r="J61" s="2"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พ.ร.บ. ยา พ.ศ. 2510</t>
        </is>
      </c>
      <c r="M61" s="2" t="inlineStr">
        <is>
          <t>SAP</t>
        </is>
      </c>
      <c r="N61" s="2" t="inlineStr">
        <is>
          <t>ข้อ 82 Pharma Plus เล่มม่วง (เฉลยข้อ จ)</t>
        </is>
      </c>
      <c r="O61" s="2" t="inlineStr">
        <is>
          <t>Mock</t>
        </is>
      </c>
      <c r="P61" s="2" t="inlineStr">
        <is>
          <t>Pharma Plus เล่มม่วง</t>
        </is>
      </c>
    </row>
    <row r="62" ht="13.2" customHeight="1" s="49">
      <c r="A62" s="2" t="n">
        <v>83</v>
      </c>
      <c r="B62" s="2" t="inlineStr">
        <is>
          <t>ยาลดกรดในข้อใดที่เป็นยาสามัญประจำบ้าน</t>
        </is>
      </c>
      <c r="C62" s="2" t="n"/>
      <c r="D62" s="2" t="inlineStr">
        <is>
          <t>Sucralfate</t>
        </is>
      </c>
      <c r="E62" s="2" t="inlineStr">
        <is>
          <t>Aluminium hydroxide gel</t>
        </is>
      </c>
      <c r="F62" s="2" t="inlineStr">
        <is>
          <t>Cimetidine</t>
        </is>
      </c>
      <c r="G62" s="2" t="inlineStr">
        <is>
          <t>ยาธาตุน้ำแดง</t>
        </is>
      </c>
      <c r="H62" s="2" t="inlineStr">
        <is>
          <t>Bismuth compound</t>
        </is>
      </c>
      <c r="I62" s="2" t="n">
        <v>2</v>
      </c>
      <c r="J62" s="2"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พ.ร.บ. ยา พ.ศ. 2510</t>
        </is>
      </c>
      <c r="M62" s="2" t="inlineStr">
        <is>
          <t>SAP</t>
        </is>
      </c>
      <c r="N62" s="2" t="inlineStr">
        <is>
          <t>ข้อ 83 Pharma Plus เล่มม่วง (เฉลยข้อ ข ง)</t>
        </is>
      </c>
      <c r="O62" s="2" t="inlineStr">
        <is>
          <t>Mock</t>
        </is>
      </c>
      <c r="P62" s="2" t="inlineStr">
        <is>
          <t>Pharma Plus เล่มม่วง</t>
        </is>
      </c>
    </row>
    <row r="63" ht="13.2" customHeight="1" s="49">
      <c r="A63" s="2" t="n">
        <v>84</v>
      </c>
      <c r="B63" s="2" t="inlineStr">
        <is>
          <t>Bromhexine จัดอยู่ในยาประเภทใดตาม พรบ. ยา 2510</t>
        </is>
      </c>
      <c r="C63" s="2" t="n"/>
      <c r="D63" s="2" t="inlineStr">
        <is>
          <t>ยาสามัญประจำบ้าน</t>
        </is>
      </c>
      <c r="E63" s="2" t="inlineStr">
        <is>
          <t>ยาบรรจุเสร็จที่ไม่ใช่ยาอันตรายและยาควบคุมพิเศษ</t>
        </is>
      </c>
      <c r="F63" s="2" t="inlineStr">
        <is>
          <t>ยาอันตราย</t>
        </is>
      </c>
      <c r="G63" s="2" t="inlineStr">
        <is>
          <t>ยาควบคุมพิเศษ</t>
        </is>
      </c>
      <c r="H63" s="2" t="inlineStr">
        <is>
          <t>ไม่มีข้อถูก</t>
        </is>
      </c>
      <c r="I63" s="2" t="n">
        <v>2</v>
      </c>
      <c r="J63" s="2"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พ.ร.บ. ยา พ.ศ. 2510</t>
        </is>
      </c>
      <c r="M63" s="2" t="inlineStr">
        <is>
          <t>SAP</t>
        </is>
      </c>
      <c r="N63" s="2" t="inlineStr">
        <is>
          <t>ข้อ 84 Pharma Plus เล่มม่วง (เฉลยข้อ ข)</t>
        </is>
      </c>
      <c r="O63" s="2" t="inlineStr">
        <is>
          <t>Mock</t>
        </is>
      </c>
      <c r="P63" s="2" t="inlineStr">
        <is>
          <t>Pharma Plus เล่มม่วง</t>
        </is>
      </c>
    </row>
    <row r="64" ht="13.2" customHeight="1" s="49">
      <c r="A64" s="2" t="n">
        <v>85</v>
      </c>
      <c r="B64" s="2" t="inlineStr">
        <is>
          <t>ข้างขวดยา GPO vir S 40 เขียนว่า 2A 2/46 (NC)
ข้อใดกล่าวไม่ถูกต้อง</t>
        </is>
      </c>
      <c r="C64" s="2" t="n"/>
      <c r="D64" s="2" t="inlineStr">
        <is>
          <t>ยานี้จดทะเบียนยาแบบมีเงื่อนไข</t>
        </is>
      </c>
      <c r="E64" s="2" t="inlineStr">
        <is>
          <t>เป็นยาแผนปัจจุบันสำหรับมนุษย์</t>
        </is>
      </c>
      <c r="F64" s="2" t="inlineStr">
        <is>
          <t>เป็นยาผสม</t>
        </is>
      </c>
      <c r="G64" s="2" t="inlineStr">
        <is>
          <t>เป็นยาแบ่งบรรจุ</t>
        </is>
      </c>
      <c r="H64" s="2" t="inlineStr">
        <is>
          <t>เป็นยาใหม่</t>
        </is>
      </c>
      <c r="I64" s="2" t="n">
        <v>4</v>
      </c>
      <c r="J64" s="2"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พ.ร.บ. ยา พ.ศ. 2510</t>
        </is>
      </c>
      <c r="M64" s="2" t="inlineStr">
        <is>
          <t>SAP</t>
        </is>
      </c>
      <c r="N64" s="2" t="inlineStr">
        <is>
          <t>ข้อ 85 Pharma Plus เล่มม่วง (เฉลยข้อ ง)</t>
        </is>
      </c>
      <c r="O64" s="2" t="inlineStr">
        <is>
          <t>Mock</t>
        </is>
      </c>
      <c r="P64" s="2" t="inlineStr">
        <is>
          <t>Pharma Plus เล่มม่วง</t>
        </is>
      </c>
    </row>
    <row r="65" ht="13.2" customHeight="1" s="49">
      <c r="A65" s="2" t="n">
        <v>86</v>
      </c>
      <c r="B65" s="2" t="inlineStr">
        <is>
          <t>ยาต้านไวรัสเอชไอวีเป็นยาประเภทใดตามกฎหมายไทย</t>
        </is>
      </c>
      <c r="C65" s="2" t="n"/>
      <c r="D65" s="2" t="inlineStr">
        <is>
          <t>ยากำพร้า</t>
        </is>
      </c>
      <c r="E65" s="2" t="inlineStr">
        <is>
          <t>ยาควบคุมพิเศษ</t>
        </is>
      </c>
      <c r="F65" s="2" t="inlineStr">
        <is>
          <t>ยาสามัญประจำบ้าน</t>
        </is>
      </c>
      <c r="G65" s="2" t="inlineStr">
        <is>
          <t>ยาอันตราย</t>
        </is>
      </c>
      <c r="H65" s="2" t="inlineStr">
        <is>
          <t>ถูกทั้งข้อ ก. และ ข.</t>
        </is>
      </c>
      <c r="I65" s="2" t="n">
        <v>2</v>
      </c>
      <c r="J65"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พ.ร.บ. ยา พ.ศ. 2510</t>
        </is>
      </c>
      <c r="M65" s="2" t="inlineStr">
        <is>
          <t>SAP</t>
        </is>
      </c>
      <c r="N65" s="2" t="inlineStr">
        <is>
          <t>ข้อ 86 Pharma Plus เล่มม่วง (เฉลยข้อ ข)</t>
        </is>
      </c>
      <c r="O65" s="2" t="inlineStr">
        <is>
          <t>Mock</t>
        </is>
      </c>
      <c r="P65" s="2" t="inlineStr">
        <is>
          <t>Pharma Plus เล่มม่วง</t>
        </is>
      </c>
    </row>
    <row r="66" ht="13.2" customHeight="1" s="49">
      <c r="A66" s="2" t="n">
        <v>87</v>
      </c>
      <c r="B66" s="2" t="inlineStr">
        <is>
          <t>ยาในข้อใดไม่จัดอยู่ในประเภททายาตามกฎหมายประเภทเดียวกับ ciprofloxacin</t>
        </is>
      </c>
      <c r="C66" s="2" t="n"/>
      <c r="D66" s="2" t="inlineStr">
        <is>
          <t>Oristat tablets</t>
        </is>
      </c>
      <c r="E66" s="2" t="inlineStr">
        <is>
          <t>Topical 0.05% isotretinoin</t>
        </is>
      </c>
      <c r="F66" s="2" t="inlineStr">
        <is>
          <t>0.1% TA cream</t>
        </is>
      </c>
      <c r="G66" s="2" t="inlineStr">
        <is>
          <t>Carbocystein tablets</t>
        </is>
      </c>
      <c r="H66" s="2" t="inlineStr">
        <is>
          <t>Fluoxitine tablets</t>
        </is>
      </c>
      <c r="I66" s="2" t="n">
        <v>4</v>
      </c>
      <c r="J66" s="2"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พ.ร.บ. ยา พ.ศ. 2510</t>
        </is>
      </c>
      <c r="M66" s="2" t="inlineStr">
        <is>
          <t>SAP</t>
        </is>
      </c>
      <c r="N66" s="2" t="inlineStr">
        <is>
          <t>ข้อ 87 Pharma Plus เล่มม่วง (เฉลยข้อ ง)</t>
        </is>
      </c>
      <c r="O66" s="2" t="inlineStr">
        <is>
          <t>Mock</t>
        </is>
      </c>
      <c r="P66" s="2" t="inlineStr">
        <is>
          <t>Pharma Plus เล่มม่วง</t>
        </is>
      </c>
    </row>
    <row r="67" ht="13.2" customHeight="1" s="49">
      <c r="A67" s="2" t="n">
        <v>88</v>
      </c>
      <c r="B67" s="2" t="inlineStr">
        <is>
          <t>เภสัชกรไม่ควรหยิบ ciprofloxacin จากขวดใดให้ คนไข้</t>
        </is>
      </c>
      <c r="C67" s="2" t="n"/>
      <c r="D67" s="2" t="inlineStr">
        <is>
          <t>ขวดที่มียาเม็ดเปลี่ยนสี</t>
        </is>
      </c>
      <c r="E67" s="2" t="inlineStr">
        <is>
          <t>ขวดที่มียาเม็ดบิ่น</t>
        </is>
      </c>
      <c r="F67" s="2" t="inlineStr">
        <is>
          <t>ที่ขวดเขียนว่า Mfd. 02/2010</t>
        </is>
      </c>
      <c r="G67" s="2" t="inlineStr">
        <is>
          <t>ที่ขวดเขียนว่า Exp. 02/2015</t>
        </is>
      </c>
      <c r="H67" s="2" t="inlineStr">
        <is>
          <t>ขวดที่ฉลากมีรอยเปื้อน</t>
        </is>
      </c>
      <c r="I67" s="2" t="n">
        <v>1</v>
      </c>
      <c r="J67" s="2"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พ.ร.บ. ยา พ.ศ. 2510</t>
        </is>
      </c>
      <c r="M67" s="2" t="inlineStr">
        <is>
          <t>SAP</t>
        </is>
      </c>
      <c r="N67" s="2" t="inlineStr">
        <is>
          <t>ข้อ 88 Pharma Plus เล่มม่วง (เฉลยข้อ ก ง)</t>
        </is>
      </c>
      <c r="O67" s="2" t="inlineStr">
        <is>
          <t>Mock</t>
        </is>
      </c>
      <c r="P67" s="2" t="inlineStr">
        <is>
          <t>Pharma Plus เล่มม่วง</t>
        </is>
      </c>
    </row>
    <row r="68" ht="13.2" customHeight="1" s="49">
      <c r="A68" s="2" t="n">
        <v>95</v>
      </c>
      <c r="B68" s="2" t="inlineStr">
        <is>
          <t>Sucralfate เป็นยาในบัญชียาหลักแห่งชาติ ในหมวดบัญชี ค หมายถึงข้อใด</t>
        </is>
      </c>
      <c r="C68" s="2" t="n"/>
      <c r="D68" s="2"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2"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2" t="inlineStr">
        <is>
          <t>รายการยาที่ต้องใช้ในโรคเฉพาะทาง โดยผู้ชำนาญ หรือผู้ที่ได้รับมอบหมายจากผู้อำนวยการของสถานพยาบาลนั้น ๆ</t>
        </is>
      </c>
      <c r="G68" s="2"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2"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2" t="n">
        <v>3</v>
      </c>
      <c r="J68"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พ.ร.บ. ยา พ.ศ. 2510</t>
        </is>
      </c>
      <c r="M68" s="2" t="inlineStr">
        <is>
          <t>SAP</t>
        </is>
      </c>
      <c r="N68" s="2" t="inlineStr">
        <is>
          <t>ข้อ 95 Pharma Plus เล่มม่วง (เฉลยข้อ ค)</t>
        </is>
      </c>
      <c r="O68" s="2" t="inlineStr">
        <is>
          <t>Mock</t>
        </is>
      </c>
      <c r="P68" s="2" t="inlineStr">
        <is>
          <t>Pharma Plus เล่มม่วง</t>
        </is>
      </c>
    </row>
    <row r="69" ht="13.2" customHeight="1" s="49">
      <c r="A69" s="2" t="n">
        <v>96</v>
      </c>
      <c r="B69" s="2" t="inlineStr">
        <is>
          <t>องค์การเภสัชกรรมมีการผลิตและมีจำหน่ายยา praziquantel เภสัชกรประจำโรงพยาบาลทำการสั่งซื้อยาอย่างไร</t>
        </is>
      </c>
      <c r="C69" s="2" t="n"/>
      <c r="D69" s="2" t="inlineStr">
        <is>
          <t>ตกลงราคาถ้าวงเงินไม่เกิน 100,000 บาท</t>
        </is>
      </c>
      <c r="E69" s="2" t="inlineStr">
        <is>
          <t>สอบราคาถ้าวงเงินไม่เกิน 100,000 บาท</t>
        </is>
      </c>
      <c r="F69" s="2" t="inlineStr">
        <is>
          <t>ประกวดราคาถ้าวงเงินไม่เกิน 100,000 บาท</t>
        </is>
      </c>
      <c r="G69" s="2" t="inlineStr">
        <is>
          <t>วิธีพิเศษไม่จำกัดวงเงิน</t>
        </is>
      </c>
      <c r="H69" s="2" t="inlineStr">
        <is>
          <t>วิธีกรณีพิเศษไม่จำกัดวงเงิน</t>
        </is>
      </c>
      <c r="I69" s="2" t="n">
        <v>5</v>
      </c>
      <c r="J69" s="2"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พ.ร.บ. ยา พ.ศ. 2510</t>
        </is>
      </c>
      <c r="M69" s="2" t="inlineStr">
        <is>
          <t>SAP</t>
        </is>
      </c>
      <c r="N69" s="2" t="inlineStr">
        <is>
          <t>ข้อ 96 Pharma Plus เล่มม่วง (เฉลยข้อ จ)</t>
        </is>
      </c>
      <c r="O69" s="2" t="inlineStr">
        <is>
          <t>Mock</t>
        </is>
      </c>
      <c r="P69" s="2" t="inlineStr">
        <is>
          <t>Pharma Plus เล่มม่วง</t>
        </is>
      </c>
    </row>
    <row r="70" ht="13.2" customHeight="1" s="49">
      <c r="A70" s="2" t="n">
        <v>97</v>
      </c>
      <c r="B70" s="2" t="inlineStr">
        <is>
          <t>ถ้ายา antacid วิเคราะห์พบว่า มีตัวยาสำคัญ 3.05 mg/100 ml แต่ในฉลากยาระบุว่า 4.4 mg/100 ml ถามว่าจัดเป็นยากลุ่มใด</t>
        </is>
      </c>
      <c r="C70" s="2" t="n"/>
      <c r="D70" s="2" t="inlineStr">
        <is>
          <t>ยาปลอม</t>
        </is>
      </c>
      <c r="E70" s="2" t="inlineStr">
        <is>
          <t>ยาปนเปื้อน</t>
        </is>
      </c>
      <c r="F70" s="2" t="inlineStr">
        <is>
          <t>ยาผิดมาตรฐาน</t>
        </is>
      </c>
      <c r="G70" s="2" t="inlineStr">
        <is>
          <t>ยาอันตราย</t>
        </is>
      </c>
      <c r="H70" s="2" t="inlineStr">
        <is>
          <t>ยาเรียกคืน</t>
        </is>
      </c>
      <c r="I70" s="2" t="n">
        <v>1</v>
      </c>
      <c r="J7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พ.ร.บ. ยา พ.ศ. 2510</t>
        </is>
      </c>
      <c r="M70" s="2" t="inlineStr">
        <is>
          <t>SAP</t>
        </is>
      </c>
      <c r="N70" s="2" t="inlineStr">
        <is>
          <t>ข้อ 97 Pharma Plus เล่มม่วง (เฉลยข้อ ก)</t>
        </is>
      </c>
      <c r="O70" s="2" t="inlineStr">
        <is>
          <t>Mock</t>
        </is>
      </c>
      <c r="P70" s="2" t="inlineStr">
        <is>
          <t>Pharma Plus เล่มม่วง</t>
        </is>
      </c>
    </row>
    <row r="71" ht="13.2" customHeight="1" s="49">
      <c r="A71" s="2" t="n">
        <v>98</v>
      </c>
      <c r="B71" s="2" t="inlineStr">
        <is>
          <t>ข้อใดถูก</t>
        </is>
      </c>
      <c r="C71" s="2" t="n"/>
      <c r="D71" s="2" t="inlineStr">
        <is>
          <t>ยาสามัญประจำบ้าน ต้องบอกเฉพาะชื่อสามัญ ห้ามเขียนชื่อการค้า</t>
        </is>
      </c>
      <c r="E71" s="2" t="inlineStr">
        <is>
          <t>ยาสามัญประจำบ้าน ต้องเขียนคำว่า "ยาสามัญประจำบ้าน" ตัวสีแดงระบุไว้</t>
        </is>
      </c>
      <c r="F71" s="2" t="inlineStr">
        <is>
          <t>องค์การเภสัชกรรมต้องขออนุญาตผลิตยาในกรณีที่ไม่ใช่ยาสามัญประจำบ้าน</t>
        </is>
      </c>
      <c r="G71" s="2" t="inlineStr">
        <is>
          <t>โฆษณาได้แต่ต้องขออนุญาตก่อน รวมถึงในกรณีที่โฆษณากับผู้ประกอบโรคศิลป์ผ่านสื่อต่างๆ</t>
        </is>
      </c>
      <c r="H71" s="2" t="inlineStr">
        <is>
          <t>ยาสามัญประจำบ้าน ในกรณีไม่มีพื้นที่เพียงพอไม่ต้องเขียนคำว่า "ยาสามัญประจำบ้าน" ได้แต่ต้องขออนุญาต</t>
        </is>
      </c>
      <c r="I71" s="2" t="n">
        <v>4</v>
      </c>
      <c r="J71" s="2"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พ.ร.บ. ยา พ.ศ. 2510</t>
        </is>
      </c>
      <c r="M71" s="2" t="inlineStr">
        <is>
          <t>SAP</t>
        </is>
      </c>
      <c r="N71" s="2" t="inlineStr">
        <is>
          <t>ข้อ 98 Pharma Plus เล่มม่วง (เฉลยข้อ ง)</t>
        </is>
      </c>
      <c r="O71" s="2" t="inlineStr">
        <is>
          <t>Mock</t>
        </is>
      </c>
      <c r="P71" s="2" t="inlineStr">
        <is>
          <t>Pharma Plus เล่มม่วง</t>
        </is>
      </c>
    </row>
    <row r="72" ht="13.2" customHeight="1" s="49">
      <c r="A72" s="2" t="n">
        <v>99</v>
      </c>
      <c r="B72" s="2" t="inlineStr">
        <is>
          <t>เภสัชกรร้านยา สามารถจ่ายยาแก่ผู้ป่วยรายนี้ ตามกรณีใดได้ โดยไม่ผิด ตาม พ.ร.บ. ยา 2510</t>
        </is>
      </c>
      <c r="C72" s="2" t="n"/>
      <c r="D72" s="2" t="inlineStr">
        <is>
          <t>จ่ายยา diclofenac tab 25 mg ที่เลยวันหมดอายุตามฉลากไปแล้ว 2 วัน</t>
        </is>
      </c>
      <c r="E72" s="2" t="inlineStr">
        <is>
          <t>จ่ายยา piroxicam cap 10 mg ที่ยังไม่ถึงวันหมดอายุตามฉลาก แต่ลักษณะเม็ดยากระด่างกระดำ</t>
        </is>
      </c>
      <c r="F72" s="2" t="inlineStr">
        <is>
          <t>จ่ายยาเม็ด tolperisone 50 mg และ diclofenac 25 mg ใส่ในซองเดียวกัน อย่างละ 1 เม็ด หลังอาหาร</t>
        </is>
      </c>
      <c r="G72" s="2"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2" t="inlineStr">
        <is>
          <t>นำยา rofecoxib 25 mg ซึ่งซื้อมาจากร้านค้าปลอดภาษีที่สิงคโปร์และมีราคาถูกกว่าทำในประเทศไทยมาขายที่ร้านยา</t>
        </is>
      </c>
      <c r="I72" s="2" t="n">
        <v>4</v>
      </c>
      <c r="J72" s="2"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พ.ร.บ. ยา พ.ศ. 2510</t>
        </is>
      </c>
      <c r="M72" s="2" t="inlineStr">
        <is>
          <t>SAP</t>
        </is>
      </c>
      <c r="N72" s="2" t="inlineStr">
        <is>
          <t>ข้อ 99 Pharma Plus เล่มม่วง (เฉลยข้อ ง)</t>
        </is>
      </c>
      <c r="O72" s="2" t="inlineStr">
        <is>
          <t>Mock</t>
        </is>
      </c>
      <c r="P72" s="2" t="inlineStr">
        <is>
          <t>Pharma Plus เล่มม่วง</t>
        </is>
      </c>
    </row>
    <row r="73" ht="13.2" customHeight="1" s="49">
      <c r="A73" s="2" t="n">
        <v>100</v>
      </c>
      <c r="B73" s="2"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2" t="n"/>
      <c r="D73" s="2" t="inlineStr">
        <is>
          <t>Cost minimization analysis (CMA)</t>
        </is>
      </c>
      <c r="E73" s="2" t="inlineStr">
        <is>
          <t>Cost benefit analysis</t>
        </is>
      </c>
      <c r="F73" s="2" t="inlineStr">
        <is>
          <t>Cost utility analysis</t>
        </is>
      </c>
      <c r="G73" s="2" t="inlineStr">
        <is>
          <t>Cost effectiveness analysis (CEA)</t>
        </is>
      </c>
      <c r="H73" s="2" t="inlineStr">
        <is>
          <t>ถูกทุกข้อ</t>
        </is>
      </c>
      <c r="I73" s="2" t="n">
        <v>4</v>
      </c>
      <c r="J73" s="2"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พ.ร.บ. ยา พ.ศ. 2510</t>
        </is>
      </c>
      <c r="M73" s="2" t="inlineStr">
        <is>
          <t>SAP</t>
        </is>
      </c>
      <c r="N73" s="2" t="inlineStr">
        <is>
          <t>ข้อ 100 Pharma Plus เล่มม่วง (เฉลยข้อ ง)</t>
        </is>
      </c>
      <c r="O73" s="2" t="inlineStr">
        <is>
          <t>Mock</t>
        </is>
      </c>
      <c r="P73" s="2" t="inlineStr">
        <is>
          <t>Pharma Plus เล่มม่วง</t>
        </is>
      </c>
    </row>
    <row r="74" ht="13.2" customHeight="1" s="49">
      <c r="A74" s="2" t="n">
        <v>101</v>
      </c>
      <c r="B74" s="2" t="inlineStr">
        <is>
          <t>เภสัชกรที่ร้านขายยาไม่สามารถจ่ายยาต่อไปนี้ให้ผู้ป่วยรายนี้ได้</t>
        </is>
      </c>
      <c r="C74" s="2" t="n"/>
      <c r="D74" s="2" t="inlineStr">
        <is>
          <t>ยา allopurinol เนื่องจากเป็นยาอันตราย</t>
        </is>
      </c>
      <c r="E74" s="2" t="inlineStr">
        <is>
          <t>ยา colchicine เนื่องจากเป็นยาอันตราย</t>
        </is>
      </c>
      <c r="F74" s="2" t="inlineStr">
        <is>
          <t>ยา etoricoxib เนื่องจากเป็นยาควบคุมพิเศษ</t>
        </is>
      </c>
      <c r="G74" s="2" t="inlineStr">
        <is>
          <t>ยา prednisolone เนื่องจากเป็นยาควบคุมพิเศษ</t>
        </is>
      </c>
      <c r="H74" s="2" t="inlineStr">
        <is>
          <t>เภสัชกรสามารถจ่ายยาได้ทุกข้อ</t>
        </is>
      </c>
      <c r="I74" s="2" t="n">
        <v>4</v>
      </c>
      <c r="J74" s="2"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พ.ร.บ. ยา พ.ศ. 2510</t>
        </is>
      </c>
      <c r="M74" s="2" t="inlineStr">
        <is>
          <t>SAP</t>
        </is>
      </c>
      <c r="N74" s="2" t="inlineStr">
        <is>
          <t>ข้อ 101 Pharma Plus เล่มม่วง (เฉลยข้อ ง)</t>
        </is>
      </c>
      <c r="O74" s="2" t="inlineStr">
        <is>
          <t>Mock</t>
        </is>
      </c>
      <c r="P74" s="2" t="inlineStr">
        <is>
          <t>Pharma Plus เล่มม่วง</t>
        </is>
      </c>
    </row>
    <row r="75" ht="13.2" customHeight="1" s="49">
      <c r="A75" s="2" t="n">
        <v>104</v>
      </c>
      <c r="B75" s="2"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2" t="n"/>
      <c r="D75" s="2" t="inlineStr">
        <is>
          <t>Cohort study</t>
        </is>
      </c>
      <c r="E75" s="2" t="inlineStr">
        <is>
          <t>Crossover study</t>
        </is>
      </c>
      <c r="F75" s="2" t="inlineStr">
        <is>
          <t>Control study</t>
        </is>
      </c>
      <c r="G75" s="2" t="inlineStr">
        <is>
          <t>Case-control study</t>
        </is>
      </c>
      <c r="H75" s="2" t="inlineStr">
        <is>
          <t>Cross-section study</t>
        </is>
      </c>
      <c r="I75" s="2" t="n">
        <v>3</v>
      </c>
      <c r="J75" s="2"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พ.ร.บ. ยา พ.ศ. 2510</t>
        </is>
      </c>
      <c r="M75" s="2" t="inlineStr">
        <is>
          <t>SAP</t>
        </is>
      </c>
      <c r="N75" s="2" t="inlineStr">
        <is>
          <t>ข้อ 104 Pharma Plus เล่มม่วง (เฉลยข้อ ค)</t>
        </is>
      </c>
      <c r="O75" s="2" t="inlineStr">
        <is>
          <t>Mock</t>
        </is>
      </c>
      <c r="P75" s="2" t="inlineStr">
        <is>
          <t>Pharma Plus เล่มม่วง</t>
        </is>
      </c>
    </row>
    <row r="76" ht="13.2" customHeight="1" s="49">
      <c r="A76" s="2" t="n">
        <v>107</v>
      </c>
      <c r="B76" s="2" t="inlineStr">
        <is>
          <t>เด็กทารกได้รับการฉีดวัคซีน หลังจากนั้นเด็กมีอาการไข้สูง 39 °C ชัก จะมาเรียกร้องค่าเสียหายได้หรือไม่ เพราะเหตุใด</t>
        </is>
      </c>
      <c r="C76" s="2" t="n"/>
      <c r="D76" s="2" t="inlineStr">
        <is>
          <t>ได้ ผู้บริโภคมีสิทธิที่จะได้รับการพิจารณาและได้รับค่าเสียหาย</t>
        </is>
      </c>
      <c r="E76" s="2" t="inlineStr">
        <is>
          <t>ได้ ผู้บริโภคมีสิทธิที่จะปฏิเสธไม่รับวัคซีน</t>
        </is>
      </c>
      <c r="F76" s="2" t="inlineStr">
        <is>
          <t>ไม่ได้ เนื่องจากผู้บริโภคมีสิทธิที่จะทราบผลดี ผลเสีย แต่ไม่ทำ</t>
        </is>
      </c>
      <c r="G76" s="2" t="inlineStr">
        <is>
          <t>ไม่ได้ เนื่องจากอาการข้างเคียงที่เกิดขึ้นพบน้อย</t>
        </is>
      </c>
      <c r="H76" s="2" t="inlineStr">
        <is>
          <t>ไม่ได้ เนื่องจากไม่มีความผิดในการรักษา</t>
        </is>
      </c>
      <c r="I76" s="2" t="n">
        <v>5</v>
      </c>
      <c r="J76" s="2"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2" t="n"/>
      <c r="L76" s="2" t="inlineStr">
        <is>
          <t>พ.ร.บ. ยา พ.ศ. 2510</t>
        </is>
      </c>
      <c r="M76" s="2" t="inlineStr">
        <is>
          <t>SAP</t>
        </is>
      </c>
      <c r="N76" s="2" t="inlineStr">
        <is>
          <t>ข้อ 107 Pharma Plus เล่มม่วง (เฉลยข้อ จ)</t>
        </is>
      </c>
      <c r="O76" s="2" t="inlineStr">
        <is>
          <t>Mock</t>
        </is>
      </c>
      <c r="P76" s="2" t="inlineStr">
        <is>
          <t>Pharma Plus เล่มม่วง</t>
        </is>
      </c>
    </row>
    <row r="77" ht="13.2" customHeight="1" s="49">
      <c r="A77" s="2" t="n">
        <v>108</v>
      </c>
      <c r="B77" s="2"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2" t="n"/>
      <c r="D77" s="2" t="inlineStr">
        <is>
          <t>ยาปลอม</t>
        </is>
      </c>
      <c r="E77" s="2" t="inlineStr">
        <is>
          <t>ยาปนเปื้อน</t>
        </is>
      </c>
      <c r="F77" s="2" t="inlineStr">
        <is>
          <t>ยาผิดมาตรฐาน</t>
        </is>
      </c>
      <c r="G77" s="2" t="inlineStr">
        <is>
          <t>ยาด้อยคุณภาพ</t>
        </is>
      </c>
      <c r="H77" s="2" t="inlineStr">
        <is>
          <t>ยาเสื่อมคุณภาพ</t>
        </is>
      </c>
      <c r="I77" s="2" t="n">
        <v>1</v>
      </c>
      <c r="J77"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2" t="n"/>
      <c r="L77" s="2" t="inlineStr">
        <is>
          <t>พ.ร.บ. ยา พ.ศ. 2510</t>
        </is>
      </c>
      <c r="M77" s="2" t="inlineStr">
        <is>
          <t>SAP</t>
        </is>
      </c>
      <c r="N77" s="2" t="inlineStr">
        <is>
          <t>ข้อ 108 Pharma Plus เล่มม่วง (เฉลยข้อ ก)</t>
        </is>
      </c>
      <c r="O77" s="2" t="inlineStr">
        <is>
          <t>Mock</t>
        </is>
      </c>
      <c r="P77" s="2" t="inlineStr">
        <is>
          <t>Pharma Plus เล่มม่วง</t>
        </is>
      </c>
    </row>
    <row r="78" ht="13.2" customHeight="1" s="49">
      <c r="A78" s="2" t="n">
        <v>109</v>
      </c>
      <c r="B78" s="2" t="inlineStr">
        <is>
          <t>ข้อใดไม่ใช่ใช้อำนาจของสารวัตรอาหารและยา ในการปฏิบัติหน้าที่ตามพระราชบัญญัติยา</t>
        </is>
      </c>
      <c r="C78" s="2" t="n"/>
      <c r="D78" s="2" t="inlineStr">
        <is>
          <t>ยึดหรืออายัดยา</t>
        </is>
      </c>
      <c r="E78" s="2" t="inlineStr">
        <is>
          <t>เข้าไปตรวจร้านยานอกเวลาทำการ</t>
        </is>
      </c>
      <c r="F78" s="2" t="inlineStr">
        <is>
          <t>นำยาไปทำลายตามข้อกำหนดกระทรวง</t>
        </is>
      </c>
      <c r="G78" s="2" t="inlineStr">
        <is>
          <t>นำยาไปเป็นตัวอย่างเพื่อการตรวจวิเคราะห์</t>
        </is>
      </c>
      <c r="H78" s="2" t="inlineStr">
        <is>
          <t>ให้ร้านยาเรียกเก็บคืนภายในเวลาที่กำหนด</t>
        </is>
      </c>
      <c r="I78" s="2" t="n">
        <v>2</v>
      </c>
      <c r="J78" s="2"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2" t="n"/>
      <c r="L78" s="2" t="inlineStr">
        <is>
          <t>พ.ร.บ. ยา พ.ศ. 2510</t>
        </is>
      </c>
      <c r="M78" s="2" t="inlineStr">
        <is>
          <t>SAP</t>
        </is>
      </c>
      <c r="N78" s="2" t="inlineStr">
        <is>
          <t>ข้อ 109 Pharma Plus เล่มม่วง (เฉลยข้อ ข)</t>
        </is>
      </c>
      <c r="O78" s="2" t="inlineStr">
        <is>
          <t>Mock</t>
        </is>
      </c>
      <c r="P78" s="2" t="inlineStr">
        <is>
          <t>Pharma Plus เล่มม่วง</t>
        </is>
      </c>
    </row>
    <row r="79" ht="13.2" customHeight="1" s="49">
      <c r="A79" s="2" t="n">
        <v>110</v>
      </c>
      <c r="B79" s="2" t="inlineStr">
        <is>
          <t>ตามกฎหมายไทยในปัจจุบัน ยากลุ่มใดที่ต้องใช้ใบสั่งแพทย์ในการจ่ายยา</t>
        </is>
      </c>
      <c r="C79" s="2" t="n"/>
      <c r="D79" s="2" t="inlineStr">
        <is>
          <t>Antipsychotic drugs</t>
        </is>
      </c>
      <c r="E79" s="2" t="inlineStr">
        <is>
          <t>Hypnotic drugs กลุ่ม BZD</t>
        </is>
      </c>
      <c r="F79" s="2" t="inlineStr">
        <is>
          <t>Antidepressant กลุ่ม SSRI</t>
        </is>
      </c>
      <c r="G79" s="2" t="inlineStr">
        <is>
          <t>Melatonin receptor agonist</t>
        </is>
      </c>
      <c r="H79" s="2" t="inlineStr">
        <is>
          <t>ถูกทุกข้อ</t>
        </is>
      </c>
      <c r="I79" s="2" t="n">
        <v>1</v>
      </c>
      <c r="J79" s="2"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2" t="n"/>
      <c r="L79" s="2" t="inlineStr">
        <is>
          <t>พ.ร.บ. ยา พ.ศ. 2510</t>
        </is>
      </c>
      <c r="M79" s="2" t="inlineStr">
        <is>
          <t>SAP</t>
        </is>
      </c>
      <c r="N79" s="2" t="inlineStr">
        <is>
          <t>ข้อ 110 Pharma Plus เล่มม่วง (เฉลยข้อ ก ข)</t>
        </is>
      </c>
      <c r="O79" s="2" t="inlineStr">
        <is>
          <t>Mock</t>
        </is>
      </c>
      <c r="P79" s="2" t="inlineStr">
        <is>
          <t>Pharma Plus เล่มม่วง</t>
        </is>
      </c>
    </row>
    <row r="80" ht="13.2" customHeight="1" s="49">
      <c r="A80" s="2" t="n">
        <v>111</v>
      </c>
      <c r="B80" s="2" t="inlineStr">
        <is>
          <t>เหตุใดร้านขายยาจึงขาย Phenobarbital ไม่ได้</t>
        </is>
      </c>
      <c r="C80" s="2" t="n"/>
      <c r="D80" s="2" t="inlineStr">
        <is>
          <t>เพราะยังไม่มีใบอนุญาตมีจำหน่ายวัตถุออกฤทธิ์ต่อจิตประสาทประเภท 3</t>
        </is>
      </c>
      <c r="E80" s="2" t="inlineStr">
        <is>
          <t>เพราะยังไม่มีใบอนุญาตมีจำหน่ายวัตถุออกฤทธิ์ต่อจิตประสาทประเภท 4</t>
        </is>
      </c>
      <c r="F80" s="2" t="inlineStr">
        <is>
          <t>เพราะยังไม่มีใบอนุญาตมีจำหน่ายยาอันตราย</t>
        </is>
      </c>
      <c r="G80" s="2" t="inlineStr">
        <is>
          <t>เพราะยังไม่มีใบอนุญาตมีจำหน่ายยาควบคุมพิเศษ</t>
        </is>
      </c>
      <c r="H80" s="2" t="inlineStr">
        <is>
          <t>ไม่มีข้อใดถูก</t>
        </is>
      </c>
      <c r="I80" s="2" t="n">
        <v>2</v>
      </c>
      <c r="J80" s="2"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2" t="n"/>
      <c r="L80" s="2" t="inlineStr">
        <is>
          <t>พ.ร.บ. ยาเสพติดให้โทษ &amp; วัตถุออกฤทธิ์</t>
        </is>
      </c>
      <c r="M80" s="2" t="inlineStr">
        <is>
          <t>SAP</t>
        </is>
      </c>
      <c r="N80" s="2" t="inlineStr">
        <is>
          <t>ข้อ 111 Pharma Plus เล่มม่วง (เฉลยข้อ ข)</t>
        </is>
      </c>
      <c r="O80" s="2" t="inlineStr">
        <is>
          <t>Mock</t>
        </is>
      </c>
      <c r="P80" s="2" t="inlineStr">
        <is>
          <t>Pharma Plus เล่มม่วง</t>
        </is>
      </c>
    </row>
    <row r="81" ht="13.2" customHeight="1" s="49">
      <c r="A81" s="2" t="n">
        <v>112</v>
      </c>
      <c r="B81" s="2" t="inlineStr">
        <is>
          <t>ข้อใดถูกต้องเกี่ยวกับยา fluoxetine</t>
        </is>
      </c>
      <c r="C81" s="2" t="n"/>
      <c r="D81" s="2" t="inlineStr">
        <is>
          <t>จัดอยู่ในประเภทอันตราย เภสัชกรสามารถจ่ายได้ในร้านยา</t>
        </is>
      </c>
      <c r="E81" s="2" t="inlineStr">
        <is>
          <t>จัดอยู่ในประเภทควบคุมพิเศษ เภสัชกรไม่สามารถจ่ายได้</t>
        </is>
      </c>
      <c r="F81" s="2" t="inlineStr">
        <is>
          <t>จัดอยู่ในประเภทอันตราย จ่ายได้เฉพาะในโรงพยาบาล</t>
        </is>
      </c>
      <c r="G81" s="2" t="inlineStr">
        <is>
          <t>จัดอยู่ในประเภทยาเสพติดให้โทษประเภท 4 ต้องทำบัญชีรายงานคณะกรรมการอาหารและยา</t>
        </is>
      </c>
      <c r="H81" s="2" t="inlineStr">
        <is>
          <t>จัดอยู่ในประเภทวัตถุออกฤทธิ์ต่อจิตประสาท</t>
        </is>
      </c>
      <c r="I81" s="2" t="n">
        <v>1</v>
      </c>
      <c r="J81" s="2"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2" t="n"/>
      <c r="L81" s="2" t="inlineStr">
        <is>
          <t>พ.ร.บ. ยา พ.ศ. 2510</t>
        </is>
      </c>
      <c r="M81" s="2" t="inlineStr">
        <is>
          <t>SAP</t>
        </is>
      </c>
      <c r="N81" s="2" t="inlineStr">
        <is>
          <t>ข้อ 112 Pharma Plus เล่มม่วง (เฉลยข้อ ก)</t>
        </is>
      </c>
      <c r="O81" s="2" t="inlineStr">
        <is>
          <t>Mock</t>
        </is>
      </c>
      <c r="P81" s="2" t="inlineStr">
        <is>
          <t>Pharma Plus เล่มม่วง</t>
        </is>
      </c>
    </row>
    <row r="82" ht="13.2" customHeight="1" s="49">
      <c r="A82" s="2" t="n">
        <v>113</v>
      </c>
      <c r="B82" s="2" t="inlineStr">
        <is>
          <t>Clozapine จัดเป็นยาในข้อใด</t>
        </is>
      </c>
      <c r="C82" s="2" t="n"/>
      <c r="D82" s="2" t="inlineStr">
        <is>
          <t>ยาอันตราย</t>
        </is>
      </c>
      <c r="E82" s="2" t="inlineStr">
        <is>
          <t>ยาบรรจุเสร็จ</t>
        </is>
      </c>
      <c r="F82" s="2" t="inlineStr">
        <is>
          <t>วัตถุออกฤทธิ์ต่อจิตประสาท</t>
        </is>
      </c>
      <c r="G82" s="2" t="inlineStr">
        <is>
          <t>ยาเสพติด</t>
        </is>
      </c>
      <c r="H82" s="2" t="inlineStr">
        <is>
          <t>ยาควบคุมพิเศษ</t>
        </is>
      </c>
      <c r="I82" s="2" t="n">
        <v>5</v>
      </c>
      <c r="J82" s="2"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2" t="n"/>
      <c r="L82" s="2" t="inlineStr">
        <is>
          <t>พ.ร.บ. ยา พ.ศ. 2510</t>
        </is>
      </c>
      <c r="M82" s="2" t="inlineStr">
        <is>
          <t>SAP</t>
        </is>
      </c>
      <c r="N82" s="2" t="inlineStr">
        <is>
          <t>ข้อ 113 Pharma Plus เล่มม่วง (เฉลยข้อ จ)</t>
        </is>
      </c>
      <c r="O82" s="2" t="inlineStr">
        <is>
          <t>Mock</t>
        </is>
      </c>
      <c r="P82" s="2" t="inlineStr">
        <is>
          <t>Pharma Plus เล่มม่วง</t>
        </is>
      </c>
    </row>
    <row r="83" ht="13.2" customHeight="1" s="49">
      <c r="A83" s="2" t="n">
        <v>114</v>
      </c>
      <c r="B83" s="2" t="inlineStr">
        <is>
          <t>Flunarizine จัดเป็นยาในข้อใด</t>
        </is>
      </c>
      <c r="C83" s="2" t="n"/>
      <c r="D83" s="2" t="inlineStr">
        <is>
          <t>ยาอันตราย</t>
        </is>
      </c>
      <c r="E83" s="2" t="inlineStr">
        <is>
          <t>ยาบรรจุเสร็จ</t>
        </is>
      </c>
      <c r="F83" s="2" t="inlineStr">
        <is>
          <t>วัตถุออกฤทธิ์ต่อจิตประสาท</t>
        </is>
      </c>
      <c r="G83" s="2" t="inlineStr">
        <is>
          <t>ยาเสพติด</t>
        </is>
      </c>
      <c r="H83" s="2" t="inlineStr">
        <is>
          <t>ยาควบคุมพิเศษ</t>
        </is>
      </c>
      <c r="I83" s="2" t="n">
        <v>1</v>
      </c>
      <c r="J83"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2" t="n"/>
      <c r="L83" s="2" t="inlineStr">
        <is>
          <t>พ.ร.บ. ยา พ.ศ. 2510</t>
        </is>
      </c>
      <c r="M83" s="2" t="inlineStr">
        <is>
          <t>SAP</t>
        </is>
      </c>
      <c r="N83" s="2" t="inlineStr">
        <is>
          <t>ข้อ 114 Pharma Plus เล่มม่วง (เฉลยข้อ ก)</t>
        </is>
      </c>
      <c r="O83" s="2" t="inlineStr">
        <is>
          <t>Mock</t>
        </is>
      </c>
      <c r="P83" s="2" t="inlineStr">
        <is>
          <t>Pharma Plus เล่มม่วง</t>
        </is>
      </c>
    </row>
    <row r="84" ht="13.2" customHeight="1" s="49">
      <c r="A84" s="2" t="n">
        <v>115</v>
      </c>
      <c r="B84" s="2" t="inlineStr">
        <is>
          <t>ข้อใดไม่ใช่บทบาทเภสัชกรในการจ่ายยา clozapine</t>
        </is>
      </c>
      <c r="C84" s="2" t="n"/>
      <c r="D84" s="2" t="inlineStr">
        <is>
          <t>ต้องอยู่ประจำร้านเวลาเปิดการ</t>
        </is>
      </c>
      <c r="E84" s="2" t="inlineStr">
        <is>
          <t>ต้องจ่ายยาตามใบสั่งแพทย์</t>
        </is>
      </c>
      <c r="F84" s="2" t="inlineStr">
        <is>
          <t>ต้องควบคุมการจัดยาให้เป็นสัดส่วน</t>
        </is>
      </c>
      <c r="G84" s="2" t="inlineStr">
        <is>
          <t>ต้องควบคุมบัญชีซื้อ-จ่าย</t>
        </is>
      </c>
      <c r="H84" s="2" t="inlineStr">
        <is>
          <t>ต้องควบคุมการแบ่งบรรจุและฉลาก</t>
        </is>
      </c>
      <c r="I84" s="2" t="n">
        <v>5</v>
      </c>
      <c r="J84" s="2"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2" t="n"/>
      <c r="L84" s="2" t="inlineStr">
        <is>
          <t>พ.ร.บ. ยา พ.ศ. 2510</t>
        </is>
      </c>
      <c r="M84" s="2" t="inlineStr">
        <is>
          <t>SAP</t>
        </is>
      </c>
      <c r="N84" s="2" t="inlineStr">
        <is>
          <t>ข้อ 115 Pharma Plus เล่มม่วง (เฉลยข้อ จ)</t>
        </is>
      </c>
      <c r="O84" s="2" t="inlineStr">
        <is>
          <t>Mock</t>
        </is>
      </c>
      <c r="P84" s="2" t="inlineStr">
        <is>
          <t>Pharma Plus เล่มม่วง</t>
        </is>
      </c>
    </row>
    <row r="85" ht="13.2" customHeight="1" s="49">
      <c r="A85" s="2" t="n">
        <v>116</v>
      </c>
      <c r="B85" s="2" t="inlineStr">
        <is>
          <t>ข้อใดผิด</t>
        </is>
      </c>
      <c r="C85" s="2" t="n"/>
      <c r="D85" s="2" t="inlineStr">
        <is>
          <t>imipramine เป็นยาอันตราย</t>
        </is>
      </c>
      <c r="E85" s="2" t="inlineStr">
        <is>
          <t>วัตถุออกฤทธิ์ต่อจิตประสาท ประเภท 3 ห้ามขายในร้านยา</t>
        </is>
      </c>
      <c r="F85" s="2" t="inlineStr">
        <is>
          <t>ยาจิตเภทเป็นยาควบคุมพิเศษ</t>
        </is>
      </c>
      <c r="G85" s="2" t="inlineStr">
        <is>
          <t>ยาสงบระงับ (tranquilizer) เป็นยาอันตราย ยกเว้นประกาศเป็นยาควบคุมพิเศษ</t>
        </is>
      </c>
      <c r="H85" s="2" t="inlineStr">
        <is>
          <t>ยาสงบระงับ (tranquilizer) เป็นยาอันตราย ยกเว้นประกาศเป็นวัตถุออกฤทธิ์ต่อจิตประสาท</t>
        </is>
      </c>
      <c r="I85" s="2" t="n">
        <v>2</v>
      </c>
      <c r="J85" s="2"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2" t="n"/>
      <c r="L85" s="2" t="inlineStr">
        <is>
          <t>พ.ร.บ. ยา พ.ศ. 2510</t>
        </is>
      </c>
      <c r="M85" s="2" t="inlineStr">
        <is>
          <t>SAP</t>
        </is>
      </c>
      <c r="N85" s="2" t="inlineStr">
        <is>
          <t>ข้อ 116 Pharma Plus เล่มม่วง (เฉลยข้อ ข)</t>
        </is>
      </c>
      <c r="O85" s="2" t="inlineStr">
        <is>
          <t>Mock</t>
        </is>
      </c>
      <c r="P85" s="2" t="inlineStr">
        <is>
          <t>Pharma Plus เล่มม่วง</t>
        </is>
      </c>
    </row>
    <row r="86" ht="13.2" customHeight="1" s="49">
      <c r="A86" s="2" t="n">
        <v>117</v>
      </c>
      <c r="B86" s="2" t="inlineStr">
        <is>
          <t>ท่านสามารถจ่ายยา diazepam 5 mg tablet ได้หรือไม่</t>
        </is>
      </c>
      <c r="C86" s="2" t="n"/>
      <c r="D86" s="2" t="inlineStr">
        <is>
          <t>ได้ เพราะเป็นการจ่ายยาต่อเนื่องจากแพทย์ (refill medication)</t>
        </is>
      </c>
      <c r="E86" s="2" t="inlineStr">
        <is>
          <t>ได้ เพราะบ้านผู้ป่วยอยู่ห่างจากโรงพยาบาล 10 กิโลเมตร</t>
        </is>
      </c>
      <c r="F86" s="2" t="inlineStr">
        <is>
          <t>ไม่ได้ เพราะไม่อนุญาตให้ขายยานี้ในร้านยา</t>
        </is>
      </c>
      <c r="G86" s="2" t="inlineStr">
        <is>
          <t>ไม่ได้ เพราะยานี้ต้องจ่ายตามใบสั่งยา</t>
        </is>
      </c>
      <c r="H86" s="2" t="inlineStr">
        <is>
          <t>ไม่ได้ เพราะเป็นยาควบคุมพิเศษ</t>
        </is>
      </c>
      <c r="I86" s="2" t="n">
        <v>2</v>
      </c>
      <c r="J86" s="2"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2" t="n"/>
      <c r="L86" s="2" t="inlineStr">
        <is>
          <t>พ.ร.บ. ยา พ.ศ. 2510</t>
        </is>
      </c>
      <c r="M86" s="2" t="inlineStr">
        <is>
          <t>SAP</t>
        </is>
      </c>
      <c r="N86" s="2" t="inlineStr">
        <is>
          <t>ข้อ 117 Pharma Plus เล่มม่วง (เฉลยข้อ ข)</t>
        </is>
      </c>
      <c r="O86" s="2" t="inlineStr">
        <is>
          <t>Mock</t>
        </is>
      </c>
      <c r="P86" s="2" t="inlineStr">
        <is>
          <t>Pharma Plus เล่มม่วง</t>
        </is>
      </c>
    </row>
    <row r="87" ht="13.2" customHeight="1" s="49">
      <c r="A87" s="2" t="n">
        <v>118</v>
      </c>
      <c r="B87" s="2" t="inlineStr">
        <is>
          <t>จากข้อกำหนดเกณฑ์ขั้นตอนของร้านยาคุณภาพของสภาเภสัชกรรม ข้อใดไม่อยู่ในเกณฑ์ดังกล่าว</t>
        </is>
      </c>
      <c r="C87" s="2" t="n"/>
      <c r="D87" s="2"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2"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2" t="inlineStr">
        <is>
          <t>มีเภสัชกรเป็นผู้ส่งมอบยาให้แก่ผู้มารับบริการโดยตรง</t>
        </is>
      </c>
      <c r="G87" s="2" t="inlineStr">
        <is>
          <t>ห้ามส่งมอบยาอันตรายให้เด็กอายุต่ำกว่า 12 ปี ในทุกกรณี</t>
        </is>
      </c>
      <c r="H87" s="2" t="inlineStr">
        <is>
          <t>ไม่มีคำตอบที่ต้องการ</t>
        </is>
      </c>
      <c r="I87" s="2" t="n">
        <v>4</v>
      </c>
      <c r="J87" s="2"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2" t="n"/>
      <c r="L87" s="2" t="inlineStr">
        <is>
          <t>พ.ร.บ. วิชาชีพเภสัชกรรม 2537</t>
        </is>
      </c>
      <c r="M87" s="2" t="inlineStr">
        <is>
          <t>SAP</t>
        </is>
      </c>
      <c r="N87" s="2" t="inlineStr">
        <is>
          <t>ข้อ 118 Pharma Plus เล่มม่วง (เฉลยข้อ ง)</t>
        </is>
      </c>
      <c r="O87" s="2" t="inlineStr">
        <is>
          <t>Mock</t>
        </is>
      </c>
      <c r="P87" s="2" t="inlineStr">
        <is>
          <t>Pharma Plus เล่มม่วง</t>
        </is>
      </c>
    </row>
    <row r="88" ht="13.2" customHeight="1" s="49">
      <c r="A88" s="2" t="n">
        <v>119</v>
      </c>
      <c r="B88" s="2" t="inlineStr">
        <is>
          <t>บริษัทเตรียมสคลิปโฆษณายา norfloxacin เพื่อเตรียมออกอากาศทางทีวี ข้อใดกล่าวถูกต้อง เมื่ออ้างถึงพรบ. ยา 2510</t>
        </is>
      </c>
      <c r="C88" s="2" t="n"/>
      <c r="D88" s="2" t="inlineStr">
        <is>
          <t>สามารถมีการร้องรำทำเพลงประกอบโฆษณา norfloxacin ชนิดเม็ดได้</t>
        </is>
      </c>
      <c r="E88" s="2" t="inlineStr">
        <is>
          <t>สามารถมีเภสัชกรบอกสรรพคุณของยาได้</t>
        </is>
      </c>
      <c r="F88" s="2" t="inlineStr">
        <is>
          <t>การโฆษณานี้ สามารถมีรายการแถม คือซื้อ norfloxacin 100 เม็ด แถมยา paracetamol 1 แผง</t>
        </is>
      </c>
      <c r="G88" s="2" t="inlineStr">
        <is>
          <t>ยานี้จะโฆษณาผ่านทางทีวีเพื่อแสดงสรรพคุณยาไม่ได้เลย</t>
        </is>
      </c>
      <c r="H88" s="2"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2" t="n">
        <v>4</v>
      </c>
      <c r="J88" s="2"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2" t="n"/>
      <c r="L88" s="2" t="inlineStr">
        <is>
          <t>พ.ร.บ. ยา พ.ศ. 2510</t>
        </is>
      </c>
      <c r="M88" s="2" t="inlineStr">
        <is>
          <t>SAP</t>
        </is>
      </c>
      <c r="N88" s="2" t="inlineStr">
        <is>
          <t>ข้อ 119 Pharma Plus เล่มม่วง (เฉลยข้อ ง)</t>
        </is>
      </c>
      <c r="O88" s="2" t="inlineStr">
        <is>
          <t>Mock</t>
        </is>
      </c>
      <c r="P88" s="2" t="inlineStr">
        <is>
          <t>Pharma Plus เล่มม่วง</t>
        </is>
      </c>
    </row>
    <row r="89" ht="13.2" customHeight="1" s="49">
      <c r="A89" s="2" t="n">
        <v>120</v>
      </c>
      <c r="B89" s="2"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2" t="n"/>
      <c r="D89" s="2" t="inlineStr">
        <is>
          <t>ยาสมุนไพร</t>
        </is>
      </c>
      <c r="E89" s="2" t="inlineStr">
        <is>
          <t>ยาสามัญประจำบ้าน</t>
        </is>
      </c>
      <c r="F89" s="2" t="inlineStr">
        <is>
          <t>ยาแผนโบราณ</t>
        </is>
      </c>
      <c r="G89" s="2" t="inlineStr">
        <is>
          <t>ยาปลอม</t>
        </is>
      </c>
      <c r="H89" s="2" t="inlineStr">
        <is>
          <t>ยาแผนไทย</t>
        </is>
      </c>
      <c r="I89" s="2" t="n">
        <v>1</v>
      </c>
      <c r="J89" s="2"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2" t="n"/>
      <c r="L89" s="2" t="inlineStr">
        <is>
          <t>พ.ร.บ. ผลิตภัณฑ์สมุนไพร &amp; เครื่องสำอาง</t>
        </is>
      </c>
      <c r="M89" s="2" t="inlineStr">
        <is>
          <t>SAP</t>
        </is>
      </c>
      <c r="N89" s="2" t="inlineStr">
        <is>
          <t>ข้อ 120 Pharma Plus เล่มม่วง (เฉลยข้อ ก)</t>
        </is>
      </c>
      <c r="O89" s="2" t="inlineStr">
        <is>
          <t>Mock</t>
        </is>
      </c>
      <c r="P89" s="2" t="inlineStr">
        <is>
          <t>Pharma Plus เล่มม่วง</t>
        </is>
      </c>
    </row>
    <row r="90" ht="13.2" customHeight="1" s="49">
      <c r="A90" s="2" t="n">
        <v>121</v>
      </c>
      <c r="B90" s="2"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2" t="n"/>
      <c r="D90" s="2" t="inlineStr">
        <is>
          <t>Unit cost analysis</t>
        </is>
      </c>
      <c r="E90" s="2" t="inlineStr">
        <is>
          <t>Cost effectiveness analysis</t>
        </is>
      </c>
      <c r="F90" s="2" t="inlineStr">
        <is>
          <t>Cost minimization analysis</t>
        </is>
      </c>
      <c r="G90" s="2" t="inlineStr">
        <is>
          <t>Cost benefit analysis</t>
        </is>
      </c>
      <c r="H90" s="2" t="inlineStr">
        <is>
          <t>Cost utility analysis</t>
        </is>
      </c>
      <c r="I90" s="2" t="n">
        <v>2</v>
      </c>
      <c r="J90" s="2"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2" t="n"/>
      <c r="L90" s="2" t="inlineStr">
        <is>
          <t>พ.ร.บ. ยา พ.ศ. 2510</t>
        </is>
      </c>
      <c r="M90" s="2" t="inlineStr">
        <is>
          <t>SAP</t>
        </is>
      </c>
      <c r="N90" s="2" t="inlineStr">
        <is>
          <t>ข้อ 121 Pharma Plus เล่มม่วง (เฉลยข้อ ข)</t>
        </is>
      </c>
      <c r="O90" s="2" t="inlineStr">
        <is>
          <t>Mock</t>
        </is>
      </c>
      <c r="P90" s="2" t="inlineStr">
        <is>
          <t>Pharma Plus เล่มม่วง</t>
        </is>
      </c>
    </row>
    <row r="91" ht="13.2" customHeight="1" s="49">
      <c r="A91" s="2" t="n">
        <v>122</v>
      </c>
      <c r="B91" s="2" t="inlineStr">
        <is>
          <t>การพิจารณายาในโรงพยาบาล ยาใดจะไม่ถูกพิจารณาเข้าโรงพยาบาล เมื่อเปรียบเทียบกับ Utility</t>
        </is>
      </c>
      <c r="C91" s="2" t="n"/>
      <c r="D91" s="2" t="inlineStr">
        <is>
          <t>ยา A เป็นเงิน 25,000 บาท Utility เท่ากับ 0.5</t>
        </is>
      </c>
      <c r="E91" s="2" t="inlineStr">
        <is>
          <t>ยา B เป็นเงิน 50,000 บาท Utility เท่ากับ 0.5</t>
        </is>
      </c>
      <c r="F91" s="2" t="inlineStr">
        <is>
          <t>ยา C เป็นเงิน 55,000 บาท Utility เท่ากับ 0.6</t>
        </is>
      </c>
      <c r="G91" s="2" t="inlineStr">
        <is>
          <t>ยา D เป็นเงิน 70,000 บาท Utility เท่ากับ 0.7</t>
        </is>
      </c>
      <c r="H91" s="2" t="inlineStr">
        <is>
          <t>ยา E เป็นเงิน 80,000 บาท Utility เท่ากับ 0.8</t>
        </is>
      </c>
      <c r="I91" s="2" t="n">
        <v>5</v>
      </c>
      <c r="J91" s="2"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2" t="n"/>
      <c r="L91" s="2" t="inlineStr">
        <is>
          <t>พ.ร.บ. ยา พ.ศ. 2510</t>
        </is>
      </c>
      <c r="M91" s="2" t="inlineStr">
        <is>
          <t>SAP</t>
        </is>
      </c>
      <c r="N91" s="2" t="inlineStr">
        <is>
          <t>ข้อ 122 Pharma Plus เล่มม่วง (เฉลยข้อ จ)</t>
        </is>
      </c>
      <c r="O91" s="2" t="inlineStr">
        <is>
          <t>Mock</t>
        </is>
      </c>
      <c r="P91" s="2" t="inlineStr">
        <is>
          <t>Pharma Plus เล่มม่วง</t>
        </is>
      </c>
    </row>
    <row r="92" ht="13.2" customHeight="1" s="49">
      <c r="A92" s="2" t="n">
        <v>123</v>
      </c>
      <c r="B92" s="2" t="inlineStr">
        <is>
          <t>ข้อใดไม่ผิดหลักจรรยาบรรณวิชาชีพเภสัชกรรม</t>
        </is>
      </c>
      <c r="C92" s="2" t="n"/>
      <c r="D92" s="2" t="inlineStr">
        <is>
          <t>ใช้มอเตอร์ไซค์รับจ้างไปส่งยาและรับเงินมา</t>
        </is>
      </c>
      <c r="E92" s="2" t="inlineStr">
        <is>
          <t>แนะนำให้ภรรยามาตรวจเพราะเป็นโรคติดต่อทางเพศสัมพันธ์</t>
        </is>
      </c>
      <c r="F92" s="2" t="inlineStr">
        <is>
          <t>เภสัชกรจ่ายยาสุนไพร ล้างลำไส้ผู้ป่วย เพราะเชื่อว่าไม่เป็นอันตราย</t>
        </is>
      </c>
      <c r="G92" s="2" t="inlineStr">
        <is>
          <t>เภสัชกรโทรไปบอกภรรยาผู้ป่วยโดยเภสัชกรค้นเบอร์จากที่ผู้ป่วยให้ไว้เอง เพื่อตามภรรยาผู้ป่วยมารับการรักษา</t>
        </is>
      </c>
      <c r="H92" s="2" t="inlineStr">
        <is>
          <t>เภสัชกรแนะนำไม่ให้ผู้ป่วยไปคลินิกอีก เพราะหมอจ่ายยาแล้วทำให้ผู้ป่วยแพ้ยา</t>
        </is>
      </c>
      <c r="I92" s="2" t="n">
        <v>2</v>
      </c>
      <c r="J92" s="2"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2" t="n"/>
      <c r="L92" s="2" t="inlineStr">
        <is>
          <t>พ.ร.บ. วิชาชีพเภสัชกรรม 2537</t>
        </is>
      </c>
      <c r="M92" s="2" t="inlineStr">
        <is>
          <t>SAP</t>
        </is>
      </c>
      <c r="N92" s="2" t="inlineStr">
        <is>
          <t>ข้อ 123 Pharma Plus เล่มม่วง (เฉลยข้อ ข)</t>
        </is>
      </c>
      <c r="O92" s="2" t="inlineStr">
        <is>
          <t>Mock</t>
        </is>
      </c>
      <c r="P92" s="2" t="inlineStr">
        <is>
          <t>Pharma Plus เล่มม่วง</t>
        </is>
      </c>
    </row>
    <row r="93" ht="13.2" customHeight="1" s="49">
      <c r="A93" s="2" t="n">
        <v>124</v>
      </c>
      <c r="B93" s="2" t="inlineStr">
        <is>
          <t>ข้อใดถูกต้องตามหลักบัญชียาหลัก</t>
        </is>
      </c>
      <c r="C93" s="2" t="n"/>
      <c r="D93" s="2" t="inlineStr">
        <is>
          <t>Azithromycin เป็นยาบัญชี ง. ที่มีหลาย indication แต่ที่มีเหมาะสมเพียงไม่กี่ indication</t>
        </is>
      </c>
      <c r="E93" s="2" t="inlineStr">
        <is>
          <t>Doxycycline เป็นยาบัญชี ข. ใช้แทน tetracycline ในกรณีโรคติดเชื้อ</t>
        </is>
      </c>
      <c r="F93" s="2" t="inlineStr">
        <is>
          <t>Flavoxxate เป็นยาบัญชี ค. สามสามารถใช้ได้โดยผู้เชี่ยวชาญเท่านั้น</t>
        </is>
      </c>
      <c r="G93" s="2" t="inlineStr">
        <is>
          <t>Norfloxacin เป็นยาบัญชี ข. ใช้แทน ofloxacin ในกรณีโรคติดเชื้อ</t>
        </is>
      </c>
      <c r="H93" s="2" t="inlineStr">
        <is>
          <t>Phenazopyridine เป็นยาบัญชี ก. โดยสถานบริการทุกระดับสามารถเข้าถึงได้</t>
        </is>
      </c>
      <c r="I93" s="2" t="n">
        <v>2</v>
      </c>
      <c r="J93" s="2"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2" t="n"/>
      <c r="L93" s="2" t="inlineStr">
        <is>
          <t>พ.ร.บ. ยา พ.ศ. 2510</t>
        </is>
      </c>
      <c r="M93" s="2" t="inlineStr">
        <is>
          <t>SAP</t>
        </is>
      </c>
      <c r="N93" s="2" t="inlineStr">
        <is>
          <t>ข้อ 124 Pharma Plus เล่มม่วง (เฉลยข้อ ข)</t>
        </is>
      </c>
      <c r="O93" s="2" t="inlineStr">
        <is>
          <t>Mock</t>
        </is>
      </c>
      <c r="P93" s="2" t="inlineStr">
        <is>
          <t>Pharma Plus เล่มม่วง</t>
        </is>
      </c>
    </row>
    <row r="94" ht="13.2" customHeight="1" s="49">
      <c r="A94" s="2" t="n">
        <v>125</v>
      </c>
      <c r="B94" s="2" t="inlineStr">
        <is>
          <t>ข้อใดถูกต้องเกี่ยวกับยา benzoyl peroxide</t>
        </is>
      </c>
      <c r="C94" s="2" t="n"/>
      <c r="D94" s="2" t="inlineStr">
        <is>
          <t>เป็นยาควบคุมพิเศษ</t>
        </is>
      </c>
      <c r="E94" s="2" t="inlineStr">
        <is>
          <t>เป็นยาแผนปัจจุบัน</t>
        </is>
      </c>
      <c r="F94" s="2" t="inlineStr">
        <is>
          <t>เป็นวัตถุออกฤทธิ์ต่อจิตประสาท</t>
        </is>
      </c>
      <c r="G94" s="2" t="inlineStr">
        <is>
          <t>เป็นวัตถุเสพติดให้โทษประเภท 3</t>
        </is>
      </c>
      <c r="H94" s="2" t="inlineStr">
        <is>
          <t>เป็นยาสามัญประจำบ้าน</t>
        </is>
      </c>
      <c r="I94" s="2" t="n">
        <v>1</v>
      </c>
      <c r="J94" s="2"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2" t="n"/>
      <c r="L94" s="2" t="inlineStr">
        <is>
          <t>พ.ร.บ. ยา พ.ศ. 2510</t>
        </is>
      </c>
      <c r="M94" s="2" t="inlineStr">
        <is>
          <t>SAP</t>
        </is>
      </c>
      <c r="N94" s="2" t="inlineStr">
        <is>
          <t>ข้อ 125 Pharma Plus เล่มม่วง (เฉลยข้อ ไมมีคำตอบ)</t>
        </is>
      </c>
      <c r="O94" s="2" t="inlineStr">
        <is>
          <t>Mock</t>
        </is>
      </c>
      <c r="P94" s="2" t="inlineStr">
        <is>
          <t>Pharma Plus เล่มม่วง</t>
        </is>
      </c>
    </row>
    <row r="95" ht="13.2" customHeight="1" s="49">
      <c r="A95" s="2" t="n">
        <v>126</v>
      </c>
      <c r="B95" s="2" t="inlineStr">
        <is>
          <t>ข้อใดคۆیาผิดมาตรฐานฐาน</t>
        </is>
      </c>
      <c r="C95" s="2" t="n"/>
      <c r="D95" s="2" t="inlineStr">
        <is>
          <t>ผสม cotrimazole ร่วมกับ terbenafine เพื่อลดต้นทุน</t>
        </is>
      </c>
      <c r="E95" s="2" t="inlineStr">
        <is>
          <t>ในฉลากระบุวันหมดอายุ คือ มกราคม 2009 แต่ความจริงหมดอายุเมื่อ มกราคม 2019</t>
        </is>
      </c>
      <c r="F95" s="2" t="inlineStr">
        <is>
          <t>ยามี %LA = 87%</t>
        </is>
      </c>
      <c r="G95" s="2" t="inlineStr">
        <is>
          <t>ยาหมดอายุตามที่ระบุไว้ในฉลาก</t>
        </is>
      </c>
      <c r="H95" s="2" t="inlineStr">
        <is>
          <t>แจ้งที่อยู่ในการผลิต ไม่ตรงกับที่ขึ้นทะเบียนยา</t>
        </is>
      </c>
      <c r="I95" s="2" t="n">
        <v>3</v>
      </c>
      <c r="J95"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2" t="n"/>
      <c r="L95" s="2" t="inlineStr">
        <is>
          <t>พ.ร.บ. ยา พ.ศ. 2510</t>
        </is>
      </c>
      <c r="M95" s="2" t="inlineStr">
        <is>
          <t>SAP</t>
        </is>
      </c>
      <c r="N95" s="2" t="inlineStr">
        <is>
          <t>ข้อ 126 Pharma Plus เล่มม่วง (เฉลยข้อ ค)</t>
        </is>
      </c>
      <c r="O95" s="2" t="inlineStr">
        <is>
          <t>Mock</t>
        </is>
      </c>
      <c r="P95" s="2" t="inlineStr">
        <is>
          <t>Pharma Plus เล่มม่วง</t>
        </is>
      </c>
    </row>
    <row r="96" ht="13.2" customHeight="1" s="49">
      <c r="A96" s="2" t="n">
        <v>127</v>
      </c>
      <c r="B96" s="2" t="inlineStr">
        <is>
          <t>ยาที่ใช้ในโรคผิวหนังของชายผู้นี้ รายการใดที่ผู้ป่วยไม่สามารถเรียกซื้อได้จากเภสัชกรหากไม่มีใบสั่งยาจากแพทย์</t>
        </is>
      </c>
      <c r="C96" s="2" t="n"/>
      <c r="D96" s="2" t="inlineStr">
        <is>
          <t>Coal tar shampoo</t>
        </is>
      </c>
      <c r="E96" s="2" t="inlineStr">
        <is>
          <t>Dexamethasone cream</t>
        </is>
      </c>
      <c r="F96" s="2" t="inlineStr">
        <is>
          <t>Betamethasone + salicylic ointment</t>
        </is>
      </c>
      <c r="G96" s="2" t="inlineStr">
        <is>
          <t>Hydroxyzine tablet 25 mg</t>
        </is>
      </c>
      <c r="H96" s="2" t="inlineStr">
        <is>
          <t>Methotrexate tab 2.5 mg</t>
        </is>
      </c>
      <c r="I96" s="2" t="n">
        <v>5</v>
      </c>
      <c r="J96" s="2"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2" t="n"/>
      <c r="L96" s="2" t="inlineStr">
        <is>
          <t>พ.ร.บ. ยา พ.ศ. 2510</t>
        </is>
      </c>
      <c r="M96" s="2" t="inlineStr">
        <is>
          <t>SAP</t>
        </is>
      </c>
      <c r="N96" s="2" t="inlineStr">
        <is>
          <t>ข้อ 127 Pharma Plus เล่มม่วง (เฉลยข้อ จ)</t>
        </is>
      </c>
      <c r="O96" s="2" t="inlineStr">
        <is>
          <t>Mock</t>
        </is>
      </c>
      <c r="P96" s="2" t="inlineStr">
        <is>
          <t>Pharma Plus เล่มม่วง</t>
        </is>
      </c>
    </row>
    <row r="97" ht="13.2" customHeight="1" s="49">
      <c r="A97" s="2" t="n">
        <v>130</v>
      </c>
      <c r="B97" s="2" t="inlineStr">
        <is>
          <t>จากบัญชียาหลักแห่งชาติ ยา cisplatin จัดอยู่ในบัญชี ค. มีความหมายว่าอย่างไร</t>
        </is>
      </c>
      <c r="C97" s="2" t="n"/>
      <c r="D97" s="2"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2"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2" t="inlineStr">
        <is>
          <t>รายการยาที่ต้องใช้ในโรคเฉพาะทาง โดยผู้ชำนาญ หรือผู้ที่ได้รับมอบหมายจากผู้อำนวยการของสถานพยาบาล</t>
        </is>
      </c>
      <c r="G97" s="2"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2" t="inlineStr">
        <is>
          <t>รายการยาสำหรับโครงการพิเศษของรัฐ เพื่อใช้ในยามฉุกเฉิน</t>
        </is>
      </c>
      <c r="I97" s="2" t="n">
        <v>3</v>
      </c>
      <c r="J97"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2" t="n"/>
      <c r="L97" s="2" t="inlineStr">
        <is>
          <t>พ.ร.บ. ยา พ.ศ. 2510</t>
        </is>
      </c>
      <c r="M97" s="2" t="inlineStr">
        <is>
          <t>SAP</t>
        </is>
      </c>
      <c r="N97" s="2" t="inlineStr">
        <is>
          <t>ข้อ 130 Pharma Plus เล่มม่วง (เฉลยข้อ ค)</t>
        </is>
      </c>
      <c r="O97" s="2" t="inlineStr">
        <is>
          <t>Mock</t>
        </is>
      </c>
      <c r="P97" s="2" t="inlineStr">
        <is>
          <t>Pharma Plus เล่มม่วง</t>
        </is>
      </c>
    </row>
    <row r="98" ht="13.2" customHeight="1" s="49">
      <c r="A98" s="2" t="n">
        <v>131</v>
      </c>
      <c r="B98" s="2"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2" t="n"/>
      <c r="D98" s="2" t="inlineStr">
        <is>
          <t>Cost effectiveness analysis (CEA)</t>
        </is>
      </c>
      <c r="E98" s="2" t="inlineStr">
        <is>
          <t>Cost minimization analysis (CMA)</t>
        </is>
      </c>
      <c r="F98" s="2" t="inlineStr">
        <is>
          <t>Cost benefit analysis</t>
        </is>
      </c>
      <c r="G98" s="2" t="inlineStr">
        <is>
          <t>Cost utility analysis</t>
        </is>
      </c>
      <c r="H98" s="2" t="inlineStr">
        <is>
          <t>ถูกทุกข้อ</t>
        </is>
      </c>
      <c r="I98" s="2" t="n">
        <v>1</v>
      </c>
      <c r="J98" s="2"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2" t="n"/>
      <c r="L98" s="2" t="inlineStr">
        <is>
          <t>พ.ร.บ. ยา พ.ศ. 2510</t>
        </is>
      </c>
      <c r="M98" s="2" t="inlineStr">
        <is>
          <t>SAP</t>
        </is>
      </c>
      <c r="N98" s="2" t="inlineStr">
        <is>
          <t>ข้อ 131 Pharma Plus เล่มม่วง (เฉลยข้อ ก)</t>
        </is>
      </c>
      <c r="O98" s="2" t="inlineStr">
        <is>
          <t>Mock</t>
        </is>
      </c>
      <c r="P98" s="2" t="inlineStr">
        <is>
          <t>Pharma Plus เล่มม่วง</t>
        </is>
      </c>
    </row>
    <row r="99" ht="13.2" customHeight="1" s="49">
      <c r="A99" s="2" t="n">
        <v>132</v>
      </c>
      <c r="B99" s="2" t="inlineStr">
        <is>
          <t>ข้อความต่อไปนี้ 2A 33/28 น่าจะปรากฏอยู่บนฉลากของยาใด</t>
        </is>
      </c>
      <c r="C99" s="2" t="n"/>
      <c r="D99" s="2" t="inlineStr">
        <is>
          <t>Prednisolone</t>
        </is>
      </c>
      <c r="E99" s="2" t="inlineStr">
        <is>
          <t>Cyclophosphamide</t>
        </is>
      </c>
      <c r="F99" s="2" t="inlineStr">
        <is>
          <t>Enalapril</t>
        </is>
      </c>
      <c r="G99" s="2" t="inlineStr">
        <is>
          <t>Calcium carbonate</t>
        </is>
      </c>
      <c r="H99" s="2" t="inlineStr">
        <is>
          <t>Obimin AF</t>
        </is>
      </c>
      <c r="I99" s="2" t="n">
        <v>5</v>
      </c>
      <c r="J99" s="2"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2" t="n"/>
      <c r="L99" s="2" t="inlineStr">
        <is>
          <t>พ.ร.บ. ยา พ.ศ. 2510</t>
        </is>
      </c>
      <c r="M99" s="2" t="inlineStr">
        <is>
          <t>SAP</t>
        </is>
      </c>
      <c r="N99" s="2" t="inlineStr">
        <is>
          <t>ข้อ 132 Pharma Plus เล่มม่วง (เฉลยข้อ จ)</t>
        </is>
      </c>
      <c r="O99" s="2" t="inlineStr">
        <is>
          <t>Mock</t>
        </is>
      </c>
      <c r="P99" s="2" t="inlineStr">
        <is>
          <t>Pharma Plus เล่มม่วง</t>
        </is>
      </c>
    </row>
    <row r="100" ht="13.2" customHeight="1" s="49">
      <c r="A100" s="2" t="n">
        <v>133</v>
      </c>
      <c r="B100" s="2" t="inlineStr">
        <is>
          <t>Augmentin เป็นยาประเภทใดตามกฎหมาย</t>
        </is>
      </c>
      <c r="C100" s="2" t="n"/>
      <c r="D100" s="2" t="inlineStr">
        <is>
          <t>ยาอันตราย</t>
        </is>
      </c>
      <c r="E100" s="2" t="inlineStr">
        <is>
          <t>ยาควบคุมพิเศษ</t>
        </is>
      </c>
      <c r="F100" s="2" t="inlineStr">
        <is>
          <t>ยาสามัญประจำบ้าน</t>
        </is>
      </c>
      <c r="G100" s="2" t="inlineStr">
        <is>
          <t>วัตถุออกฤทธิ์ต่อจิตและประสาท</t>
        </is>
      </c>
      <c r="H100" s="2" t="inlineStr">
        <is>
          <t>ยาเสพติดให้โทษ</t>
        </is>
      </c>
      <c r="I100" s="2" t="n">
        <v>1</v>
      </c>
      <c r="J1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2" t="n"/>
      <c r="L100" s="2" t="inlineStr">
        <is>
          <t>พ.ร.บ. ยา พ.ศ. 2510</t>
        </is>
      </c>
      <c r="M100" s="2" t="inlineStr">
        <is>
          <t>SAP</t>
        </is>
      </c>
      <c r="N100" s="2" t="inlineStr">
        <is>
          <t>ข้อ 133 Pharma Plus เล่มม่วง (เฉลยข้อ ก)</t>
        </is>
      </c>
      <c r="O100" s="2" t="inlineStr">
        <is>
          <t>Mock</t>
        </is>
      </c>
      <c r="P100" s="2" t="inlineStr">
        <is>
          <t>Pharma Plus เล่มม่วง</t>
        </is>
      </c>
    </row>
    <row r="101" ht="13.2" customHeight="1" s="49">
      <c r="A101" s="8" t="inlineStr">
        <is>
          <t>100</t>
        </is>
      </c>
      <c r="B101"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2" t="n"/>
      <c r="D101" s="2" t="inlineStr">
        <is>
          <t>Accurate</t>
        </is>
      </c>
      <c r="E101" s="2" t="inlineStr">
        <is>
          <t>Contemporary</t>
        </is>
      </c>
      <c r="F101" s="2" t="inlineStr">
        <is>
          <t>Enduring</t>
        </is>
      </c>
      <c r="G101" s="2" t="inlineStr">
        <is>
          <t>Legible</t>
        </is>
      </c>
      <c r="H101" s="2" t="inlineStr">
        <is>
          <t>Original</t>
        </is>
      </c>
      <c r="I101" s="8" t="inlineStr">
        <is>
          <t>1</t>
        </is>
      </c>
      <c r="J101" s="2"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2" t="n"/>
      <c r="L101" s="2" t="inlineStr">
        <is>
          <t>พ.ร.บ. ยา พ.ศ. 2510</t>
        </is>
      </c>
      <c r="M101" s="2" t="inlineStr">
        <is>
          <t>Law &amp; Regulations &amp; Ethics</t>
        </is>
      </c>
      <c r="N101" s="2" t="inlineStr">
        <is>
          <t>Mock PLE-CC 1 ข้อ 8</t>
        </is>
      </c>
      <c r="O101" s="2" t="inlineStr">
        <is>
          <t>Mock</t>
        </is>
      </c>
      <c r="P101" s="2" t="inlineStr">
        <is>
          <t>Mock RxCU83</t>
        </is>
      </c>
      <c r="Q101" s="2" t="n"/>
    </row>
    <row r="102" ht="13.2" customHeight="1" s="49">
      <c r="A102" s="8" t="inlineStr">
        <is>
          <t>101</t>
        </is>
      </c>
      <c r="B102"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2" t="n"/>
      <c r="D102" s="2" t="inlineStr">
        <is>
          <t>สิทธิประกันสุขภาพแห่งชาติ</t>
        </is>
      </c>
      <c r="E102" s="2" t="inlineStr">
        <is>
          <t>สิทธิประกันสังคม</t>
        </is>
      </c>
      <c r="F102" s="2" t="inlineStr">
        <is>
          <t>สิทธิข้าราชการ</t>
        </is>
      </c>
      <c r="G102" s="2" t="inlineStr">
        <is>
          <t>สิทธิ 30 บาท</t>
        </is>
      </c>
      <c r="H102" s="2" t="inlineStr">
        <is>
          <t>สิทธิบัตรทอง</t>
        </is>
      </c>
      <c r="I102" s="8" t="inlineStr">
        <is>
          <t>1</t>
        </is>
      </c>
      <c r="J102" s="2"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2" t="n"/>
      <c r="L102" s="2" t="inlineStr">
        <is>
          <t>พ.ร.บ. ยา พ.ศ. 2510</t>
        </is>
      </c>
      <c r="M102" s="2" t="inlineStr">
        <is>
          <t>Law &amp; Regulations &amp; Ethics</t>
        </is>
      </c>
      <c r="N102" s="2" t="inlineStr">
        <is>
          <t>Mock PLE-CC 1 ข้อ 11</t>
        </is>
      </c>
      <c r="O102" s="2" t="inlineStr">
        <is>
          <t>Mock</t>
        </is>
      </c>
      <c r="P102" s="2" t="inlineStr">
        <is>
          <t>Mock RxCU83</t>
        </is>
      </c>
      <c r="Q102" s="2" t="n"/>
    </row>
    <row r="103" ht="13.2" customHeight="1" s="49">
      <c r="A103" s="8" t="inlineStr">
        <is>
          <t>102</t>
        </is>
      </c>
      <c r="B103" s="2" t="inlineStr">
        <is>
          <t>ต้องแจ้งให้คำแนะนำให้แพทย์ให้ยาได้ครั้งละประมาณเท่าไหร่จึงจะได้ประสิทธิภาพใกล้เคียงเดิม</t>
        </is>
      </c>
      <c r="C103" s="2" t="n"/>
      <c r="D103" s="2" t="inlineStr">
        <is>
          <t>3 ml</t>
        </is>
      </c>
      <c r="E103" s="2" t="inlineStr">
        <is>
          <t>6 ml</t>
        </is>
      </c>
      <c r="F103" s="2" t="inlineStr">
        <is>
          <t>9 ml</t>
        </is>
      </c>
      <c r="G103" s="2" t="inlineStr">
        <is>
          <t>12 ml</t>
        </is>
      </c>
      <c r="H103" s="2"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Opioid overdose</t>
        </is>
      </c>
      <c r="I103" s="8" t="inlineStr">
        <is>
          <t>1</t>
        </is>
      </c>
      <c r="J103" s="2" t="inlineStr">
        <is>
          <t>✅ คำตอบที่ถูกต้อง: ข้อ ก. 3 ml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3 ml ไม่ตรงกับข้อบ่งใช้หรือกลไกการออกฤทธิ์ที่ถูกต้องตาม พ.ร.บ. ยา พ.ศ. 2510 / พ.ร.บ. วิชาชีพเภสัชกรรม พ.ศ. 2537
• ข้อ ค. (6 ml): 6 ml ไม่ตรงกับข้อบ่งใช้หรือกลไกการออกฤทธิ์ที่ถูกต้องตาม พ.ร.บ. ยา พ.ศ. 2510 / พ.ร.บ. วิชาชีพเภสัชกรรม พ.ศ. 2537
• ข้อ ง. (9 ml): 9 ml ไม่ตรงกับข้อบ่งใช้หรือกลไกการออกฤทธิ์ที่ถูกต้องตาม พ.ร.บ. ยา พ.ศ. 2510 / พ.ร.บ. วิชาชีพเภสัชกรรม พ.ศ. 2537
• ข้อ จ. (12 ml): 12 ml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2" t="n"/>
      <c r="L103" s="2" t="inlineStr">
        <is>
          <t>พ.ร.บ. ยา พ.ศ. 2510</t>
        </is>
      </c>
      <c r="M103" s="2" t="inlineStr">
        <is>
          <t>Law &amp; Regulations &amp; Ethics</t>
        </is>
      </c>
      <c r="N103" s="2" t="inlineStr">
        <is>
          <t>PLE_CC1_2567_Key ข้อ 13</t>
        </is>
      </c>
      <c r="O103" s="2" t="inlineStr">
        <is>
          <t>ข้อสอบจริง</t>
        </is>
      </c>
      <c r="P103" s="2" t="inlineStr">
        <is>
          <t>ปี 2567</t>
        </is>
      </c>
      <c r="Q103" s="2" t="n"/>
    </row>
    <row r="104" ht="13.2" customHeight="1" s="49">
      <c r="A104" s="8" t="inlineStr">
        <is>
          <t>103</t>
        </is>
      </c>
      <c r="B104" s="2"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2" t="n"/>
      <c r="D104" s="2" t="inlineStr">
        <is>
          <t>amitriptyline</t>
        </is>
      </c>
      <c r="E104" s="2" t="inlineStr">
        <is>
          <t>paracetamol</t>
        </is>
      </c>
      <c r="F104" s="2" t="inlineStr">
        <is>
          <t>ketorolac</t>
        </is>
      </c>
      <c r="G104" s="2" t="inlineStr">
        <is>
          <t>pethidine</t>
        </is>
      </c>
      <c r="H104" s="2" t="inlineStr">
        <is>
          <t>fentanyl</t>
        </is>
      </c>
      <c r="I104" s="8" t="inlineStr">
        <is>
          <t>1</t>
        </is>
      </c>
      <c r="J104" s="2"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ketorolac ไม่ตรงกับข้อบ่งใช้หรือกลไกการออกฤทธิ์ที่ถูกต้องตาม พ.ร.บ. ยา พ.ศ. 2510 / พ.ร.บ. วิชาชีพเภสัชกรรม พ.ศ. 2537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2" t="n"/>
      <c r="L104" s="2" t="inlineStr">
        <is>
          <t>พ.ร.บ. วิชาชีพเภสัชกรรม 2537</t>
        </is>
      </c>
      <c r="M104" s="2" t="inlineStr">
        <is>
          <t>Law &amp; Regulations &amp; Ethics</t>
        </is>
      </c>
      <c r="N104" s="2" t="inlineStr">
        <is>
          <t>PLE_CC1_2567_Set1_Key ข้อ 15</t>
        </is>
      </c>
      <c r="O104" s="2" t="inlineStr">
        <is>
          <t>ข้อสอบจริง</t>
        </is>
      </c>
      <c r="P104" s="2" t="inlineStr">
        <is>
          <t>ปี 2567</t>
        </is>
      </c>
      <c r="Q104" s="2" t="n"/>
    </row>
    <row r="105" ht="13.2" customHeight="1" s="49">
      <c r="A105" s="8" t="inlineStr">
        <is>
          <t>104</t>
        </is>
      </c>
      <c r="B105" s="2"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2" t="n"/>
      <c r="D105" s="2" t="inlineStr">
        <is>
          <t>Law &amp; Regulations &amp; Ethics</t>
        </is>
      </c>
      <c r="E105" s="2" t="inlineStr">
        <is>
          <t>พ.ร.บ. ยา พ.ศ. 2510 (การจำหน่ายยาอันตรายและยาควบคุมพิเศษ)</t>
        </is>
      </c>
      <c r="F105" s="2" t="inlineStr">
        <is>
          <t>พ.ร.บ. ยาเสพติดให้โทษ พ.ศ. 2522 (ยาเสพติดให้โทษประเภท 2 และ 3)</t>
        </is>
      </c>
      <c r="G105" s="2" t="inlineStr">
        <is>
          <t>พ.ร.บ. วัตถุที่ออกฤทธิ์ต่อจิตและประสาท พ.ศ. 2559 (ประเภท 2 และ 4)</t>
        </is>
      </c>
      <c r="H105" s="2" t="inlineStr">
        <is>
          <t>พ.ร.บ. วิชาชีพเภสัชกรรม พ.ศ. 2537 และข้อบังคับจรรยาบรรณวิชาชีพ</t>
        </is>
      </c>
      <c r="I105" s="8" t="inlineStr">
        <is>
          <t>1</t>
        </is>
      </c>
      <c r="J105" s="2"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2" t="n"/>
      <c r="L105" s="2" t="inlineStr">
        <is>
          <t>พ.ร.บ. ยา พ.ศ. 2510</t>
        </is>
      </c>
      <c r="M105" s="2" t="inlineStr">
        <is>
          <t>Law &amp; Regulations &amp; Ethics</t>
        </is>
      </c>
      <c r="N105" s="2" t="inlineStr">
        <is>
          <t>PLE-CC1 ปี 2566 Day 1 ข้อ 5</t>
        </is>
      </c>
      <c r="O105" s="2" t="inlineStr">
        <is>
          <t>ข้อสอบจริง</t>
        </is>
      </c>
      <c r="P105" s="2" t="inlineStr">
        <is>
          <t>ปี 2566</t>
        </is>
      </c>
    </row>
    <row r="106" ht="13.2" customHeight="1" s="49">
      <c r="A106" s="8" t="inlineStr">
        <is>
          <t>105</t>
        </is>
      </c>
      <c r="B106" s="2" t="inlineStr">
        <is>
          <t>กฎหมายออกยาที่ไม่ต้องทำบัญชีขย11. ตัวเลือก</t>
        </is>
      </c>
      <c r="C106" s="2" t="n"/>
      <c r="D106" s="2" t="inlineStr">
        <is>
          <t>Law &amp; Regulations &amp; Ethics</t>
        </is>
      </c>
      <c r="E106" s="2" t="inlineStr">
        <is>
          <t>พ.ร.บ. วิชาชีพเภสัชกรรม พ.ศ. 2537 และข้อบังคับจรรยาบรรณวิชาชีพ</t>
        </is>
      </c>
      <c r="F106" s="2" t="inlineStr">
        <is>
          <t>พ.ร.บ. ผลิตภัณฑ์สมุนไพร พ.ศ. 2562</t>
        </is>
      </c>
      <c r="G106" s="2" t="inlineStr">
        <is>
          <t>พ.ร.บ. เครื่องสำอาง พ.ศ. 2558</t>
        </is>
      </c>
      <c r="H106" s="2" t="inlineStr">
        <is>
          <t>พ.ร.บ. หลักประกันสุขภาพแห่งชาติ พ.ศ. 2545</t>
        </is>
      </c>
      <c r="I106" s="8" t="inlineStr">
        <is>
          <t>1</t>
        </is>
      </c>
      <c r="J10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2" t="n"/>
      <c r="L106" s="2" t="inlineStr">
        <is>
          <t>พ.ร.บ. ยา พ.ศ. 2510</t>
        </is>
      </c>
      <c r="M106" s="2" t="inlineStr">
        <is>
          <t>Law &amp; Regulations &amp; Ethics</t>
        </is>
      </c>
      <c r="N106" s="2" t="inlineStr">
        <is>
          <t>PLE-CC1 ปี 2566 Day 2 ข้อ 24</t>
        </is>
      </c>
      <c r="O106" s="2" t="inlineStr">
        <is>
          <t>ข้อสอบจริง</t>
        </is>
      </c>
      <c r="P106" s="2" t="inlineStr">
        <is>
          <t>ปี 2566</t>
        </is>
      </c>
    </row>
    <row r="107" ht="13.2" customHeight="1" s="49">
      <c r="A107" s="8" t="inlineStr">
        <is>
          <t>106</t>
        </is>
      </c>
      <c r="B107" s="2" t="inlineStr">
        <is>
          <t>ขายได้เพราะร้านขายยาแผนปัจจุบันตามกฎหมายยาได้รับการยกเว้นไม่ต้องขออนุญาต</t>
        </is>
      </c>
      <c r="C107" s="2" t="n"/>
      <c r="D107" s="2" t="inlineStr">
        <is>
          <t>Law &amp; Regulations &amp; Ethics</t>
        </is>
      </c>
      <c r="E107" s="2" t="inlineStr">
        <is>
          <t>พ.ร.บ. หลักประกันสุขภาพแห่งชาติ พ.ศ. 2545</t>
        </is>
      </c>
      <c r="F107" s="2" t="inlineStr">
        <is>
          <t>การปฏิบัติทางเภสัชกรรมชุมชน (Good Pharmacy Practice: GPP)</t>
        </is>
      </c>
      <c r="G107" s="2" t="inlineStr">
        <is>
          <t>บัญชียาหลักแห่งชาติ (National List of Essential Medicines: NLEM)</t>
        </is>
      </c>
      <c r="H107" s="2" t="inlineStr">
        <is>
          <t>เกณฑ์จริยธรรมว่าด้วยการส่งเสริมการขายยาของกระทรวงสาธารณสุข</t>
        </is>
      </c>
      <c r="I107" s="8" t="inlineStr">
        <is>
          <t>5</t>
        </is>
      </c>
      <c r="J107" s="2" t="inlineStr">
        <is>
          <t>✅ คำตอบที่ถูกต้อง: ข้อ จ. เกณฑ์จริยธรรมว่าด้วยการส่งเสริมการขายยาของกระทรวงสาธารณสุข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2" t="n"/>
      <c r="L107" s="2" t="inlineStr">
        <is>
          <t>พ.ร.บ. ยา พ.ศ. 2510</t>
        </is>
      </c>
      <c r="M107" s="2" t="inlineStr">
        <is>
          <t>Law &amp; Regulations &amp; Ethics</t>
        </is>
      </c>
      <c r="N107" s="2" t="inlineStr">
        <is>
          <t>PLE-CC1 ปี 2566 Day 2 ข้อ 5</t>
        </is>
      </c>
      <c r="O107" s="2" t="inlineStr">
        <is>
          <t>ข้อสอบจริง</t>
        </is>
      </c>
      <c r="P107" s="2" t="inlineStr">
        <is>
          <t>ปี 2566</t>
        </is>
      </c>
    </row>
    <row r="108" ht="13.2" customHeight="1" s="49">
      <c r="A108" s="8" t="inlineStr">
        <is>
          <t>107</t>
        </is>
      </c>
      <c r="B108" s="2"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2" t="n"/>
      <c r="D108" s="2" t="inlineStr">
        <is>
          <t>Law &amp; Regulations &amp; Ethics</t>
        </is>
      </c>
      <c r="E108" s="2" t="inlineStr">
        <is>
          <t>เกณฑ์จริยธรรมว่าด้วยการส่งเสริมการขายยาของกระทรวงสาธารณสุข</t>
        </is>
      </c>
      <c r="F108" s="2" t="inlineStr">
        <is>
          <t>พ.ร.บ. ยา พ.ศ. 2510 (การจำหน่ายยาอันตรายและยาควบคุมพิเศษ)</t>
        </is>
      </c>
      <c r="G108" s="2" t="inlineStr">
        <is>
          <t>พ.ร.บ. ยาเสพติดให้โทษ พ.ศ. 2522 (ยาเสพติดให้โทษประเภท 2 และ 3)</t>
        </is>
      </c>
      <c r="H108" s="2" t="inlineStr">
        <is>
          <t>พ.ร.บ. วัตถุที่ออกฤทธิ์ต่อจิตและประสาท พ.ศ. 2559 (ประเภท 2 และ 4)</t>
        </is>
      </c>
      <c r="I108" s="8" t="inlineStr">
        <is>
          <t>1</t>
        </is>
      </c>
      <c r="J10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2" t="n"/>
      <c r="L108" s="2" t="inlineStr">
        <is>
          <t>พ.ร.บ. ยา พ.ศ. 2510</t>
        </is>
      </c>
      <c r="M108" s="2" t="inlineStr">
        <is>
          <t>Law &amp; Regulations &amp; Ethics</t>
        </is>
      </c>
      <c r="N108" s="2" t="inlineStr">
        <is>
          <t>PLE-CC1 ปี 2566 Day 2 ข้อ 73</t>
        </is>
      </c>
      <c r="O108" s="2" t="inlineStr">
        <is>
          <t>ข้อสอบจริง</t>
        </is>
      </c>
      <c r="P108" s="2" t="inlineStr">
        <is>
          <t>ปี 2566</t>
        </is>
      </c>
    </row>
    <row r="109" ht="13.2" customHeight="1" s="49">
      <c r="A109" s="8" t="inlineStr">
        <is>
          <t>108</t>
        </is>
      </c>
      <c r="B109" s="2" t="inlineStr">
        <is>
          <t>ยาใดไม;ตองทำ ขย. 11 ตาม พรบ. ยา 2510 ยา$อง'ขย. 11 )างงตามประกาศ อย. เ3อง รายการยา4นตราย$อง'6ญ8การขายยา ไ:แ&lt;</t>
        </is>
      </c>
      <c r="C109" s="2" t="n"/>
      <c r="D109" s="2" t="inlineStr">
        <is>
          <t>Law &amp; Regulations &amp; Ethics</t>
        </is>
      </c>
      <c r="E109" s="2" t="inlineStr">
        <is>
          <t>พ.ร.บ. วัตถุที่ออกฤทธิ์ต่อจิตและประสาท พ.ศ. 2559 (ประเภท 2 และ 4)</t>
        </is>
      </c>
      <c r="F109" s="2" t="inlineStr">
        <is>
          <t>พ.ร.บ. วิชาชีพเภสัชกรรม พ.ศ. 2537 และข้อบังคับจรรยาบรรณวิชาชีพ</t>
        </is>
      </c>
      <c r="G109" s="2" t="inlineStr">
        <is>
          <t>พ.ร.บ. ผลิตภัณฑ์สมุนไพร พ.ศ. 2562</t>
        </is>
      </c>
      <c r="H109" s="2" t="inlineStr">
        <is>
          <t>พ.ร.บ. เครื่องสำอาง พ.ศ. 2558</t>
        </is>
      </c>
      <c r="I109" s="8" t="inlineStr">
        <is>
          <t>1</t>
        </is>
      </c>
      <c r="J109"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2" t="n"/>
      <c r="L109" s="2" t="inlineStr">
        <is>
          <t>พ.ร.บ. ยา พ.ศ. 2510</t>
        </is>
      </c>
      <c r="M109" s="2" t="inlineStr">
        <is>
          <t>Law &amp; Regulations &amp; Ethics</t>
        </is>
      </c>
      <c r="N109" s="2" t="inlineStr">
        <is>
          <t>PLE_CC1_2565_Day1_Key ข้อ 76</t>
        </is>
      </c>
      <c r="O109" s="2" t="inlineStr">
        <is>
          <t>ข้อสอบจริง</t>
        </is>
      </c>
      <c r="P109" s="2" t="inlineStr">
        <is>
          <t>ปี 2565</t>
        </is>
      </c>
    </row>
    <row r="110" ht="13.2" customHeight="1" s="49">
      <c r="A110" s="8" t="inlineStr">
        <is>
          <t>109</t>
        </is>
      </c>
      <c r="B110" s="2" t="inlineStr">
        <is>
          <t>ยาใดไม;ตองทำ ขย. 11 ตาม พรบ. ยา 2510</t>
        </is>
      </c>
      <c r="C110" s="2" t="n"/>
      <c r="D110" s="2" t="inlineStr">
        <is>
          <t>Tramadol เดี่ยวและผสม</t>
        </is>
      </c>
      <c r="E110" s="2" t="inlineStr">
        <is>
          <t>Dextromethorphan เดี่ยวและผสม</t>
        </is>
      </c>
      <c r="F110" s="2" t="inlineStr">
        <is>
          <t>CPM เดี่ยวและผสม เฉพาะยาน้ำ</t>
        </is>
      </c>
      <c r="G110" s="2" t="inlineStr">
        <is>
          <t>Cetirizine เดี่ยวและผสม เฉพาะยาน้ำ</t>
        </is>
      </c>
      <c r="H110" s="2" t="inlineStr">
        <is>
          <t>Diphenhydramine เดี่ยวและผสม เฉพาะยาน้ำ ิ</t>
        </is>
      </c>
      <c r="I110" s="8" t="inlineStr">
        <is>
          <t>1</t>
        </is>
      </c>
      <c r="J110" s="2" t="inlineStr">
        <is>
          <t>✅ คำตอบที่ถูกต้อง: ข้อ ก. Tramadol เดี่ยวและผสม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Dextromethorphan เดี่ยวและผสม ไม่ตรงกับข้อบ่งใช้หรือกลไกการออกฤทธิ์ที่ถูกต้องตาม พ.ร.บ. ยา พ.ศ. 2510 / พ.ร.บ. วิชาชีพเภสัชกรรม พ.ศ. 2537
• ข้อ ง. (CPM เดี่ยวและผสม เฉพาะยาน้ำ): CPM เดี่ยวและผสม เฉพาะยาน้ำ ไม่ตรงกับข้อบ่งใช้หรือกลไกการออกฤทธิ์ที่ถูกต้องตาม พ.ร.บ. ยา พ.ศ. 2510 / พ.ร.บ. วิชาชีพเภสัชกรรม พ.ศ. 2537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2" t="n"/>
      <c r="L110" s="2" t="inlineStr">
        <is>
          <t>พ.ร.บ. ยา พ.ศ. 2510</t>
        </is>
      </c>
      <c r="M110" s="2" t="inlineStr">
        <is>
          <t>Law &amp; Regulations &amp; Ethics</t>
        </is>
      </c>
      <c r="N110" s="2" t="inlineStr">
        <is>
          <t>PLE_CC1_2565_Day1_Key ข้อ 76</t>
        </is>
      </c>
      <c r="O110" s="2" t="inlineStr">
        <is>
          <t>ข้อสอบจริง</t>
        </is>
      </c>
      <c r="P110" s="2" t="inlineStr">
        <is>
          <t>ปี 2565</t>
        </is>
      </c>
      <c r="Q110" s="2" t="n"/>
    </row>
    <row r="111" ht="13.2" customHeight="1" s="49">
      <c r="A111" s="8" t="inlineStr">
        <is>
          <t>110</t>
        </is>
      </c>
      <c r="B111" s="2" t="inlineStr">
        <is>
          <t>พรบ.ยา ฉบับ 6 ปh 2562 ใบสำคัญการขึ้นทะเบียนตำรับปh 2565 ขอใดถูก</t>
        </is>
      </c>
      <c r="C111" s="2" t="n"/>
      <c r="D111" s="2" t="inlineStr">
        <is>
          <t>5 ปhตั้งแต;วันที่ออกใบสำคัญการขึ้นทะเบียน</t>
        </is>
      </c>
      <c r="E111" s="2" t="inlineStr">
        <is>
          <t>7 ปhตั้งแต;วันที่ออกใบสำคัญการขึ้นทะเบียน</t>
        </is>
      </c>
      <c r="F111" s="2" t="inlineStr">
        <is>
          <t>9 ปhตั้งแต;วันที่ออกใบสำคัญการขึ้นทะเบียน</t>
        </is>
      </c>
      <c r="G111" s="2" t="inlineStr">
        <is>
          <t>วันที่ 31 ธันวาคม ของปhที่ 5 หลังจากออกใบสำคัญการขึ้นทะเบียน</t>
        </is>
      </c>
      <c r="H111" s="2"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8" t="inlineStr">
        <is>
          <t>1</t>
        </is>
      </c>
      <c r="J111" s="2" t="inlineStr">
        <is>
          <t>✅ คำตอบที่ถูกต้อง: ข้อ ก. 5 ปhตั้งแต;วันที่ออกใบสำคัญการขึ้นทะเบียน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5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ค. (7 ปhตั้งแต;วันที่ออกใบสำคัญการขึ้นทะเบียน): 7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ง. (9 ปhตั้งแต;วันที่ออกใบสำคัญการขึ้นทะเบียน): 9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จ. (วันที่ 31 ธันวาคม ของปhที่ 5 หลังจากออกใบสำคัญการขึ้นทะเบียน): วันที่ 31 ธันวาคม ของปhที่ 5 หลังจากออกใบสำคัญการขึ้นทะเบียน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2" t="n"/>
      <c r="L111" s="2" t="inlineStr">
        <is>
          <t>พ.ร.บ. ยา พ.ศ. 2510</t>
        </is>
      </c>
      <c r="M111" s="2" t="inlineStr">
        <is>
          <t>Law &amp; Regulations &amp; Ethics</t>
        </is>
      </c>
      <c r="N111" s="2" t="inlineStr">
        <is>
          <t>PLE_CC1_2565_Day1_Key ข้อ 79</t>
        </is>
      </c>
      <c r="O111" s="2" t="inlineStr">
        <is>
          <t>ข้อสอบจริง</t>
        </is>
      </c>
      <c r="P111" s="2" t="inlineStr">
        <is>
          <t>ปี 2565</t>
        </is>
      </c>
      <c r="Q111" s="2" t="n"/>
    </row>
    <row r="112" ht="13.2" customHeight="1" s="49">
      <c r="A112" s="8" t="inlineStr">
        <is>
          <t>111</t>
        </is>
      </c>
      <c r="B112" s="2" t="inlineStr">
        <is>
          <t>ขอใดไม;จัดอยู;ในพรบ.สมุนไพร</t>
        </is>
      </c>
      <c r="C112" s="2" t="n"/>
      <c r="D112" s="2" t="inlineStr">
        <is>
          <t>ยาแผนโบราณที่ใชกับมนุษยç</t>
        </is>
      </c>
      <c r="E112" s="2" t="inlineStr">
        <is>
          <t>ยาแผนโบราณที่ใชกับสัตวç</t>
        </is>
      </c>
      <c r="F112" s="2" t="inlineStr">
        <is>
          <t>ยาแผนจีน</t>
        </is>
      </c>
      <c r="G112" s="2" t="inlineStr">
        <is>
          <t>[NEED_REVIEW]</t>
        </is>
      </c>
      <c r="H112" s="2" t="inlineStr">
        <is>
          <t>[NEED_REVIEW]</t>
        </is>
      </c>
      <c r="I112" s="8" t="inlineStr">
        <is>
          <t>1</t>
        </is>
      </c>
      <c r="J112" s="2" t="inlineStr">
        <is>
          <t>✅ คำตอบที่ถูกต้อง: ข้อ ก. ยาแผนโบราณที่ใชกับมนุษยç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ยาแผนโบราณที่ใชกับมนุษยç ไม่ตรงกับข้อบ่งใช้หรือกลไกการออกฤทธิ์ที่ถูกต้องตาม พ.ร.บ. ยา พ.ศ. 2510 / พ.ร.บ. วิชาชีพเภสัชกรรม พ.ศ. 2537
• ข้อ ค. (ยาแผนโบราณที่ใชกับสัตวç): ยาแผนโบราณที่ใชกับสัตวç ไม่ตรงกับข้อบ่งใช้หรือกลไกการออกฤทธิ์ที่ถูกต้องตาม พ.ร.บ. ยา พ.ศ. 2510 / พ.ร.บ. วิชาชีพเภสัชกรรม พ.ศ. 2537
• ข้อ ง. (ยาแผนจีน): ยาแผนจีน ไม่ตรงกับข้อบ่งใช้หรือกลไกการออกฤทธิ์ที่ถูกต้องตาม พ.ร.บ. ยา พ.ศ. 2510 / พ.ร.บ. วิชาชีพเภสัชกรรม พ.ศ. 2537
• ข้อ จ. ([NEED_REVIEW]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2" t="n"/>
      <c r="L112" s="2" t="inlineStr">
        <is>
          <t>พ.ร.บ. ผลิตภัณฑ์สมุนไพร &amp; เครื่องสำอาง</t>
        </is>
      </c>
      <c r="M112" s="2" t="inlineStr">
        <is>
          <t>Law &amp; Regulations &amp; Ethics</t>
        </is>
      </c>
      <c r="N112" s="2" t="inlineStr">
        <is>
          <t>PLE_CC1_2565_Day1_Key ข้อ 81</t>
        </is>
      </c>
      <c r="O112" s="2" t="inlineStr">
        <is>
          <t>ข้อสอบจริง</t>
        </is>
      </c>
      <c r="P112" s="2" t="inlineStr">
        <is>
          <t>ปี 2565</t>
        </is>
      </c>
      <c r="Q112" s="2" t="n"/>
    </row>
    <row r="113" ht="13.2" customHeight="1" s="49">
      <c r="A113" s="8" t="inlineStr">
        <is>
          <t>112</t>
        </is>
      </c>
      <c r="B113" s="2"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t>
        </is>
      </c>
      <c r="C113" s="2" t="n"/>
      <c r="D113" s="2" t="inlineStr">
        <is>
          <t>Law &amp; Regulations &amp; Ethics</t>
        </is>
      </c>
      <c r="E113" s="2" t="inlineStr">
        <is>
          <t>พ.ร.บ. ผลิตภัณฑ์สมุนไพร พ.ศ. 2562</t>
        </is>
      </c>
      <c r="F113" s="2" t="inlineStr">
        <is>
          <t>พ.ร.บ. เครื่องสำอาง พ.ศ. 2558</t>
        </is>
      </c>
      <c r="G113" s="2" t="inlineStr">
        <is>
          <t>พ.ร.บ. หลักประกันสุขภาพแห่งชาติ พ.ศ. 2545</t>
        </is>
      </c>
      <c r="H113" s="2" t="inlineStr">
        <is>
          <t>การปฏิบัติทางเภสัชกรรมชุมชน (Good Pharmacy Practice: GPP)</t>
        </is>
      </c>
      <c r="I113" s="8" t="inlineStr">
        <is>
          <t>1</t>
        </is>
      </c>
      <c r="J113"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2" t="n"/>
      <c r="L113" s="2" t="inlineStr">
        <is>
          <t>พ.ร.บ. ยา พ.ศ. 2510</t>
        </is>
      </c>
      <c r="M113" s="2" t="inlineStr">
        <is>
          <t>Law &amp; Regulations &amp; Ethics</t>
        </is>
      </c>
      <c r="N113" s="2" t="inlineStr">
        <is>
          <t>PLE_CC1_2565_Day1_Key ข้อ 83</t>
        </is>
      </c>
      <c r="O113" s="2" t="inlineStr">
        <is>
          <t>ข้อสอบจริง</t>
        </is>
      </c>
      <c r="P113" s="2" t="inlineStr">
        <is>
          <t>ปี 2565</t>
        </is>
      </c>
    </row>
    <row r="114" ht="13.2" customHeight="1" s="49">
      <c r="A114" s="8" t="inlineStr">
        <is>
          <t>113</t>
        </is>
      </c>
      <c r="B114" s="2" t="inlineStr">
        <is>
          <t>กฎหมาย (12 ข`อ)</t>
        </is>
      </c>
      <c r="C114" s="2" t="n"/>
      <c r="D114" s="2" t="inlineStr">
        <is>
          <t>Law &amp; Regulations &amp; Ethics</t>
        </is>
      </c>
      <c r="E114" s="2" t="inlineStr">
        <is>
          <t>การปฏิบัติทางเภสัชกรรมชุมชน (Good Pharmacy Practice: GPP)</t>
        </is>
      </c>
      <c r="F114" s="2" t="inlineStr">
        <is>
          <t>บัญชียาหลักแห่งชาติ (National List of Essential Medicines: NLEM)</t>
        </is>
      </c>
      <c r="G114" s="2" t="inlineStr">
        <is>
          <t>เกณฑ์จริยธรรมว่าด้วยการส่งเสริมการขายยาของกระทรวงสาธารณสุข</t>
        </is>
      </c>
      <c r="H114" s="2" t="inlineStr">
        <is>
          <t>พ.ร.บ. ยา พ.ศ. 2510 (การจำหน่ายยาอันตรายและยาควบคุมพิเศษ)</t>
        </is>
      </c>
      <c r="I114" s="8" t="inlineStr">
        <is>
          <t>1</t>
        </is>
      </c>
      <c r="J114"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2" t="n"/>
      <c r="L114" s="2" t="inlineStr">
        <is>
          <t>พ.ร.บ. ยา พ.ศ. 2510</t>
        </is>
      </c>
      <c r="M114" s="2" t="inlineStr">
        <is>
          <t>Law &amp; Regulations &amp; Ethics</t>
        </is>
      </c>
      <c r="N114" s="2" t="inlineStr">
        <is>
          <t>PLE_CC1_2565_Day1_Key ข้อ 19</t>
        </is>
      </c>
      <c r="O114" s="2" t="inlineStr">
        <is>
          <t>ข้อสอบจริง</t>
        </is>
      </c>
      <c r="P114" s="2" t="inlineStr">
        <is>
          <t>ปี 2565</t>
        </is>
      </c>
    </row>
    <row r="115" ht="13.2" customHeight="1" s="49">
      <c r="A115" s="8" t="inlineStr">
        <is>
          <t>114</t>
        </is>
      </c>
      <c r="B115" s="2" t="inlineStr">
        <is>
          <t>ยา C xxx/xx (NC) เปQนยาประเภทใดตามกฎหมาย SดTายาUไVเWาXยามYZบ[บ</t>
        </is>
      </c>
      <c r="C115" s="2" t="n"/>
      <c r="D115" s="2" t="inlineStr">
        <is>
          <t>ยาควบคุมพิเศษ</t>
        </is>
      </c>
      <c r="E115" s="2" t="inlineStr">
        <is>
          <t>ยาควบคุมเฉพาะสถานพยาบาล</t>
        </is>
      </c>
      <c r="F115" s="2" t="inlineStr">
        <is>
          <t>ยาอันตรายแบบมีเงื่อนไข</t>
        </is>
      </c>
      <c r="G115" s="2" t="inlineStr">
        <is>
          <t>ยาอันตรายแบบไม-มีเงื่อนไข</t>
        </is>
      </c>
      <c r="H115" s="2" t="inlineStr">
        <is>
          <t>[NEED_REVIEW]</t>
        </is>
      </c>
      <c r="I115" s="8" t="inlineStr">
        <is>
          <t>1</t>
        </is>
      </c>
      <c r="J115" s="2" t="inlineStr">
        <is>
          <t>✅ คำตอบที่ถูกต้อง: ข้อ ก. ยาควบคุมพิเศษ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ยาควบคุมเฉพาะสถานพยาบาล ไม่ตรงกับข้อบ่งใช้หรือกลไกการออกฤทธิ์ที่ถูกต้องตาม พ.ร.บ. ยา พ.ศ. 2510 / พ.ร.บ. วิชาชีพเภสัชกรรม พ.ศ. 2537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2" t="n"/>
      <c r="L115" s="2" t="inlineStr">
        <is>
          <t>พ.ร.บ. ยา พ.ศ. 2510</t>
        </is>
      </c>
      <c r="M115" s="2" t="inlineStr">
        <is>
          <t>Law &amp; Regulations &amp; Ethics</t>
        </is>
      </c>
      <c r="N115" s="2" t="inlineStr">
        <is>
          <t>PLE_CC1_2565_Day2_Key ข้อ 69</t>
        </is>
      </c>
      <c r="O115" s="2" t="inlineStr">
        <is>
          <t>ข้อสอบจริง</t>
        </is>
      </c>
      <c r="P115" s="2" t="inlineStr">
        <is>
          <t>ปี 2565</t>
        </is>
      </c>
      <c r="Q115" s="2" t="n"/>
    </row>
    <row r="116" ht="13.2" customHeight="1" s="49">
      <c r="A116" s="8" t="inlineStr">
        <is>
          <t>115</t>
        </is>
      </c>
      <c r="B116" s="2" t="inlineStr">
        <is>
          <t>ผลข้างเคียงของ Levonorgestrel จากบทความของภาควิชาเภสัชวิทยา คณะเภสัชศาสตร์</t>
        </is>
      </c>
      <c r="C116" s="2" t="n"/>
      <c r="D116" s="2" t="inlineStr">
        <is>
          <t>Law &amp; Regulations &amp; Ethics</t>
        </is>
      </c>
      <c r="E116" s="2" t="inlineStr">
        <is>
          <t>พ.ร.บ. วิชาชีพเภสัชกรรม พ.ศ. 2537 และข้อบังคับจรรยาบรรณวิชาชีพ</t>
        </is>
      </c>
      <c r="F116" s="2" t="inlineStr">
        <is>
          <t>พ.ร.บ. ผลิตภัณฑ์สมุนไพร พ.ศ. 2562</t>
        </is>
      </c>
      <c r="G116" s="2" t="inlineStr">
        <is>
          <t>พ.ร.บ. เครื่องสำอาง พ.ศ. 2558</t>
        </is>
      </c>
      <c r="H116" s="2" t="inlineStr">
        <is>
          <t>พ.ร.บ. หลักประกันสุขภาพแห่งชาติ พ.ศ. 2545</t>
        </is>
      </c>
      <c r="I116" s="8" t="inlineStr">
        <is>
          <t>1</t>
        </is>
      </c>
      <c r="J11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2" t="n"/>
      <c r="L116" s="2" t="inlineStr">
        <is>
          <t>พ.ร.บ. ยา พ.ศ. 2510</t>
        </is>
      </c>
      <c r="M116" s="2" t="inlineStr">
        <is>
          <t>Law &amp; Regulations &amp; Ethics</t>
        </is>
      </c>
      <c r="N116" s="2" t="inlineStr">
        <is>
          <t>PLE_CC1_2564_All_Key ข้อ 27</t>
        </is>
      </c>
      <c r="O116" s="2" t="inlineStr">
        <is>
          <t>ข้อสอบจริง</t>
        </is>
      </c>
      <c r="P116" s="2" t="inlineStr">
        <is>
          <t>ปี 2564</t>
        </is>
      </c>
    </row>
    <row r="117" ht="13.2" customHeight="1" s="49">
      <c r="A117" s="8" t="inlineStr">
        <is>
          <t>116</t>
        </is>
      </c>
      <c r="B117" s="2"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2" t="n"/>
      <c r="D117" s="2" t="inlineStr">
        <is>
          <t>Law &amp; Regulations &amp; Ethics</t>
        </is>
      </c>
      <c r="E117" s="2" t="inlineStr">
        <is>
          <t>พ.ร.บ. หลักประกันสุขภาพแห่งชาติ พ.ศ. 2545</t>
        </is>
      </c>
      <c r="F117" s="2" t="inlineStr">
        <is>
          <t>การปฏิบัติทางเภสัชกรรมชุมชน (Good Pharmacy Practice: GPP)</t>
        </is>
      </c>
      <c r="G117" s="2" t="inlineStr">
        <is>
          <t>บัญชียาหลักแห่งชาติ (National List of Essential Medicines: NLEM)</t>
        </is>
      </c>
      <c r="H117" s="2" t="inlineStr">
        <is>
          <t>เกณฑ์จริยธรรมว่าด้วยการส่งเสริมการขายยาของกระทรวงสาธารณสุข</t>
        </is>
      </c>
      <c r="I117" s="8" t="inlineStr">
        <is>
          <t>3</t>
        </is>
      </c>
      <c r="J117" s="2"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2" t="n"/>
      <c r="L117" s="2" t="inlineStr">
        <is>
          <t>พ.ร.บ. ยา พ.ศ. 2510</t>
        </is>
      </c>
      <c r="M117" s="2" t="inlineStr">
        <is>
          <t>Law &amp; Regulations &amp; Ethics</t>
        </is>
      </c>
      <c r="N117" s="2" t="inlineStr">
        <is>
          <t>PLE_CC1_2564_All_Key ข้อ 32</t>
        </is>
      </c>
      <c r="O117" s="2" t="inlineStr">
        <is>
          <t>ข้อสอบจริง</t>
        </is>
      </c>
      <c r="P117" s="2" t="inlineStr">
        <is>
          <t>ปี 2564</t>
        </is>
      </c>
    </row>
    <row r="118" ht="13.2" customHeight="1" s="49">
      <c r="A118" s="8" t="inlineStr">
        <is>
          <t>117</t>
        </is>
      </c>
      <c r="B118" s="2" t="inlineStr">
        <is>
          <t>พบ ค. ลูกจ้างกำลังจัดยาหลายขนาน ฉลากมีเขียนแค่สรรพคุณ (แก้ปวด) ข. ผิดพรบ. ยา ยังไง</t>
        </is>
      </c>
      <c r="C118" s="2" t="n"/>
      <c r="D118" s="2" t="inlineStr">
        <is>
          <t>Law &amp; Regulations &amp; Ethics</t>
        </is>
      </c>
      <c r="E118" s="2" t="inlineStr">
        <is>
          <t>เกณฑ์จริยธรรมว่าด้วยการส่งเสริมการขายยาของกระทรวงสาธารณสุข</t>
        </is>
      </c>
      <c r="F118" s="2" t="inlineStr">
        <is>
          <t>ผิดพรบ. ยา พ.ศ. 2510</t>
        </is>
      </c>
      <c r="G118" s="2" t="inlineStr">
        <is>
          <t>พ.ร.บ. ยาเสพติดให้โทษ พ.ศ. 2522 (ยาเสพติดให้โทษประเภท 2 และ 3)</t>
        </is>
      </c>
      <c r="H118" s="2" t="inlineStr">
        <is>
          <t>พ.ร.บ. วัตถุที่ออกฤทธิ์ต่อจิตและประสาท พ.ศ. 2559 (ประเภท 2 และ 4)</t>
        </is>
      </c>
      <c r="I118" s="8" t="inlineStr">
        <is>
          <t>1</t>
        </is>
      </c>
      <c r="J11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(ผิดพรบ. ยา พ.ศ. 2510): ผิดพรบ. ยา พ.ศ. 2510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2" t="n"/>
      <c r="L118" s="2" t="inlineStr">
        <is>
          <t>พ.ร.บ. ยา พ.ศ. 2510</t>
        </is>
      </c>
      <c r="M118" s="2" t="inlineStr">
        <is>
          <t>Law &amp; Regulations &amp; Ethics</t>
        </is>
      </c>
      <c r="N118" s="2" t="inlineStr">
        <is>
          <t>PLE_CC1_2564_All_Key ข้อ 57</t>
        </is>
      </c>
      <c r="O118" s="2" t="inlineStr">
        <is>
          <t>ข้อสอบจริง</t>
        </is>
      </c>
      <c r="P118" s="2" t="inlineStr">
        <is>
          <t>ปี 2564</t>
        </is>
      </c>
    </row>
    <row r="119" ht="13.2" customHeight="1" s="49">
      <c r="A119" s="8" t="inlineStr">
        <is>
          <t>118</t>
        </is>
      </c>
      <c r="B119" s="2"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2" t="n"/>
      <c r="D119" s="2" t="inlineStr">
        <is>
          <t>Law &amp; Regulations &amp; Ethics</t>
        </is>
      </c>
      <c r="E119" s="2" t="inlineStr">
        <is>
          <t>พ.ร.บ. วัตถุที่ออกฤทธิ์ต่อจิตและประสาท พ.ศ. 2559 (ประเภท 2 และ 4)</t>
        </is>
      </c>
      <c r="F119" s="2" t="inlineStr">
        <is>
          <t>พ.ร.บ. วิชาชีพเภสัชกรรม พ.ศ. 2537 และข้อบังคับจรรยาบรรณวิชาชีพ</t>
        </is>
      </c>
      <c r="G119" s="2" t="inlineStr">
        <is>
          <t>พ.ร.บ. ผลิตภัณฑ์สมุนไพร พ.ศ. 2562</t>
        </is>
      </c>
      <c r="H119" s="2" t="inlineStr">
        <is>
          <t>พ.ร.บ. เครื่องสำอาง พ.ศ. 2558</t>
        </is>
      </c>
      <c r="I119" s="8" t="inlineStr">
        <is>
          <t>1</t>
        </is>
      </c>
      <c r="J119"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2" t="n"/>
      <c r="L119" s="2" t="inlineStr">
        <is>
          <t>พ.ร.บ. ผลิตภัณฑ์สมุนไพร &amp; เครื่องสำอาง</t>
        </is>
      </c>
      <c r="M119" s="2" t="inlineStr">
        <is>
          <t>Law &amp; Regulations &amp; Ethics</t>
        </is>
      </c>
      <c r="N119" s="2" t="inlineStr">
        <is>
          <t>PLE_CC1_2564_All_Key ข้อ 5</t>
        </is>
      </c>
      <c r="O119" s="2" t="inlineStr">
        <is>
          <t>ข้อสอบจริง</t>
        </is>
      </c>
      <c r="P119" s="2" t="inlineStr">
        <is>
          <t>ปี 2564</t>
        </is>
      </c>
    </row>
    <row r="120" ht="13.2" customHeight="1" s="49">
      <c r="A120" s="8" t="inlineStr">
        <is>
          <t>119</t>
        </is>
      </c>
      <c r="B120" s="2"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2" t="n"/>
      <c r="D120" s="2" t="inlineStr">
        <is>
          <t>Law &amp; Regulations &amp; Ethics</t>
        </is>
      </c>
      <c r="E120" s="2" t="inlineStr">
        <is>
          <t>1 สัปดาห์</t>
        </is>
      </c>
      <c r="F120" s="2" t="inlineStr">
        <is>
          <t>2 สัปดาห์</t>
        </is>
      </c>
      <c r="G120" s="2" t="inlineStr">
        <is>
          <t>1 เดือน</t>
        </is>
      </c>
      <c r="H120" s="2" t="inlineStr">
        <is>
          <t>บัญชียาหลักแห่งชาติ (National List of Essential Medicines: NLEM)</t>
        </is>
      </c>
      <c r="I120" s="8" t="inlineStr">
        <is>
          <t>1</t>
        </is>
      </c>
      <c r="J120" s="2"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1 สัปดาห์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(1 เดือน): 1 เดือน ไม่ตรงกับข้อบ่งใช้หรือกลไกการออกฤทธิ์ที่ถูกต้องตาม พ.ร.บ. ยา พ.ศ. 2510 / พ.ร.บ. วิชาชีพเภสัชกรรม พ.ศ. 2537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2" t="n"/>
      <c r="L120" s="2" t="inlineStr">
        <is>
          <t>พ.ร.บ. ยา พ.ศ. 2510</t>
        </is>
      </c>
      <c r="M120" s="2" t="inlineStr">
        <is>
          <t>Law &amp; Regulations &amp; Ethics</t>
        </is>
      </c>
      <c r="N120" s="2" t="inlineStr">
        <is>
          <t>PLE_CC1_2564_All_Key ข้อ 107</t>
        </is>
      </c>
      <c r="O120" s="2" t="inlineStr">
        <is>
          <t>ข้อสอบจริง</t>
        </is>
      </c>
      <c r="P120" s="2" t="inlineStr">
        <is>
          <t>ปี 2564</t>
        </is>
      </c>
    </row>
    <row r="121" ht="13.2" customHeight="1" s="49">
      <c r="A121" s="8" t="inlineStr">
        <is>
          <t>120</t>
        </is>
      </c>
      <c r="B121" s="2" t="inlineStr">
        <is>
          <t>เภสัชกรรับให้คำปรึกษาและขายยาทางอินเทอร์เน็ต ขั้นต่ำ 1,000 บาท ผิดจรรยาบรรณข้อไหน</t>
        </is>
      </c>
      <c r="C121" s="2" t="n"/>
      <c r="D121" s="2" t="inlineStr">
        <is>
          <t>Law &amp; Regulations &amp; Ethics</t>
        </is>
      </c>
      <c r="E121" s="2" t="inlineStr">
        <is>
          <t>ผู้ประกอบวิชาชีพย่อมดำรงตนให้สมควรในสังคมโดยธรรมและเคารพต่อกฎหมาย</t>
        </is>
      </c>
      <c r="F121" s="2" t="inlineStr">
        <is>
          <t>ผู้ประกอบวิชาชีพย่อมประกอบอาชีพด้วยเจตนาดี โดยไม่คำนึงถึงฐานะ เชื้อชาติ ศาสนา สังคม หรือลัทธิการเมือง</t>
        </is>
      </c>
      <c r="G121" s="2" t="inlineStr">
        <is>
          <t>ผู้ประกอบวิชาชีพต้องไม่ชักจูงหรือชักชวนให้มารับบริการทางวิชาชีพเภสัชกรรมเพื่อประโยชน์ตน</t>
        </is>
      </c>
      <c r="H121" s="2"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t>
        </is>
      </c>
      <c r="I121" s="8" t="inlineStr">
        <is>
          <t>1</t>
        </is>
      </c>
      <c r="J121"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ผู้ประกอบวิชาชีพย่อมดำรงตนให้สมควรในสังคมโดยธรรมและเคารพต่อกฎหมาย ไม่ตรงกับข้อบ่งใช้หรือกลไกการออกฤทธิ์ที่ถูกต้องตาม พ.ร.บ. ยา พ.ศ. 2510 / พ.ร.บ. วิชาชีพเภสัชกรรม พ.ศ. 2537
• ข้อ ค. (ผู้ประกอบวิชาชีพย่อมประกอบอาชีพด้วยเจตนาดี โดยไม่คำนึงถึงฐานะ เชื้อชาติ ศาสนา สังคม หรือลัทธิการเมือง): ผู้ประกอบวิชาชีพย่อมประกอบอาชีพด้วยเจตนาดี โดยไม่คำนึงถึงฐานะ เชื้อชาติ ศาสนา สังคม หรือลัทธิการเมือง ไม่ตรงกับข้อบ่งใช้หรือกลไกการออกฤทธิ์ที่ถูกต้องตาม พ.ร.บ. ยา พ.ศ. 2510 / พ.ร.บ. วิชาชีพเภสัชกรรม พ.ศ. 2537
• ข้อ ง. (ผู้ประกอบวิชาชีพต้องไม่ชักจูงหรือชักชวนให้มารับบริการทางวิชาชีพเภสัชกรรมเพื่อประโยชน์ตน): ผู้ประกอบวิชาชีพต้องไม่ชักจูงหรือชักชวนให้มารับบริการทางวิชาชีพเภสัชกรรมเพื่อประโยชน์ตน ไม่ตรงกับข้อบ่งใช้หรือกลไกการออกฤทธิ์ที่ถูกต้องตาม พ.ร.บ. ยา พ.ศ. 2510 / พ.ร.บ. วิชาชีพเภสัชกรรม พ.ศ. 2537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2" t="n"/>
      <c r="L121" s="2" t="inlineStr">
        <is>
          <t>พ.ร.บ. วิชาชีพเภสัชกรรม 2537</t>
        </is>
      </c>
      <c r="M121" s="2" t="inlineStr">
        <is>
          <t>Law &amp; Regulations &amp; Ethics</t>
        </is>
      </c>
      <c r="N121" s="2" t="inlineStr">
        <is>
          <t>PLE_CC1_2564_All_Key ข้อ 146</t>
        </is>
      </c>
      <c r="O121" s="2" t="inlineStr">
        <is>
          <t>ข้อสอบจริง</t>
        </is>
      </c>
      <c r="P121" s="2" t="inlineStr">
        <is>
          <t>ปี 2564</t>
        </is>
      </c>
    </row>
    <row r="122" ht="13.2" customHeight="1" s="49">
      <c r="A122" s="8" t="inlineStr">
        <is>
          <t>121</t>
        </is>
      </c>
      <c r="B122" s="2"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2" t="n"/>
      <c r="D122" s="2" t="inlineStr">
        <is>
          <t>Law &amp; Regulations &amp; Ethics</t>
        </is>
      </c>
      <c r="E122" s="2" t="inlineStr">
        <is>
          <t>พ.ร.บ. ยาเสพติดให้โทษ พ.ศ. 2522 (ยาเสพติดให้โทษประเภท 2 และ 3)</t>
        </is>
      </c>
      <c r="F122" s="2" t="inlineStr">
        <is>
          <t>พ.ร.บ. วัตถุที่ออกฤทธิ์ต่อจิตและประสาท พ.ศ. 2559 (ประเภท 2 และ 4)</t>
        </is>
      </c>
      <c r="G122" s="2" t="inlineStr">
        <is>
          <t>พ.ร.บ. วิชาชีพเภสัชกรรม พ.ศ. 2537 และข้อบังคับจรรยาบรรณวิชาชีพ</t>
        </is>
      </c>
      <c r="H122" s="2" t="inlineStr">
        <is>
          <t>พ.ร.บ. ผลิตภัณฑ์สมุนไพร พ.ศ. 2562</t>
        </is>
      </c>
      <c r="I122" s="8" t="inlineStr">
        <is>
          <t>1</t>
        </is>
      </c>
      <c r="J122"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2" t="n"/>
      <c r="L122" s="2" t="inlineStr">
        <is>
          <t>พ.ร.บ. วิชาชีพเภสัชกรรม 2537</t>
        </is>
      </c>
      <c r="M122" s="2" t="inlineStr">
        <is>
          <t>Law &amp; Regulations &amp; Ethics</t>
        </is>
      </c>
      <c r="N122" s="2" t="inlineStr">
        <is>
          <t>PLE_CC1_2564_All_Key ข้อ 1</t>
        </is>
      </c>
      <c r="O122" s="2" t="inlineStr">
        <is>
          <t>ข้อสอบจริง</t>
        </is>
      </c>
      <c r="P122" s="2" t="inlineStr">
        <is>
          <t>ปี 2564</t>
        </is>
      </c>
    </row>
    <row r="123" ht="13.2" customHeight="1" s="49">
      <c r="A123" s="8" t="inlineStr">
        <is>
          <t>122</t>
        </is>
      </c>
      <c r="B123" s="2"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2" t="n"/>
      <c r="D123" s="2" t="inlineStr">
        <is>
          <t>Law &amp; Regulations &amp; Ethics</t>
        </is>
      </c>
      <c r="E123" s="2" t="inlineStr">
        <is>
          <t>พ.ร.บ. ผลิตภัณฑ์สมุนไพร พ.ศ. 2562</t>
        </is>
      </c>
      <c r="F123" s="2" t="inlineStr">
        <is>
          <t>พ.ร.บ. เครื่องสำอาง พ.ศ. 2558</t>
        </is>
      </c>
      <c r="G123" s="2" t="inlineStr">
        <is>
          <t>พ.ร.บ. หลักประกันสุขภาพแห่งชาติ พ.ศ. 2545</t>
        </is>
      </c>
      <c r="H123" s="2" t="inlineStr">
        <is>
          <t>การปฏิบัติทางเภสัชกรรมชุมชน (Good Pharmacy Practice: GPP)</t>
        </is>
      </c>
      <c r="I123" s="8" t="inlineStr">
        <is>
          <t>1</t>
        </is>
      </c>
      <c r="J123"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พ.ร.บ. ยา พ.ศ. 2510</t>
        </is>
      </c>
      <c r="M123" s="2" t="inlineStr">
        <is>
          <t>Law &amp; Regulations &amp; Ethics</t>
        </is>
      </c>
      <c r="N123" s="2" t="inlineStr">
        <is>
          <t>PLE_CC1_2564_All_Key ข้อ 151</t>
        </is>
      </c>
      <c r="O123" s="2" t="inlineStr">
        <is>
          <t>ข้อสอบจริง</t>
        </is>
      </c>
      <c r="P123" s="2" t="inlineStr">
        <is>
          <t>ปี 2564</t>
        </is>
      </c>
    </row>
    <row r="124" ht="13.2" customHeight="1" s="49">
      <c r="A124" s="8" t="inlineStr">
        <is>
          <t>123</t>
        </is>
      </c>
      <c r="B124" s="2" t="inlineStr">
        <is>
          <t>สินค้าได้สัดอยู่ในพรบ.คุ้มครอษผู้บริโภคพ.ศ.2522</t>
        </is>
      </c>
      <c r="C124" s="2" t="n"/>
      <c r="D124" s="2" t="inlineStr">
        <is>
          <t>Law &amp; Regulations &amp; Ethics</t>
        </is>
      </c>
      <c r="E124" s="2" t="inlineStr">
        <is>
          <t>อินอูลิน</t>
        </is>
      </c>
      <c r="F124" s="2" t="inlineStr">
        <is>
          <t>เข็มหีดอินอูลิน</t>
        </is>
      </c>
      <c r="G124" s="2" t="inlineStr">
        <is>
          <t>เครื่อษวัดความดัน ษ. เครื่อษออกกำลัษกาย ส. ผ้าอนามัย</t>
        </is>
      </c>
      <c r="H124" s="2" t="inlineStr">
        <is>
          <t>พ.ร.บ. ยา พ.ศ. 2510 (การจำหน่ายยาอันตรายและยาควบคุมพิเศษ)</t>
        </is>
      </c>
      <c r="I124" s="8" t="inlineStr">
        <is>
          <t>1</t>
        </is>
      </c>
      <c r="J124"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อินอูลิน ไม่ตรงกับข้อบ่งใช้หรือกลไกการออกฤทธิ์ที่ถูกต้องตาม พ.ร.บ. ยา พ.ศ. 2510 / พ.ร.บ. วิชาชีพเภสัชกรรม พ.ศ. 2537
• ข้อ ค. (เข็มหีดอินอูลิน): เข็มหีดอินอูลิน ไม่ตรงกับข้อบ่งใช้หรือกลไกการออกฤทธิ์ที่ถูกต้องตาม พ.ร.บ. ยา พ.ศ. 2510 / พ.ร.บ. วิชาชีพเภสัชกรรม พ.ศ. 2537
• ข้อ ง. (เครื่อษวัดความดัน ษ. เครื่อษออกกำลัษกาย ส. ผ้าอนามัย): เครื่อษวัดความดัน ษ. เครื่อษออกกำลัษกาย ส. ผ้าอนามัย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2" t="n"/>
      <c r="L124" s="2" t="inlineStr">
        <is>
          <t>พ.ร.บ. ยา พ.ศ. 2510</t>
        </is>
      </c>
      <c r="M124" s="2" t="inlineStr">
        <is>
          <t>Law &amp; Regulations &amp; Ethics</t>
        </is>
      </c>
      <c r="N124" s="2" t="inlineStr">
        <is>
          <t>PLE_CC1_2563_Q ข้อ 1</t>
        </is>
      </c>
      <c r="O124" s="2" t="inlineStr">
        <is>
          <t>ข้อสอบจริง</t>
        </is>
      </c>
      <c r="P124" s="2" t="inlineStr">
        <is>
          <t>ปี 2563</t>
        </is>
      </c>
    </row>
    <row r="125" ht="13.2" customHeight="1" s="49">
      <c r="A125" s="8" t="inlineStr">
        <is>
          <t>124</t>
        </is>
      </c>
      <c r="B125" s="2" t="inlineStr">
        <is>
          <t>มีคนสนใสตำรับนี้เป็นสำนวนมาก ทาษโรษพยาบาลสึษผลิตและออกสำหน่าย ถูกหรือผิดกฎหมาย อย่าษไร</t>
        </is>
      </c>
      <c r="C125" s="2" t="n"/>
      <c r="D125" s="2" t="inlineStr">
        <is>
          <t>Law &amp; Regulations &amp; Ethics</t>
        </is>
      </c>
      <c r="E125" s="2" t="inlineStr">
        <is>
          <t>ไม่ผิด เพราะโรษพยาบาลสามารถสำหน่ายยาที่ผลิตเอษได้</t>
        </is>
      </c>
      <c r="F125" s="2" t="inlineStr">
        <is>
          <t>ไม่ผิด เพราะโรษพยาบาลเป็นข้อยกเว้นที่ไม่ต้อษขอขึ้นทะเบียนตำรับ</t>
        </is>
      </c>
      <c r="G125" s="2"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2" t="inlineStr">
        <is>
          <t>พ.ร.บ. วิชาชีพเภสัชกรรม พ.ศ. 2537 และข้อบังคับจรรยาบรรณวิชาชีพ</t>
        </is>
      </c>
      <c r="I125" s="8" t="inlineStr">
        <is>
          <t>1</t>
        </is>
      </c>
      <c r="J125"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ไม่ผิด เพราะโรษพยาบาลสามารถสำหน่ายยาที่ผลิตเอษได้ ไม่ตรงกับข้อบ่งใช้หรือกลไกการออกฤทธิ์ที่ถูกต้องตาม พ.ร.บ. ยา พ.ศ. 2510 / พ.ร.บ. วิชาชีพเภสัชกรรม พ.ศ. 2537
• ข้อ ค. (ไม่ผิด เพราะโรษพยาบาลเป็นข้อยกเว้นที่ไม่ต้อษขอขึ้นทะเบียนตำรับ): ไม่ผิด เพราะโรษพยาบาลเป็นข้อยกเว้นที่ไม่ต้อษขอขึ้นทะเบียนตำรับ ไม่ตรงกับข้อบ่งใช้หรือกลไกการออกฤทธิ์ที่ถูกต้องตาม พ.ร.บ. ยา พ.ศ. 2510 / พ.ร.บ. วิชาชีพเภสัชกรรม พ.ศ. 2537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ไม่ตรงกับข้อบ่งใช้หรือกลไกการออกฤทธิ์ที่ถูกต้องตาม พ.ร.บ. ยา พ.ศ. 2510 / พ.ร.บ. วิชาชีพเภสัชกรรม พ.ศ. 2537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2" t="n"/>
      <c r="L125" s="2" t="inlineStr">
        <is>
          <t>พ.ร.บ. ยา พ.ศ. 2510</t>
        </is>
      </c>
      <c r="M125" s="2" t="inlineStr">
        <is>
          <t>Law &amp; Regulations &amp; Ethics</t>
        </is>
      </c>
      <c r="N125" s="2" t="inlineStr">
        <is>
          <t>PLE_CC1_2563_Q ข้อ 3</t>
        </is>
      </c>
      <c r="O125" s="2" t="inlineStr">
        <is>
          <t>ข้อสอบจริง</t>
        </is>
      </c>
      <c r="P125" s="2" t="inlineStr">
        <is>
          <t>ปี 2563</t>
        </is>
      </c>
    </row>
    <row r="126" ht="13.2" customHeight="1" s="49">
      <c r="A126" s="8" t="inlineStr">
        <is>
          <t>125</t>
        </is>
      </c>
      <c r="B126" s="2" t="inlineStr">
        <is>
          <t>นาย ก ผิดกฎหมายหรือไม่ ถ้าผิด ผิดอย่าษไร</t>
        </is>
      </c>
      <c r="C126" s="2" t="n"/>
      <c r="D126" s="2" t="inlineStr">
        <is>
          <t>Law &amp; Regulations &amp; Ethics</t>
        </is>
      </c>
      <c r="E126" s="2" t="inlineStr">
        <is>
          <t>ผิด เพราะ ขายยาควบคุมพิเศษโดยไม่ได้รับอนุญาต</t>
        </is>
      </c>
      <c r="F126" s="2" t="inlineStr">
        <is>
          <t>ผิด เพราะ ขายยาเสพติด</t>
        </is>
      </c>
      <c r="G126" s="2"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2" t="inlineStr">
        <is>
          <t>พ.ร.บ. หลักประกันสุขภาพแห่งชาติ พ.ศ. 2545</t>
        </is>
      </c>
      <c r="I126" s="8" t="inlineStr">
        <is>
          <t>1</t>
        </is>
      </c>
      <c r="J12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ผิด เพราะ ขายยาเสพติด ไม่ตรงกับข้อบ่งใช้หรือกลไกการออกฤทธิ์ที่ถูกต้องตาม พ.ร.บ. ยา พ.ศ. 2510 / พ.ร.บ. วิชาชีพเภสัชกรรม พ.ศ. 2537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2" t="n"/>
      <c r="L126" s="2" t="inlineStr">
        <is>
          <t>พ.ร.บ. ยา พ.ศ. 2510</t>
        </is>
      </c>
      <c r="M126" s="2" t="inlineStr">
        <is>
          <t>Law &amp; Regulations &amp; Ethics</t>
        </is>
      </c>
      <c r="N126" s="2" t="inlineStr">
        <is>
          <t>PLE_CC1_2563_Q ข้อ 8</t>
        </is>
      </c>
      <c r="O126" s="2" t="inlineStr">
        <is>
          <t>ข้อสอบจริง</t>
        </is>
      </c>
      <c r="P126" s="2" t="inlineStr">
        <is>
          <t>ปี 2563</t>
        </is>
      </c>
    </row>
    <row r="127" ht="13.2" customHeight="1" s="49">
      <c r="A127" s="8" t="inlineStr">
        <is>
          <t>126</t>
        </is>
      </c>
      <c r="B127" s="2" t="inlineStr">
        <is>
          <t>ข้อใดเป็นการขายยาอย่าษถูกต้อษตามกฎหมาย</t>
        </is>
      </c>
      <c r="C127" s="2" t="n"/>
      <c r="D127" s="2" t="inlineStr">
        <is>
          <t>Law &amp; Regulations &amp; Ethics</t>
        </is>
      </c>
      <c r="E127" s="2" t="inlineStr">
        <is>
          <t>CPM 100 เม็ด และ Tramadol 10 เม็ด</t>
        </is>
      </c>
      <c r="F127" s="2" t="inlineStr">
        <is>
          <t>CPM 30 เม็ด และ CPM syrup 60 มล. 4 ขวด</t>
        </is>
      </c>
      <c r="G127" s="2" t="inlineStr">
        <is>
          <t>Tramadol 20 เม็ด CPM syrup 140 มล. 2 ขวด ษ. Dextromethorphan 20 เม็ด CPM syrup 120 มล. 2 ขวด ส. Dextromethorphan syrup 120 มล 2 ขวด cpm syrup 120 มล. 2 ขวด</t>
        </is>
      </c>
      <c r="H127" s="2" t="inlineStr">
        <is>
          <t>เกณฑ์จริยธรรมว่าด้วยการส่งเสริมการขายยาของกระทรวงสาธารณสุข</t>
        </is>
      </c>
      <c r="I127" s="8" t="inlineStr">
        <is>
          <t>1</t>
        </is>
      </c>
      <c r="J127"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CPM 30 เม็ด และ CPM syrup 60 มล. 4 ขวด ไม่ตรงกับข้อบ่งใช้หรือกลไกการออกฤทธิ์ที่ถูกต้องตาม พ.ร.บ. ยา พ.ศ. 2510 / พ.ร.บ. วิชาชีพเภสัชกรรม พ.ศ. 2537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2" t="n"/>
      <c r="L127" s="2" t="inlineStr">
        <is>
          <t>พ.ร.บ. ยา พ.ศ. 2510</t>
        </is>
      </c>
      <c r="M127" s="2" t="inlineStr">
        <is>
          <t>Law &amp; Regulations &amp; Ethics</t>
        </is>
      </c>
      <c r="N127" s="2" t="inlineStr">
        <is>
          <t>PLE_CC1_2563_Q ข้อ 11</t>
        </is>
      </c>
      <c r="O127" s="2" t="inlineStr">
        <is>
          <t>ข้อสอบจริง</t>
        </is>
      </c>
      <c r="P127" s="2" t="inlineStr">
        <is>
          <t>ปี 2563</t>
        </is>
      </c>
    </row>
    <row r="128" ht="13.2" customHeight="1" s="49">
      <c r="A128" s="8" t="inlineStr">
        <is>
          <t>127</t>
        </is>
      </c>
      <c r="B128" s="2"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2" t="n"/>
      <c r="D128" s="2" t="inlineStr">
        <is>
          <t>Law &amp; Regulations &amp; Ethics</t>
        </is>
      </c>
      <c r="E128" s="2" t="inlineStr">
        <is>
          <t>ผิด เนื่อษสากเป็นการผลิตยาโดยไม่ได้รับอนุญาต</t>
        </is>
      </c>
      <c r="F128" s="2" t="inlineStr">
        <is>
          <t>ผิด เนื่อษสากไม่คำนึษถึษความปลอดภัยขอษผู้ป่วย</t>
        </is>
      </c>
      <c r="G128" s="2"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2" t="inlineStr">
        <is>
          <t>พ.ร.บ. วัตถุที่ออกฤทธิ์ต่อจิตและประสาท พ.ศ. 2559 (ประเภท 2 และ 4)</t>
        </is>
      </c>
      <c r="I128" s="8" t="inlineStr">
        <is>
          <t>1</t>
        </is>
      </c>
      <c r="J12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ผิด เนื่อษสากเป็นการผลิตยาโดยไม่ได้รับอนุญาต ไม่ตรงกับข้อบ่งใช้หรือกลไกการออกฤทธิ์ที่ถูกต้องตาม พ.ร.บ. ยา พ.ศ. 2510 / พ.ร.บ. วิชาชีพเภสัชกรรม พ.ศ. 2537
• ข้อ ค. (ผิด เนื่อษสากไม่คำนึษถึษความปลอดภัยขอษผู้ป่วย): ผิด เนื่อษสากไม่คำนึษถึษความปลอดภัยขอษผู้ป่วย ไม่ตรงกับข้อบ่งใช้หรือกลไกการออกฤทธิ์ที่ถูกต้องตาม พ.ร.บ. ยา พ.ศ. 2510 / พ.ร.บ. วิชาชีพเภสัชกรรม พ.ศ. 2537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2" t="n"/>
      <c r="L128" s="2" t="inlineStr">
        <is>
          <t>พ.ร.บ. ยา พ.ศ. 2510</t>
        </is>
      </c>
      <c r="M128" s="2" t="inlineStr">
        <is>
          <t>Law &amp; Regulations &amp; Ethics</t>
        </is>
      </c>
      <c r="N128" s="2" t="inlineStr">
        <is>
          <t>PLE_CC1_2563_Q ข้อ 12</t>
        </is>
      </c>
      <c r="O128" s="2" t="inlineStr">
        <is>
          <t>ข้อสอบจริง</t>
        </is>
      </c>
      <c r="P128" s="2" t="inlineStr">
        <is>
          <t>ปี 2563</t>
        </is>
      </c>
    </row>
    <row r="129" ht="13.2" customHeight="1" s="49">
      <c r="A129" s="2" t="n">
        <v>127</v>
      </c>
      <c r="B129" s="2" t="inlineStr">
        <is>
          <t>นางสาว ธ ขายยารายการที่ 1 ผิดกฎหมายหรือไม่ ~ emsis</t>
        </is>
      </c>
      <c r="C129" s="2" t="n"/>
      <c r="D129" s="2" t="inlineStr">
        <is>
          <t>ไม่ผิด เนื่องจากได้รับอนุญาตให้ขายได้</t>
        </is>
      </c>
      <c r="E129" s="2" t="inlineStr">
        <is>
          <t>ไม่ผิด เนื่องจากได้รับการยกเว้นให้ไม่ต้องขออนุญาต</t>
        </is>
      </c>
      <c r="F129" s="2" t="inlineStr">
        <is>
          <t>ผิด เนื่องจากขายยาชุด</t>
        </is>
      </c>
      <c r="G129" s="2" t="inlineStr">
        <is>
          <t>ผิด เนื่องจากขายยาตำรับลับ</t>
        </is>
      </c>
      <c r="H129" s="2" t="inlineStr">
        <is>
          <t>ผิด เนื่องจากขายยานอกสถานที่ที่ได้รับอนุญาต</t>
        </is>
      </c>
      <c r="I129" s="2" t="n">
        <v>1</v>
      </c>
      <c r="J129" s="2"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2" t="n"/>
      <c r="L129" s="2" t="inlineStr">
        <is>
          <t>พ.ร.บ. ยา พ.ศ. 2510</t>
        </is>
      </c>
      <c r="M129" s="2" t="inlineStr">
        <is>
          <t>SAP</t>
        </is>
      </c>
      <c r="N129" s="2" t="inlineStr">
        <is>
          <t>ข้อ 78 (PLE_CC1_2562_Key.md)</t>
        </is>
      </c>
      <c r="O129" s="2" t="inlineStr">
        <is>
          <t>ข้อสอบจริง</t>
        </is>
      </c>
      <c r="P129" s="2" t="inlineStr">
        <is>
          <t>ปี 2562</t>
        </is>
      </c>
    </row>
    <row r="130" ht="13.2" customHeight="1" s="49">
      <c r="A130" s="2" t="n">
        <v>128</v>
      </c>
      <c r="B130" s="2"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2" t="n"/>
      <c r="D130" s="2" t="inlineStr">
        <is>
          <t>ไม่ผิด เพราะเป็นไม่ต้องขออนุญาต</t>
        </is>
      </c>
      <c r="E130" s="2" t="inlineStr">
        <is>
          <t>ไม่ผิด เพราะมีเลขอนุญาตการโฆษณา</t>
        </is>
      </c>
      <c r="F130" s="2" t="inlineStr">
        <is>
          <t>ผิด เพราะ โฆษณาขายยาที่ห้ามขาย</t>
        </is>
      </c>
      <c r="G130" s="2" t="inlineStr">
        <is>
          <t>ผิด เพราะ โฆษณาโอ้อวดสรรพคุณเกินจริง</t>
        </is>
      </c>
      <c r="H130" s="2" t="inlineStr">
        <is>
          <t>ผิด เพราะ โฆษณายารักษาโรคที่ห้ามโฆษณาตามรัฐมนตรีกำหนด</t>
        </is>
      </c>
      <c r="I130" s="2" t="n">
        <v>1</v>
      </c>
      <c r="J130" s="2"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2" t="n"/>
      <c r="L130" s="2" t="inlineStr">
        <is>
          <t>พ.ร.บ. ยา พ.ศ. 2510</t>
        </is>
      </c>
      <c r="M130" s="2" t="inlineStr">
        <is>
          <t>SAP</t>
        </is>
      </c>
      <c r="N130" s="2" t="inlineStr">
        <is>
          <t>ข้อ 80 (PLE_CC1_2562_Key.md)</t>
        </is>
      </c>
      <c r="O130" s="2" t="inlineStr">
        <is>
          <t>ข้อสอบจริง</t>
        </is>
      </c>
      <c r="P130" s="2" t="inlineStr">
        <is>
          <t>ปี 2562</t>
        </is>
      </c>
    </row>
    <row r="131" ht="13.2" customHeight="1" s="49">
      <c r="A131" s="2" t="n">
        <v>129</v>
      </c>
      <c r="B131" s="2" t="inlineStr">
        <is>
          <t>ต่อมาพบว่าผู้ป่วยเป็น absence seizure ยาในข้อใดมีประสิทธิภาพในการรักษามากที่สุด X ~ ↑</t>
        </is>
      </c>
      <c r="C131" s="2" t="n"/>
      <c r="D131" s="2" t="inlineStr">
        <is>
          <t>Valproate</t>
        </is>
      </c>
      <c r="E131" s="2" t="inlineStr">
        <is>
          <t>Carbamazepine</t>
        </is>
      </c>
      <c r="F131" s="2" t="inlineStr">
        <is>
          <t>Topiramate</t>
        </is>
      </c>
      <c r="G131" s="2" t="inlineStr">
        <is>
          <t>Phenytoin</t>
        </is>
      </c>
      <c r="H131" s="2" t="inlineStr">
        <is>
          <t>Pregabalin</t>
        </is>
      </c>
      <c r="I131" s="2" t="n">
        <v>1</v>
      </c>
      <c r="J131" s="2"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2" t="n"/>
      <c r="L131" s="2" t="inlineStr">
        <is>
          <t>พ.ร.บ. ยา พ.ศ. 2510</t>
        </is>
      </c>
      <c r="M131" s="2" t="inlineStr">
        <is>
          <t>SAP</t>
        </is>
      </c>
      <c r="N131" s="2" t="inlineStr">
        <is>
          <t>ข้อ 101 (PLE_CC1_2562_Key.md)</t>
        </is>
      </c>
      <c r="O131" s="2" t="inlineStr">
        <is>
          <t>ข้อสอบจริง</t>
        </is>
      </c>
      <c r="P131" s="2" t="inlineStr">
        <is>
          <t>ปี 2562</t>
        </is>
      </c>
    </row>
    <row r="132" ht="13.2" customHeight="1" s="49">
      <c r="A132" s="2" t="n">
        <v>130</v>
      </c>
      <c r="B132" s="2" t="inlineStr">
        <is>
          <t>ผู้ป่วยจะได้รับประสิทธิผลจากการรักษาเต็มที่เมื่อรับประทานยาต่อเนื่องนานเท่าไหร่ X ↑ ิscie-2dec</t>
        </is>
      </c>
      <c r="C132" s="2" t="n"/>
      <c r="D132" s="2" t="inlineStr">
        <is>
          <t>3 วัน</t>
        </is>
      </c>
      <c r="E132" s="2" t="inlineStr">
        <is>
          <t>7 วัน</t>
        </is>
      </c>
      <c r="F132" s="2" t="inlineStr">
        <is>
          <t>2 สัปดาห์</t>
        </is>
      </c>
      <c r="G132" s="2" t="inlineStr">
        <is>
          <t>4 สัปดาห์</t>
        </is>
      </c>
      <c r="H132" s="2" t="inlineStr">
        <is>
          <t>12 สัปดาห์</t>
        </is>
      </c>
      <c r="I132" s="2" t="n">
        <v>1</v>
      </c>
      <c r="J132"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2" t="n"/>
      <c r="L132" s="2" t="inlineStr">
        <is>
          <t>พ.ร.บ. ยา พ.ศ. 2510</t>
        </is>
      </c>
      <c r="M132" s="2" t="inlineStr">
        <is>
          <t>SAP</t>
        </is>
      </c>
      <c r="N132" s="2" t="inlineStr">
        <is>
          <t>ข้อ 3 (PLE_CC1_2562_Key.md)</t>
        </is>
      </c>
      <c r="O132" s="2" t="inlineStr">
        <is>
          <t>ข้อสอบจริง</t>
        </is>
      </c>
      <c r="P132" s="2" t="inlineStr">
        <is>
          <t>ปี 2562</t>
        </is>
      </c>
    </row>
    <row r="133" ht="13.2" customHeight="1" s="49">
      <c r="A133" s="2" t="n">
        <v>131</v>
      </c>
      <c r="B133" s="2" t="inlineStr">
        <is>
          <t>นายจ. ผิดกฎหมายไหม X ิum wed wes sin ิnicenzas ~ .8. ↳20 .Osila. sw wiv . en 2510 led realiseswa . Intwineness 2537</t>
        </is>
      </c>
      <c r="C133" s="2" t="n"/>
      <c r="D133" s="2" t="inlineStr">
        <is>
          <t>ไม่ผิด เพราะขายยาสามัญประจำบ้าน</t>
        </is>
      </c>
      <c r="E133" s="2" t="inlineStr">
        <is>
          <t>ไม่ผิด เพราะไม่ใช่ผู้รับอนุญาต</t>
        </is>
      </c>
      <c r="F133" s="2" t="inlineStr">
        <is>
          <t>ผิด เพราะขายยาผิดมาตรฐาน</t>
        </is>
      </c>
      <c r="G133" s="2" t="inlineStr">
        <is>
          <t>ผิด เพราะขายควบคุมพิเศษ</t>
        </is>
      </c>
      <c r="H133" s="2" t="inlineStr">
        <is>
          <t>ผิด เพราะประกอบวิชาชีพเภสัชกรรมโดยไม่ได้รับอนุญาตวิชาชีพ</t>
        </is>
      </c>
      <c r="I133" s="2" t="n">
        <v>1</v>
      </c>
      <c r="J133" s="2"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2" t="n"/>
      <c r="L133" s="2" t="inlineStr">
        <is>
          <t>พ.ร.บ. ยา พ.ศ. 2510</t>
        </is>
      </c>
      <c r="M133" s="2" t="inlineStr">
        <is>
          <t>SAP</t>
        </is>
      </c>
      <c r="N133" s="2" t="inlineStr">
        <is>
          <t>ข้อ 32 (PLE_CC1_2562_Key.md)</t>
        </is>
      </c>
      <c r="O133" s="2" t="inlineStr">
        <is>
          <t>ข้อสอบจริง</t>
        </is>
      </c>
      <c r="P133" s="2" t="inlineStr">
        <is>
          <t>ปี 2562</t>
        </is>
      </c>
    </row>
    <row r="134" ht="13.2" customHeight="1" s="49">
      <c r="A134" s="2" t="n">
        <v>132</v>
      </c>
      <c r="B134" s="2" t="inlineStr">
        <is>
          <t>นาง ม. ผิดกฎหมายไหม Wimri z8 inne dinevritwidensaCartate oma X ②Miss . Edison. Wereesinens interns</t>
        </is>
      </c>
      <c r="C134" s="2" t="n"/>
      <c r="D134" s="2" t="inlineStr">
        <is>
          <t>ไม่ผิด เพราะไม่ได้เป็นคนขาย</t>
        </is>
      </c>
      <c r="E134" s="2" t="inlineStr">
        <is>
          <t>ไม่ผิด เพราะขายยาสามัญประจำบ้าน</t>
        </is>
      </c>
      <c r="F134" s="2" t="inlineStr">
        <is>
          <t>ผิด เพราะว่าขายยาอันตรายโดยไม่มีเภสัช</t>
        </is>
      </c>
      <c r="G134" s="2" t="inlineStr">
        <is>
          <t>ผิด เพราะว่าขายยาอันตรายขณะเภสัชไม่อยู่</t>
        </is>
      </c>
      <c r="H134" s="2" t="inlineStr">
        <is>
          <t>ผิด เพราะว่าขายยาควบคุมพิเศษโดยไม่มีใบสั่งแพทย์</t>
        </is>
      </c>
      <c r="I134" s="2" t="n">
        <v>1</v>
      </c>
      <c r="J134" s="2"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2" t="n"/>
      <c r="L134" s="2" t="inlineStr">
        <is>
          <t>พ.ร.บ. ยา พ.ศ. 2510</t>
        </is>
      </c>
      <c r="M134" s="2" t="inlineStr">
        <is>
          <t>SAP</t>
        </is>
      </c>
      <c r="N134" s="2" t="inlineStr">
        <is>
          <t>ข้อ 33 (PLE_CC1_2562_Key.md)</t>
        </is>
      </c>
      <c r="O134" s="2" t="inlineStr">
        <is>
          <t>ข้อสอบจริง</t>
        </is>
      </c>
      <c r="P134" s="2" t="inlineStr">
        <is>
          <t>ปี 2562</t>
        </is>
      </c>
    </row>
    <row r="135" ht="13.2" customHeight="1" s="49">
      <c r="A135" s="2" t="n">
        <v>133</v>
      </c>
      <c r="B135" s="2" t="inlineStr">
        <is>
          <t>เภสัชกรผิดจรรยาบรรณหรือไม่ isistere s findone X Indigen mediatime dis wer . 27 2510 Wald 39</t>
        </is>
      </c>
      <c r="C135" s="2" t="n"/>
      <c r="D135" s="2" t="inlineStr">
        <is>
          <t>ไม่ผิด</t>
        </is>
      </c>
      <c r="E135" s="2" t="inlineStr">
        <is>
          <t>ผิด เพราะว่าไม่เคารพกฎหมาย</t>
        </is>
      </c>
      <c r="F135" s="2" t="inlineStr">
        <is>
          <t>ผิด เรื่องความปลอดภัยของผู้ป่วย</t>
        </is>
      </c>
      <c r="G135" s="2" t="inlineStr">
        <is>
          <t>ผิด เพราะสนับสนุนให้ประกอบวิชาชีพผิดกฎหมาย</t>
        </is>
      </c>
      <c r="H135" s="2" t="inlineStr">
        <is>
          <t>ผิด ว่าทำให้เสื่อมเสียวิชาชีพ</t>
        </is>
      </c>
      <c r="I135" s="2" t="n">
        <v>1</v>
      </c>
      <c r="J135" s="2"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2" t="n"/>
      <c r="L135" s="2" t="inlineStr">
        <is>
          <t>พ.ร.บ. วิชาชีพเภสัชกรรม 2537</t>
        </is>
      </c>
      <c r="M135" s="2" t="inlineStr">
        <is>
          <t>SAP</t>
        </is>
      </c>
      <c r="N135" s="2" t="inlineStr">
        <is>
          <t>ข้อ 38 (PLE_CC1_2562_Key.md)</t>
        </is>
      </c>
      <c r="O135" s="2" t="inlineStr">
        <is>
          <t>ข้อสอบจริง</t>
        </is>
      </c>
      <c r="P135" s="2" t="inlineStr">
        <is>
          <t>ปี 2562</t>
        </is>
      </c>
    </row>
    <row r="136" ht="13.2" customHeight="1" s="49">
      <c r="A136" s="2" t="n">
        <v>134</v>
      </c>
      <c r="B136" s="2"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2" t="n"/>
      <c r="D136" s="2" t="inlineStr">
        <is>
          <t>Cost utility มุมมองผู้จ่ายเงิน</t>
        </is>
      </c>
      <c r="E136" s="2" t="inlineStr">
        <is>
          <t>Cost effective มุมมองผู้จ่ายเงิน</t>
        </is>
      </c>
      <c r="F136" s="2" t="inlineStr">
        <is>
          <t>Cost effective มุมมองสังคม</t>
        </is>
      </c>
      <c r="G136" s="2" t="inlineStr">
        <is>
          <t>Cost utility มุมมองผู้ป่วย</t>
        </is>
      </c>
      <c r="H136" s="2" t="inlineStr">
        <is>
          <t>Cost utility มุมมองสังคม</t>
        </is>
      </c>
      <c r="I136" s="2" t="n">
        <v>1</v>
      </c>
      <c r="J136" s="2"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2" t="n"/>
      <c r="L136" s="2" t="inlineStr">
        <is>
          <t>พ.ร.บ. ยา พ.ศ. 2510</t>
        </is>
      </c>
      <c r="M136" s="2" t="inlineStr">
        <is>
          <t>SAP</t>
        </is>
      </c>
      <c r="N136" s="2" t="inlineStr">
        <is>
          <t>ข้อ 52 (PLE_CC1_2562_Key.md)</t>
        </is>
      </c>
      <c r="O136" s="2" t="inlineStr">
        <is>
          <t>ข้อสอบจริง</t>
        </is>
      </c>
      <c r="P136" s="2" t="inlineStr">
        <is>
          <t>ปี 2562</t>
        </is>
      </c>
    </row>
    <row r="137" ht="13.2" customHeight="1" s="49">
      <c r="A137" s="2" t="n">
        <v>135</v>
      </c>
      <c r="B137" s="2" t="inlineStr">
        <is>
          <t>จากรูปยาในโครงสร(างมีกลไกการออกฤทธิ์อย.างไร</t>
        </is>
      </c>
      <c r="C137" s="2" t="n"/>
      <c r="D137" s="2" t="inlineStr">
        <is>
          <t>มีผลต.อดีเอนเอ</t>
        </is>
      </c>
      <c r="E137" s="2" t="inlineStr">
        <is>
          <t>มีผลต.อผนังเซลล</t>
        </is>
      </c>
      <c r="F137" s="2" t="inlineStr">
        <is>
          <t>มีผลต.อไมโครทูบูล</t>
        </is>
      </c>
      <c r="G137" s="2" t="inlineStr">
        <is>
          <t>มีผลต.อเยื่อหุ(มเซลล</t>
        </is>
      </c>
      <c r="H137" s="2" t="inlineStr">
        <is>
          <t>มีผลเป5นพิษต.อเซลล imidazole inanition</t>
        </is>
      </c>
      <c r="I137" s="2" t="n">
        <v>1</v>
      </c>
      <c r="J137" s="2"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2" t="n"/>
      <c r="L137" s="2" t="inlineStr">
        <is>
          <t>พ.ร.บ. ยา พ.ศ. 2510</t>
        </is>
      </c>
      <c r="M137" s="2" t="inlineStr">
        <is>
          <t>SAP</t>
        </is>
      </c>
      <c r="N137" s="2" t="inlineStr">
        <is>
          <t>ข้อ 41 (PLE_CC1_2561_Key.md)</t>
        </is>
      </c>
      <c r="O137" s="2" t="inlineStr">
        <is>
          <t>ข้อสอบจริง</t>
        </is>
      </c>
      <c r="P137" s="2" t="inlineStr">
        <is>
          <t>ปี 2561</t>
        </is>
      </c>
    </row>
    <row r="138" ht="13.2" customHeight="1" s="49">
      <c r="A138" s="2" t="n">
        <v>136</v>
      </c>
      <c r="B138" s="2"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2" t="n"/>
      <c r="D138" s="2" t="inlineStr">
        <is>
          <t>เติม tragacanth ในตำรับ O/W</t>
        </is>
      </c>
      <c r="E138" s="2" t="inlineStr">
        <is>
          <t>เติม sodium chloride ในตำรับ O/W</t>
        </is>
      </c>
      <c r="F138" s="2" t="inlineStr">
        <is>
          <t>เติม sodium benzoate ในตำรับ O/W</t>
        </is>
      </c>
      <c r="G138" s="2" t="inlineStr">
        <is>
          <t>ใช(เครื่อง ball mill ในการเตรียมตำรับ O/W</t>
        </is>
      </c>
      <c r="H138" s="2" t="inlineStr">
        <is>
          <t>เติม hydroxyethyl cellulose ในตำรับ O/W</t>
        </is>
      </c>
      <c r="I138" s="2" t="n">
        <v>1</v>
      </c>
      <c r="J138" s="2"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2" t="n"/>
      <c r="L138" s="2" t="inlineStr">
        <is>
          <t>พ.ร.บ. ยา พ.ศ. 2510</t>
        </is>
      </c>
      <c r="M138" s="2" t="inlineStr">
        <is>
          <t>SAP</t>
        </is>
      </c>
      <c r="N138" s="2" t="inlineStr">
        <is>
          <t>ข้อ 43 (PLE_CC1_2561_Key.md)</t>
        </is>
      </c>
      <c r="O138" s="2" t="inlineStr">
        <is>
          <t>ข้อสอบจริง</t>
        </is>
      </c>
      <c r="P138" s="2" t="inlineStr">
        <is>
          <t>ปี 2561</t>
        </is>
      </c>
    </row>
    <row r="139" ht="13.2" customHeight="1" s="49">
      <c r="A139" s="2" t="n">
        <v>137</v>
      </c>
      <c r="B139" s="2" t="inlineStr">
        <is>
          <t>ยา naproxen มีกลไกการออกฤทธิ์อย.างไร</t>
        </is>
      </c>
      <c r="C139" s="2" t="n"/>
      <c r="D139" s="2" t="inlineStr">
        <is>
          <t>ลดการสร(าง leukotriene</t>
        </is>
      </c>
      <c r="E139" s="2" t="inlineStr">
        <is>
          <t>ลดการสร(าง thromboxane A2</t>
        </is>
      </c>
      <c r="F139" s="2" t="inlineStr">
        <is>
          <t>ยับยั้งการทำงานของ prostaglandin</t>
        </is>
      </c>
      <c r="G139" s="2" t="inlineStr">
        <is>
          <t>ยับยั้งการทำงานของเอนไซม lipo-oxygenase</t>
        </is>
      </c>
      <c r="H139" s="2" t="inlineStr">
        <is>
          <t>ยับยั้งการทำงานของเอนไซม cyclo-oxyganase</t>
        </is>
      </c>
      <c r="I139" s="2" t="n">
        <v>1</v>
      </c>
      <c r="J139" s="2"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2" t="n"/>
      <c r="L139" s="2" t="inlineStr">
        <is>
          <t>พ.ร.บ. ยา พ.ศ. 2510</t>
        </is>
      </c>
      <c r="M139" s="2" t="inlineStr">
        <is>
          <t>SAP</t>
        </is>
      </c>
      <c r="N139" s="2" t="inlineStr">
        <is>
          <t>ข้อ 49 (PLE_CC1_2561_Key.md)</t>
        </is>
      </c>
      <c r="O139" s="2" t="inlineStr">
        <is>
          <t>ข้อสอบจริง</t>
        </is>
      </c>
      <c r="P139" s="2" t="inlineStr">
        <is>
          <t>ปี 2561</t>
        </is>
      </c>
    </row>
    <row r="140" ht="13.2" customHeight="1" s="49">
      <c r="A140" s="2" t="n">
        <v>138</v>
      </c>
      <c r="B140" s="2"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2" t="n"/>
      <c r="D140" s="2" t="inlineStr">
        <is>
          <t>เปลี่ยนเป5นยา celecoxib</t>
        </is>
      </c>
      <c r="E140" s="2" t="inlineStr">
        <is>
          <t>เปลี่ยนเป5นยา tramadol</t>
        </is>
      </c>
      <c r="F140" s="2" t="inlineStr">
        <is>
          <t>เปลี่ยนเป5นยา methotrexate</t>
        </is>
      </c>
      <c r="G140" s="2" t="inlineStr">
        <is>
          <t>Naproxen 250 mg + antacid</t>
        </is>
      </c>
      <c r="H140" s="2" t="inlineStr">
        <is>
          <t>Naproxen 500 mg + omeprazole mum</t>
        </is>
      </c>
      <c r="I140" s="2" t="n">
        <v>1</v>
      </c>
      <c r="J140" s="2"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2" t="n"/>
      <c r="L140" s="2" t="inlineStr">
        <is>
          <t>พ.ร.บ. ยา พ.ศ. 2510</t>
        </is>
      </c>
      <c r="M140" s="2" t="inlineStr">
        <is>
          <t>SAP</t>
        </is>
      </c>
      <c r="N140" s="2" t="inlineStr">
        <is>
          <t>ข้อ 50 (PLE_CC1_2561_Key.md)</t>
        </is>
      </c>
      <c r="O140" s="2" t="inlineStr">
        <is>
          <t>ข้อสอบจริง</t>
        </is>
      </c>
      <c r="P140" s="2" t="inlineStr">
        <is>
          <t>ปี 2561</t>
        </is>
      </c>
    </row>
    <row r="141" ht="13.2" customHeight="1" s="49">
      <c r="A141" s="2" t="n">
        <v>139</v>
      </c>
      <c r="B141" s="2" t="inlineStr">
        <is>
          <t>อาการใดเป5นอาการรุนแรง ควรไปพบแพทยอย.างเร.งด.วนสำหรับ ผู(ปcวยรายนี้</t>
        </is>
      </c>
      <c r="C141" s="2" t="n"/>
      <c r="D141" s="2" t="inlineStr">
        <is>
          <t>ปวดท(อง</t>
        </is>
      </c>
      <c r="E141" s="2" t="inlineStr">
        <is>
          <t>ปวดศีรษะ</t>
        </is>
      </c>
      <c r="F141" s="2" t="inlineStr">
        <is>
          <t>เบื่ออาหาร</t>
        </is>
      </c>
      <c r="G141" s="2" t="inlineStr">
        <is>
          <t>ปVสสาวะขุ.น</t>
        </is>
      </c>
      <c r="H141" s="2" t="inlineStr">
        <is>
          <t>มีไข( หนาวสั่น</t>
        </is>
      </c>
      <c r="I141" s="2" t="n">
        <v>1</v>
      </c>
      <c r="J141" s="2"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2" t="n"/>
      <c r="L141" s="2" t="inlineStr">
        <is>
          <t>พ.ร.บ. ยา พ.ศ. 2510</t>
        </is>
      </c>
      <c r="M141" s="2" t="inlineStr">
        <is>
          <t>SAP</t>
        </is>
      </c>
      <c r="N141" s="2" t="inlineStr">
        <is>
          <t>ข้อ 78 (PLE_CC1_2561_Key.md)</t>
        </is>
      </c>
      <c r="O141" s="2" t="inlineStr">
        <is>
          <t>ข้อสอบจริง</t>
        </is>
      </c>
      <c r="P141" s="2" t="inlineStr">
        <is>
          <t>ปี 2561</t>
        </is>
      </c>
    </row>
    <row r="142" ht="13.2" customHeight="1" s="49">
      <c r="A142" s="2" t="n">
        <v>140</v>
      </c>
      <c r="B142" s="2" t="inlineStr">
        <is>
          <t>เภสัชกรควรแนะนำการใช(ยา isotretinoin แก.ผู(ปcวยอย.างไร</t>
        </is>
      </c>
      <c r="C142" s="2" t="n"/>
      <c r="D142" s="2" t="inlineStr">
        <is>
          <t>กินตอนท(องว.าง</t>
        </is>
      </c>
      <c r="E142" s="2" t="inlineStr">
        <is>
          <t>กินห.างกันอย.างน(อยสองชั่วโมง</t>
        </is>
      </c>
      <c r="F142" s="2" t="inlineStr">
        <is>
          <t>ใช(ครีมกันแดด SPF อย.างน(อย 30</t>
        </is>
      </c>
      <c r="G142" s="2" t="inlineStr">
        <is>
          <t>อาจทำให( คอนแทคเลนสเปลี่ยนสี</t>
        </is>
      </c>
      <c r="H142" s="2" t="inlineStr">
        <is>
          <t>ต(องมีการตรวจค.าไตอย.างสม่ำเสมอ</t>
        </is>
      </c>
      <c r="I142" s="2" t="n">
        <v>1</v>
      </c>
      <c r="J142" s="2"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2" t="n"/>
      <c r="L142" s="2" t="inlineStr">
        <is>
          <t>พ.ร.บ. ยา พ.ศ. 2510</t>
        </is>
      </c>
      <c r="M142" s="2" t="inlineStr">
        <is>
          <t>SAP</t>
        </is>
      </c>
      <c r="N142" s="2" t="inlineStr">
        <is>
          <t>ข้อ 81 (PLE_CC1_2561_Key.md)</t>
        </is>
      </c>
      <c r="O142" s="2" t="inlineStr">
        <is>
          <t>ข้อสอบจริง</t>
        </is>
      </c>
      <c r="P142" s="2" t="inlineStr">
        <is>
          <t>ปี 2561</t>
        </is>
      </c>
    </row>
    <row r="143" ht="13.2" customHeight="1" s="49">
      <c r="A143" s="2" t="n">
        <v>141</v>
      </c>
      <c r="B143" s="2"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2" t="n"/>
      <c r="D143" s="2" t="inlineStr">
        <is>
          <t>เพิ่ม NaOH</t>
        </is>
      </c>
      <c r="E143" s="2" t="inlineStr">
        <is>
          <t>เติม Span 60</t>
        </is>
      </c>
      <c r="F143" s="2" t="inlineStr">
        <is>
          <t>เติม Tween 20</t>
        </is>
      </c>
      <c r="G143" s="2" t="inlineStr">
        <is>
          <t>ลดวัฏภาคน้ำมัน</t>
        </is>
      </c>
      <c r="H143" s="2" t="inlineStr">
        <is>
          <t>เพิ่มปริมาณ BHT</t>
        </is>
      </c>
      <c r="I143" s="2" t="n">
        <v>1</v>
      </c>
      <c r="J143" s="2"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2" t="n"/>
      <c r="L143" s="2" t="inlineStr">
        <is>
          <t>พ.ร.บ. ยา พ.ศ. 2510</t>
        </is>
      </c>
      <c r="M143" s="2" t="inlineStr">
        <is>
          <t>SAP</t>
        </is>
      </c>
      <c r="N143" s="2" t="inlineStr">
        <is>
          <t>ข้อ 89 (PLE_CC1_2561_Key.md)</t>
        </is>
      </c>
      <c r="O143" s="2" t="inlineStr">
        <is>
          <t>ข้อสอบจริง</t>
        </is>
      </c>
      <c r="P143" s="2" t="inlineStr">
        <is>
          <t>ปี 2561</t>
        </is>
      </c>
    </row>
    <row r="144" ht="13.2" customHeight="1" s="49">
      <c r="A144" s="2" t="n">
        <v>142</v>
      </c>
      <c r="B144" s="2" t="inlineStr">
        <is>
          <t>ถ(าวิเคราะหยา A ด(วย HPLC ได( retention time ของ standard เท.ากับยา A หมายความว.าอย.างไร</t>
        </is>
      </c>
      <c r="C144" s="2" t="n"/>
      <c r="D144" s="2" t="inlineStr">
        <is>
          <t>ยา A กับ standard มีปริมาณเท.ากัน</t>
        </is>
      </c>
      <c r="E144" s="2" t="inlineStr">
        <is>
          <t>ยากับ standard เป5นสารคนละตัวกัน</t>
        </is>
      </c>
      <c r="F144" s="2" t="inlineStr">
        <is>
          <t>ยา A เป5น by product ของ standard</t>
        </is>
      </c>
      <c r="G144" s="2" t="inlineStr">
        <is>
          <t>เวลาที่ standard กับยา A อยู.ใน column เท.ากัน</t>
        </is>
      </c>
      <c r="H144" s="2" t="inlineStr">
        <is>
          <t>ยา A มีความชอบพอกับ stationary phase ใน column</t>
        </is>
      </c>
      <c r="I144" s="2" t="n">
        <v>1</v>
      </c>
      <c r="J144" s="2"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2" t="n"/>
      <c r="L144" s="2" t="inlineStr">
        <is>
          <t>พ.ร.บ. ยา พ.ศ. 2510</t>
        </is>
      </c>
      <c r="M144" s="2" t="inlineStr">
        <is>
          <t>SAP</t>
        </is>
      </c>
      <c r="N144" s="2" t="inlineStr">
        <is>
          <t>ข้อ 112 (PLE_CC1_2561_Key.md)</t>
        </is>
      </c>
      <c r="O144" s="2" t="inlineStr">
        <is>
          <t>ข้อสอบจริง</t>
        </is>
      </c>
      <c r="P144" s="2" t="inlineStr">
        <is>
          <t>ปี 2561</t>
        </is>
      </c>
    </row>
    <row r="145" ht="13.2" customHeight="1" s="49">
      <c r="A145" s="2" t="n">
        <v>143</v>
      </c>
      <c r="B145" s="2" t="inlineStr">
        <is>
          <t>ยา HCTZ 25 mg/tab น้ำหนักเม็ดยา 1 เม็ดเท.ากับ 100 mg ควร ทดสอบในหัวข้อ uniformity of dosage unit USP41 อย.างไร mm i I 8</t>
        </is>
      </c>
      <c r="C145" s="2" t="n"/>
      <c r="D145" s="2" t="inlineStr">
        <is>
          <t>ค.ายา</t>
        </is>
      </c>
      <c r="E145" s="2" t="inlineStr">
        <is>
          <t>ค.าตรวจเลือด</t>
        </is>
      </c>
      <c r="F145" s="2" t="inlineStr">
        <is>
          <t>ค.าเครื่องมือแพทย</t>
        </is>
      </c>
      <c r="G145" s="2" t="inlineStr">
        <is>
          <t>ค.าความเจ็บปวด</t>
        </is>
      </c>
      <c r="H145" s="2" t="inlineStr">
        <is>
          <t>ค.าสูญเสียประสิทธิภาพการทำงาน</t>
        </is>
      </c>
      <c r="I145" s="2" t="n">
        <v>1</v>
      </c>
      <c r="J145" s="2"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2" t="n"/>
      <c r="L145" s="2" t="inlineStr">
        <is>
          <t>พ.ร.บ. ยา พ.ศ. 2510</t>
        </is>
      </c>
      <c r="M145" s="2" t="inlineStr">
        <is>
          <t>SAP</t>
        </is>
      </c>
      <c r="N145" s="2" t="inlineStr">
        <is>
          <t>ข้อ 114 (PLE_CC1_2561_Key.md)</t>
        </is>
      </c>
      <c r="O145" s="2" t="inlineStr">
        <is>
          <t>ข้อสอบจริง</t>
        </is>
      </c>
      <c r="P145" s="2" t="inlineStr">
        <is>
          <t>ปี 2561</t>
        </is>
      </c>
    </row>
    <row r="146" ht="13.2" customHeight="1" s="49">
      <c r="A146" s="2" t="n">
        <v>144</v>
      </c>
      <c r="B146" s="2"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2" t="n"/>
      <c r="D146" s="2" t="inlineStr">
        <is>
          <t>ศึกษาแบบ Case control โดยหาค.า RR</t>
        </is>
      </c>
      <c r="E146" s="2" t="inlineStr">
        <is>
          <t>ศึกษาแบบ Case control โดยหาค.า OR</t>
        </is>
      </c>
      <c r="F146" s="2" t="inlineStr">
        <is>
          <t>ศึกษาแบบ Cohort study โดยหาค.า RR</t>
        </is>
      </c>
      <c r="G146" s="2" t="inlineStr">
        <is>
          <t>ศึกษาแบบ Cohort study โดยหาค.า OR</t>
        </is>
      </c>
      <c r="H146" s="2" t="inlineStr">
        <is>
          <t>ศึกษาแบบ Cross sectional วัดผลเป5น prevalence e r e ere t</t>
        </is>
      </c>
      <c r="I146" s="2" t="n">
        <v>1</v>
      </c>
      <c r="J146" s="2"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2" t="n"/>
      <c r="L146" s="2" t="inlineStr">
        <is>
          <t>พ.ร.บ. ยา พ.ศ. 2510</t>
        </is>
      </c>
      <c r="M146" s="2" t="inlineStr">
        <is>
          <t>SAP</t>
        </is>
      </c>
      <c r="N146" s="2" t="inlineStr">
        <is>
          <t>ข้อ 121 (PLE_CC1_2561_Key.md)</t>
        </is>
      </c>
      <c r="O146" s="2" t="inlineStr">
        <is>
          <t>ข้อสอบจริง</t>
        </is>
      </c>
      <c r="P146" s="2" t="inlineStr">
        <is>
          <t>ปี 2561</t>
        </is>
      </c>
    </row>
    <row r="147" ht="13.2" customHeight="1" s="49">
      <c r="A147" s="2" t="n">
        <v>145</v>
      </c>
      <c r="B147" s="2"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2" t="n"/>
      <c r="D147" s="2" t="inlineStr">
        <is>
          <t>ยา A ลดอัตราการตายได้มากกว่า Enalapril ร้อยละ 80%</t>
        </is>
      </c>
      <c r="E147" s="2" t="inlineStr">
        <is>
          <t>ยา A ลดอัตราการตายได้มากกว่า Enalapril ร้อยละ 20%</t>
        </is>
      </c>
      <c r="F147" s="2" t="inlineStr">
        <is>
          <t>ยา A ลดอัตราการตายได้น้อยกว่า Enalapril ร้อยละ 80%</t>
        </is>
      </c>
      <c r="G147" s="2" t="inlineStr">
        <is>
          <t>ยา A ลดอัตราการตายได้น้อยกว่า Enalapril ร้อยละ 20%</t>
        </is>
      </c>
      <c r="H147" s="2" t="inlineStr">
        <is>
          <t>ยา A ลดอัตราการตายได้ร้อยละ 20% ของ Enalapril</t>
        </is>
      </c>
      <c r="I147" s="2" t="n">
        <v>1</v>
      </c>
      <c r="J147" s="2"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2" t="n"/>
      <c r="L147" s="2" t="inlineStr">
        <is>
          <t>พ.ร.บ. ยา พ.ศ. 2510</t>
        </is>
      </c>
      <c r="M147" s="2" t="inlineStr">
        <is>
          <t>SAP</t>
        </is>
      </c>
      <c r="N147" s="2" t="inlineStr">
        <is>
          <t>ข้อ 6 (PLE_CC1_2560 22 April Set 1.md)</t>
        </is>
      </c>
      <c r="O147" s="2" t="inlineStr">
        <is>
          <t>ข้อสอบจริง</t>
        </is>
      </c>
      <c r="P147" s="2" t="inlineStr">
        <is>
          <t>ปี 2560</t>
        </is>
      </c>
    </row>
    <row r="148" ht="13.2" customHeight="1" s="49">
      <c r="A148" s="2" t="n">
        <v>146</v>
      </c>
      <c r="B148" s="2" t="inlineStr">
        <is>
          <t>ต้องรักษานานเท่าไหร่ จะได้ประสิทธิภาพการรักษาสูงสุด</t>
        </is>
      </c>
      <c r="C148" s="2" t="n"/>
      <c r="D148" s="2" t="inlineStr">
        <is>
          <t>3 วัน</t>
        </is>
      </c>
      <c r="E148" s="2" t="inlineStr">
        <is>
          <t>5 วัน</t>
        </is>
      </c>
      <c r="F148" s="2" t="inlineStr">
        <is>
          <t>2 wk</t>
        </is>
      </c>
      <c r="G148" s="2" t="inlineStr">
        <is>
          <t>4 wk</t>
        </is>
      </c>
      <c r="H148" s="2" t="inlineStr">
        <is>
          <t>6 wk</t>
        </is>
      </c>
      <c r="I148" s="2" t="n">
        <v>1</v>
      </c>
      <c r="J148"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2" t="n"/>
      <c r="L148" s="2" t="inlineStr">
        <is>
          <t>พ.ร.บ. ยา พ.ศ. 2510</t>
        </is>
      </c>
      <c r="M148" s="2" t="inlineStr">
        <is>
          <t>SAP</t>
        </is>
      </c>
      <c r="N148" s="2" t="inlineStr">
        <is>
          <t>ข้อ 8 (PLE_CC1_2560 22 April Set 1.md)</t>
        </is>
      </c>
      <c r="O148" s="2" t="inlineStr">
        <is>
          <t>ข้อสอบจริง</t>
        </is>
      </c>
      <c r="P148" s="2" t="inlineStr">
        <is>
          <t>ปี 2560</t>
        </is>
      </c>
    </row>
    <row r="149" ht="13.2" customHeight="1" s="49">
      <c r="A149" s="2" t="n">
        <v>147</v>
      </c>
      <c r="B149" s="2" t="inlineStr">
        <is>
          <t>ภญ.กานดา มีความผิดตามจรรยาบรรณวิชาชีพเภสัชกรรมหรือไม่ เพราะเหตุใด</t>
        </is>
      </c>
      <c r="C149" s="2" t="n"/>
      <c r="D149" s="2" t="inlineStr">
        <is>
          <t>ไม่ผิด เพราะไม่ได้กระท้าความผิดโดยตรงต่อนายชิดชัย</t>
        </is>
      </c>
      <c r="E149" s="2" t="inlineStr">
        <is>
          <t>ไม่ผิด เพราะใบอนุญาตขายยาให้การคุ้มกันต่อลูกจ้าง หรือตัวแทนผู้รับอนุญาต</t>
        </is>
      </c>
      <c r="F149" s="2" t="inlineStr">
        <is>
          <t>ผิด เพราะไม่ปิดบังตู้ยาอันตราย หรือยาควบคุมพิเศษ เหมือนเป็นการชักชวนให้ผู้ป่วยมารับ บริการ</t>
        </is>
      </c>
      <c r="G149" s="2" t="inlineStr">
        <is>
          <t>ผิด เพราะไม่รักษามาตรฐานการประกอบวิชาชีพเภสัชกรรม</t>
        </is>
      </c>
      <c r="H149" s="2" t="inlineStr">
        <is>
          <t>ผิด เพราะถือเป็นการให้ค้ารับรองที่เป็นเท็จ หรือให้ความเห็นโดยไม่สุจริตทางอ้อมว่ามีเภสัชกร</t>
        </is>
      </c>
      <c r="I149" s="2" t="n">
        <v>1</v>
      </c>
      <c r="J149" s="2"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2" t="n"/>
      <c r="L149" s="2" t="inlineStr">
        <is>
          <t>พ.ร.บ. วิชาชีพเภสัชกรรม 2537</t>
        </is>
      </c>
      <c r="M149" s="2" t="inlineStr">
        <is>
          <t>SAP</t>
        </is>
      </c>
      <c r="N149" s="2" t="inlineStr">
        <is>
          <t>ข้อ 1 (PLE_CC1_2560 22 April Set 1.md)</t>
        </is>
      </c>
      <c r="O149" s="2" t="inlineStr">
        <is>
          <t>ข้อสอบจริง</t>
        </is>
      </c>
      <c r="P149" s="2" t="inlineStr">
        <is>
          <t>ปี 2560</t>
        </is>
      </c>
    </row>
    <row r="150" ht="13.2" customHeight="1" s="49">
      <c r="A150" s="2" t="n">
        <v>148</v>
      </c>
      <c r="B150" s="2" t="inlineStr">
        <is>
          <t>ผู้รับอนุญาต ท้าผิดพรบ.วิชาชีพเภสัชกรรมหรือไม่อย่างไร</t>
        </is>
      </c>
      <c r="C150" s="2" t="n"/>
      <c r="D150" s="2" t="inlineStr">
        <is>
          <t>ผิด เพราะการกระท้าส่งผลต่อผู้ป่วยโดยตรง</t>
        </is>
      </c>
      <c r="E150" s="2" t="inlineStr">
        <is>
          <t>ผิด เพราะเป็นผู้จ่ายยาเอง</t>
        </is>
      </c>
      <c r="F150" s="2" t="inlineStr">
        <is>
          <t>ผิด เพราะ ไม่เป็นตามจรรณยาบรรณเภสัชชุมชน</t>
        </is>
      </c>
      <c r="G150" s="2" t="inlineStr">
        <is>
          <t>ไม่ผิด เพราะขนิษฐาไม่ใช่เภสัชฯ และพรบ. วิชาชีพมีไว้ส้าหรับเภสัชเท่านั น</t>
        </is>
      </c>
      <c r="H150" s="2" t="inlineStr">
        <is>
          <t>ไม่ผิด หากพิสูจน์ได้ว่าเภสัชยินยอม</t>
        </is>
      </c>
      <c r="I150" s="2" t="n">
        <v>1</v>
      </c>
      <c r="J150" s="2"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2" t="n"/>
      <c r="L150" s="2" t="inlineStr">
        <is>
          <t>พ.ร.บ. ยา พ.ศ. 2510</t>
        </is>
      </c>
      <c r="M150" s="2" t="inlineStr">
        <is>
          <t>SAP</t>
        </is>
      </c>
      <c r="N150" s="2" t="inlineStr">
        <is>
          <t>ข้อ 2 (PLE_CC1_2560 22 April Set 1.md)</t>
        </is>
      </c>
      <c r="O150" s="2" t="inlineStr">
        <is>
          <t>ข้อสอบจริง</t>
        </is>
      </c>
      <c r="P150" s="2" t="inlineStr">
        <is>
          <t>ปี 2560</t>
        </is>
      </c>
    </row>
    <row r="151" ht="13.2" customHeight="1" s="49">
      <c r="A151" s="2" t="n">
        <v>149</v>
      </c>
      <c r="B151" s="2" t="inlineStr">
        <is>
          <t>เภสัชกรผิด พ.ร.บ.ยา มั ย เพราะอะไร</t>
        </is>
      </c>
      <c r="C151" s="2" t="n"/>
      <c r="D151" s="2" t="inlineStr">
        <is>
          <t>ผิด เพราะไม่อยู่ปฏิบัติงานในเวลาปฏิบัติการ รวมโดย Phongsathorn Phlaisaithong Rx 9 UP 25 | P a g e</t>
        </is>
      </c>
      <c r="E151" s="2" t="inlineStr">
        <is>
          <t>บัญชียาหลักแห่งชาติ (National List of Essential Medicines: NLEM)</t>
        </is>
      </c>
      <c r="F151" s="2" t="inlineStr">
        <is>
          <t>เกณฑ์จริยธรรมว่าด้วยการส่งเสริมการขายยาของกระทรวงสาธารณสุข</t>
        </is>
      </c>
      <c r="G151" s="2" t="inlineStr">
        <is>
          <t>พ.ร.บ. ยา พ.ศ. 2510 (การจำหน่ายยาอันตรายและยาควบคุมพิเศษ)</t>
        </is>
      </c>
      <c r="H151" s="2" t="inlineStr">
        <is>
          <t>พ.ร.บ. ยาเสพติดให้โทษ พ.ศ. 2522 (ยาเสพติดให้โทษประเภท 2 และ 3)</t>
        </is>
      </c>
      <c r="I151" s="2" t="n">
        <v>1</v>
      </c>
      <c r="J151" s="2"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2" t="n"/>
      <c r="L151" s="2" t="inlineStr">
        <is>
          <t>พ.ร.บ. ยา พ.ศ. 2510</t>
        </is>
      </c>
      <c r="M151" s="2" t="inlineStr">
        <is>
          <t>SAP</t>
        </is>
      </c>
      <c r="N151" s="2" t="inlineStr">
        <is>
          <t>ข้อ 3 (PLE_CC1_2560 22 April Set 1.md)</t>
        </is>
      </c>
      <c r="O151" s="2" t="inlineStr">
        <is>
          <t>ข้อสอบจริง</t>
        </is>
      </c>
      <c r="P151" s="2" t="inlineStr">
        <is>
          <t>ปี 2560</t>
        </is>
      </c>
    </row>
    <row r="152" ht="13.2" customHeight="1" s="49">
      <c r="A152" s="2" t="n">
        <v>150</v>
      </c>
      <c r="B152" s="2" t="inlineStr">
        <is>
          <t>นางขนิษฐา มีความผิดตามพรบ.ยา ปี 2510 และฉบับแก้ไขเพิ่มเติมข้อใด</t>
        </is>
      </c>
      <c r="C152" s="2" t="n"/>
      <c r="D152" s="2" t="inlineStr">
        <is>
          <t>ไม่สามารถจัดหาเภสัชกรมาปฏิบัติหน้าที่ได้ตลอดเวลาที่เปิดท้าการ</t>
        </is>
      </c>
      <c r="E152" s="2" t="inlineStr">
        <is>
          <t>ขายยาโดยไม่ได้รับอนุญาติ</t>
        </is>
      </c>
      <c r="F152" s="2" t="inlineStr">
        <is>
          <t>ไม่อยู่ปฏิบัติหน้าที่ในเวลาปฏิบัติการ</t>
        </is>
      </c>
      <c r="G152" s="2" t="inlineStr">
        <is>
          <t>ขายยาอันตรายและยาควบคุมพิเศษ</t>
        </is>
      </c>
      <c r="H152" s="2" t="inlineStr">
        <is>
          <t>ไม่ปฏิบัติตามพรบ.วิชาชีพเภสัชกรรม</t>
        </is>
      </c>
      <c r="I152" s="2" t="n">
        <v>1</v>
      </c>
      <c r="J152" s="2"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2" t="n"/>
      <c r="L152" s="2" t="inlineStr">
        <is>
          <t>พ.ร.บ. ยา พ.ศ. 2510</t>
        </is>
      </c>
      <c r="M152" s="2" t="inlineStr">
        <is>
          <t>SAP</t>
        </is>
      </c>
      <c r="N152" s="2" t="inlineStr">
        <is>
          <t>ข้อ 4 (PLE_CC1_2560 22 April Set 1.md)</t>
        </is>
      </c>
      <c r="O152" s="2" t="inlineStr">
        <is>
          <t>ข้อสอบจริง</t>
        </is>
      </c>
      <c r="P152" s="2" t="inlineStr">
        <is>
          <t>ปี 2560</t>
        </is>
      </c>
    </row>
    <row r="153" ht="13.2" customHeight="1" s="49">
      <c r="A153" s="2" t="n">
        <v>151</v>
      </c>
      <c r="B153" s="2"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2" t="n"/>
      <c r="D153" s="2" t="inlineStr">
        <is>
          <t>พ.ร.บ. วิชาชีพเภสัชกรรม พ.ศ. 2537 และข้อบังคับจรรยาบรรณวิชาชีพ</t>
        </is>
      </c>
      <c r="E153" s="2" t="inlineStr">
        <is>
          <t>พ.ร.บ. ผลิตภัณฑ์สมุนไพร พ.ศ. 2562</t>
        </is>
      </c>
      <c r="F153" s="2" t="inlineStr">
        <is>
          <t>พ.ร.บ. เครื่องสำอาง พ.ศ. 2558</t>
        </is>
      </c>
      <c r="G153" s="2" t="inlineStr">
        <is>
          <t>พ.ร.บ. หลักประกันสุขภาพแห่งชาติ พ.ศ. 2545</t>
        </is>
      </c>
      <c r="H153" s="2" t="inlineStr">
        <is>
          <t>การปฏิบัติทางเภสัชกรรมชุมชน (Good Pharmacy Practice: GPP)</t>
        </is>
      </c>
      <c r="I153" s="2" t="n">
        <v>1</v>
      </c>
      <c r="J15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2" t="n"/>
      <c r="L153" s="2" t="inlineStr">
        <is>
          <t>พ.ร.บ. ยา พ.ศ. 2510</t>
        </is>
      </c>
      <c r="M153" s="2" t="inlineStr">
        <is>
          <t>SAP</t>
        </is>
      </c>
      <c r="N153" s="2" t="inlineStr">
        <is>
          <t>ข้อ 13 (PLE_CC1_2560 22 April Set 2.md)</t>
        </is>
      </c>
      <c r="O153" s="2" t="inlineStr">
        <is>
          <t>ข้อสอบจริง</t>
        </is>
      </c>
      <c r="P153" s="2" t="inlineStr">
        <is>
          <t>ปี 2560</t>
        </is>
      </c>
    </row>
    <row r="154" ht="13.2" customHeight="1" s="49">
      <c r="A154" s="2" t="n">
        <v>152</v>
      </c>
      <c r="B154" s="2" t="inlineStr">
        <is>
          <t>ยาใหม่ อย. กำหนดให้ต้องติดความปลอดภัยนานเท่าใด</t>
        </is>
      </c>
      <c r="C154" s="2" t="n"/>
      <c r="D154" s="2" t="inlineStr">
        <is>
          <t>3 เดือน</t>
        </is>
      </c>
      <c r="E154" s="2" t="inlineStr">
        <is>
          <t>6 เดือน</t>
        </is>
      </c>
      <c r="F154" s="2" t="inlineStr">
        <is>
          <t>12 เดือน</t>
        </is>
      </c>
      <c r="G154" s="2" t="inlineStr">
        <is>
          <t>18 เดือน</t>
        </is>
      </c>
      <c r="H154" s="2" t="inlineStr">
        <is>
          <t>24 เดือน ห้ามนำไปทำซ้ำทุกกรณี เว้นแต่จะได้รับอนุญาต</t>
        </is>
      </c>
      <c r="I154" s="2" t="n">
        <v>1</v>
      </c>
      <c r="J154" s="2"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6 เดือน ไม่ตรงกับข้อบ่งใช้หรือกลไกการออกฤทธิ์ที่ถูกต้องตาม พ.ร.บ. ยา พ.ศ. 2510 / พ.ร.บ. วิชาชีพเภสัชกรรม พ.ศ. 2537
• ข้อ ค. (12 เดือน): 12 เดือน ไม่ตรงกับข้อบ่งใช้หรือกลไกการออกฤทธิ์ที่ถูกต้องตาม พ.ร.บ. ยา พ.ศ. 2510 / พ.ร.บ. วิชาชีพเภสัชกรรม พ.ศ. 2537
• ข้อ ง. (18 เดือน): 18 เดือน ไม่ตรงกับข้อบ่งใช้หรือกลไกการออกฤทธิ์ที่ถูกต้องตาม พ.ร.บ. ยา พ.ศ. 2510 / พ.ร.บ. วิชาชีพเภสัชกรรม พ.ศ. 2537
• ข้อ จ. (24 เดือน ห้ามนำไปทำซ้ำทุกกรณี เว้นแต่จะได้รับอนุญาต กรณีศึกษา 3 Indian ink: positive AntiHIV: positive HBeAg: positive AntiHBsAg: positive Dx. Cryptococcal menigitis): 24 เดือน ห้ามนำไปทำซ้ำทุกกรณี เว้นแต่จะได้รับอนุญาต กรณีศึกษา 3 Indian ink: positive AntiHIV: positive HBeAg: positive AntiHBsAg: positive Dx. Cryptococcal menigitis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2" t="n"/>
      <c r="L154" s="2" t="inlineStr">
        <is>
          <t>พ.ร.บ. ยา พ.ศ. 2510</t>
        </is>
      </c>
      <c r="M154" s="2" t="inlineStr">
        <is>
          <t>SAP</t>
        </is>
      </c>
      <c r="N154" s="2" t="inlineStr">
        <is>
          <t>ข้อ 18 (PLE_CC1_2558_Key.md)</t>
        </is>
      </c>
      <c r="O154" s="2" t="inlineStr">
        <is>
          <t>ข้อสอบจริง</t>
        </is>
      </c>
      <c r="P154" s="2" t="inlineStr">
        <is>
          <t>ปี 2558</t>
        </is>
      </c>
    </row>
    <row r="155" ht="13.2" customHeight="1" s="49">
      <c r="A155" s="2" t="n">
        <v>153</v>
      </c>
      <c r="B155" s="2" t="inlineStr">
        <is>
          <t>ผู้ป่วยสามารถเบิกจ่ายค่ารักษาพยาบาลผู้ป่วยนอกได้ ตามสิทธิใด</t>
        </is>
      </c>
      <c r="C155" s="2" t="n"/>
      <c r="D155" s="2" t="inlineStr">
        <is>
          <t>Capitation</t>
        </is>
      </c>
      <c r="E155" s="2" t="inlineStr">
        <is>
          <t>Pay for Performance</t>
        </is>
      </c>
      <c r="F155" s="2" t="inlineStr">
        <is>
          <t>Diagnosis related group</t>
        </is>
      </c>
      <c r="G155" s="2" t="inlineStr">
        <is>
          <t>Fee for Service</t>
        </is>
      </c>
      <c r="H155" s="2" t="inlineStr">
        <is>
          <t>Fee schedule</t>
        </is>
      </c>
      <c r="I155" s="2" t="n">
        <v>1</v>
      </c>
      <c r="J155" s="2"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Pay for Performance ไม่ตรงกับข้อบ่งใช้หรือกลไกการออกฤทธิ์ที่ถูกต้องตาม พ.ร.บ. ยา พ.ศ. 2510 / พ.ร.บ. วิชาชีพเภสัชกรรม พ.ศ. 2537
• ข้อ ค. (Diagnosis related group): Diagnosis related group ไม่ตรงกับข้อบ่งใช้หรือกลไกการออกฤทธิ์ที่ถูกต้องตาม พ.ร.บ. ยา พ.ศ. 2510 / พ.ร.บ. วิชาชีพเภสัชกรรม พ.ศ. 2537
• ข้อ ง. (Fee for Service): Fee for Service ไม่ตรงกับข้อบ่งใช้หรือกลไกการออกฤทธิ์ที่ถูกต้องตาม พ.ร.บ. ยา พ.ศ. 2510 / พ.ร.บ. วิชาชีพเภสัชกรรม พ.ศ. 2537
• ข้อ จ. (Fee schedule): Fee schedule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2" t="n"/>
      <c r="L155" s="2" t="inlineStr">
        <is>
          <t>พ.ร.บ. ยา พ.ศ. 2510</t>
        </is>
      </c>
      <c r="M155" s="2" t="inlineStr">
        <is>
          <t>SAP</t>
        </is>
      </c>
      <c r="N155" s="2" t="inlineStr">
        <is>
          <t>ข้อ 35 (PLE_CC1_2558_Key.md)</t>
        </is>
      </c>
      <c r="O155" s="2" t="inlineStr">
        <is>
          <t>ข้อสอบจริง</t>
        </is>
      </c>
      <c r="P155" s="2" t="inlineStr">
        <is>
          <t>ปี 2558</t>
        </is>
      </c>
    </row>
    <row r="156" ht="13.2" customHeight="1" s="49">
      <c r="A156" s="2" t="n">
        <v>154</v>
      </c>
      <c r="B156" s="2"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2" t="n"/>
      <c r="D156" s="2" t="inlineStr">
        <is>
          <t>Cost-effective</t>
        </is>
      </c>
      <c r="E156" s="2" t="inlineStr">
        <is>
          <t>Cost-benefit</t>
        </is>
      </c>
      <c r="F156" s="2" t="inlineStr">
        <is>
          <t>Cost-utility</t>
        </is>
      </c>
      <c r="G156" s="2" t="inlineStr">
        <is>
          <t>Cost-minimize</t>
        </is>
      </c>
      <c r="H156" s="2" t="inlineStr">
        <is>
          <t>Cost analysis ห้ามนำไปทำซ้ำทุกกรณี เว้นแต่จะได้รับอนุญาต</t>
        </is>
      </c>
      <c r="I156" s="2" t="n">
        <v>1</v>
      </c>
      <c r="J156" s="2"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Cost-benefit ไม่ตรงกับข้อบ่งใช้หรือกลไกการออกฤทธิ์ที่ถูกต้องตาม พ.ร.บ. ยา พ.ศ. 2510 / พ.ร.บ. วิชาชีพเภสัชกรรม พ.ศ. 2537
• ข้อ ค. (Cost-utility): Cost-utility ไม่ตรงกับข้อบ่งใช้หรือกลไกการออกฤทธิ์ที่ถูกต้องตาม พ.ร.บ. ยา พ.ศ. 2510 / พ.ร.บ. วิชาชีพเภสัชกรรม พ.ศ. 2537
• ข้อ ง. (Cost-minimize): Cost-minimize ไม่ตรงกับข้อบ่งใช้หรือกลไกการออกฤทธิ์ที่ถูกต้องตาม พ.ร.บ. ยา พ.ศ. 2510 / พ.ร.บ. วิชาชีพเภสัชกรรม พ.ศ. 2537
• ข้อ จ. (Cost analysis ห้ามนำไปทำซ้ำทุกกรณี เว้นแต่จะได้รับอนุญาต กรณีศึกษา 10): Cost analysis ห้ามนำไปทำซ้ำทุกกรณี เว้นแต่จะได้รับอนุญาต กรณีศึกษา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2" t="n"/>
      <c r="L156" s="2" t="inlineStr">
        <is>
          <t>พ.ร.บ. ยา พ.ศ. 2510</t>
        </is>
      </c>
      <c r="M156" s="2" t="inlineStr">
        <is>
          <t>SAP</t>
        </is>
      </c>
      <c r="N156" s="2" t="inlineStr">
        <is>
          <t>ข้อ 76 (PLE_CC1_2558_Key.md)</t>
        </is>
      </c>
      <c r="O156" s="2" t="inlineStr">
        <is>
          <t>ข้อสอบจริง</t>
        </is>
      </c>
      <c r="P156" s="2" t="inlineStr">
        <is>
          <t>ปี 2558</t>
        </is>
      </c>
    </row>
    <row r="157" ht="13.2" customHeight="1" s="49">
      <c r="A157" s="2" t="n">
        <v>155</v>
      </c>
      <c r="B157" s="2" t="inlineStr">
        <is>
          <t>อย. ได้รับรายงานอาการไม่พึงประสงค์ คลื่นไส้ อาเจียน ตับอักเสบ จากขี้เหล็ก จัดเป็นการรายงานแบบใด</t>
        </is>
      </c>
      <c r="C157" s="2" t="n"/>
      <c r="D157" s="2" t="inlineStr">
        <is>
          <t>Spontaneous report</t>
        </is>
      </c>
      <c r="E157" s="2" t="inlineStr">
        <is>
          <t>Intervention</t>
        </is>
      </c>
      <c r="F157" s="2" t="inlineStr">
        <is>
          <t>Safety program</t>
        </is>
      </c>
      <c r="G157" s="2" t="inlineStr">
        <is>
          <t>Intensive report</t>
        </is>
      </c>
      <c r="H157" s="2" t="inlineStr">
        <is>
          <t>Therapeutic monitoring ห้ามนำไปทำซ้ำทุกกรณี เว้นแต่จะได้รับอนุญาต</t>
        </is>
      </c>
      <c r="I157" s="2" t="n">
        <v>1</v>
      </c>
      <c r="J157" s="2"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Intervention ไม่ตรงกับข้อบ่งใช้หรือกลไกการออกฤทธิ์ที่ถูกต้องตาม พ.ร.บ. ยา พ.ศ. 2510 / พ.ร.บ. วิชาชีพเภสัชกรรม พ.ศ. 2537
• ข้อ ค. (Safety program): Safety program ไม่ตรงกับข้อบ่งใช้หรือกลไกการออกฤทธิ์ที่ถูกต้องตาม พ.ร.บ. ยา พ.ศ. 2510 / พ.ร.บ. วิชาชีพเภสัชกรรม พ.ศ. 2537
• ข้อ ง. (Intensive report): Intensive report ไม่ตรงกับข้อบ่งใช้หรือกลไกการออกฤทธิ์ที่ถูกต้องตาม พ.ร.บ. ยา พ.ศ. 2510 / พ.ร.บ. วิชาชีพเภสัชกรรม พ.ศ. 2537
• ข้อ จ. (Therapeutic monitoring ห้ามนำไปทำซ้ำทุกกรณี เว้นแต่จะได้รับอนุญาต): Therapeutic monitoring ห้ามนำไปทำซ้ำทุกกรณี เว้นแต่จะได้รับอนุญาต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2" t="n"/>
      <c r="L157" s="2" t="inlineStr">
        <is>
          <t>พ.ร.บ. ยา พ.ศ. 2510</t>
        </is>
      </c>
      <c r="M157" s="2" t="inlineStr">
        <is>
          <t>SAP</t>
        </is>
      </c>
      <c r="N157" s="2" t="inlineStr">
        <is>
          <t>ข้อ 6 (PLE_CC1_2558_Key.md)</t>
        </is>
      </c>
      <c r="O157" s="2" t="inlineStr">
        <is>
          <t>ข้อสอบจริง</t>
        </is>
      </c>
      <c r="P157" s="2" t="inlineStr">
        <is>
          <t>ปี 2558</t>
        </is>
      </c>
    </row>
    <row r="158" ht="13.2" customHeight="1" s="49">
      <c r="A158" s="2" t="n">
        <v>156</v>
      </c>
      <c r="B158" s="2" t="inlineStr">
        <is>
          <t>การมีสิทธิเหนือสิทธิบัตร มีประโยชน์อย่างไร</t>
        </is>
      </c>
      <c r="C158" s="2" t="n"/>
      <c r="D158" s="2" t="inlineStr">
        <is>
          <t>ทำให้คนไข้เข้าถึงยาได้ง่าย</t>
        </is>
      </c>
      <c r="E158" s="2" t="inlineStr">
        <is>
          <t>คุ้มครองเจ้าของยาต้นแบบ</t>
        </is>
      </c>
      <c r="F158" s="2" t="inlineStr">
        <is>
          <t>เพื่อลดต้นทุนการผลิต</t>
        </is>
      </c>
      <c r="G158" s="2" t="inlineStr">
        <is>
          <t>เพื่อจำกัดการใช้ยาอย่างถูกต้อง</t>
        </is>
      </c>
      <c r="H158" s="2" t="inlineStr">
        <is>
          <t>เพื่อประสิทธิภาพ ความปลอดภัยของผู้ป่วย ห้ามนำไปทำซ้ำทุกกรณี เว้นแต่จะได้รับอนุญาต</t>
        </is>
      </c>
      <c r="I158" s="2" t="n">
        <v>1</v>
      </c>
      <c r="J158" s="2"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คุ้มครองเจ้าของยาต้นแบบ ไม่ตรงกับข้อบ่งใช้หรือกลไกการออกฤทธิ์ที่ถูกต้องตาม พ.ร.บ. ยา พ.ศ. 2510 / พ.ร.บ. วิชาชีพเภสัชกรรม พ.ศ. 2537
• ข้อ ค. (เพื่อลดต้นทุนการผลิต): เพื่อลดต้นทุนการผลิต ไม่ตรงกับข้อบ่งใช้หรือกลไกการออกฤทธิ์ที่ถูกต้องตาม พ.ร.บ. ยา พ.ศ. 2510 / พ.ร.บ. วิชาชีพเภสัชกรรม พ.ศ. 2537
• ข้อ ง. (เพื่อจำกัดการใช้ยาอย่างถูกต้อง): เพื่อจำกัดการใช้ยาอย่างถูกต้อง ไม่ตรงกับข้อบ่งใช้หรือกลไกการออกฤทธิ์ที่ถูกต้องตาม พ.ร.บ. ยา พ.ศ. 2510 / พ.ร.บ. วิชาชีพเภสัชกรรม พ.ศ. 2537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Tamoxifen เป็น SERM ใช้ใน ER+ breast cancer แต่เป็น partial agonist ที่ uterus (เสี่ยง endometrial cancer) และ DVT/PE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2" t="n"/>
      <c r="L158" s="2" t="inlineStr">
        <is>
          <t>พ.ร.บ. ยา พ.ศ. 2510</t>
        </is>
      </c>
      <c r="M158" s="2" t="inlineStr">
        <is>
          <t>SAP</t>
        </is>
      </c>
      <c r="N158" s="2" t="inlineStr">
        <is>
          <t>ข้อ 62 (PLE_CC1_2558_Key.md)</t>
        </is>
      </c>
      <c r="O158" s="2" t="inlineStr">
        <is>
          <t>ข้อสอบจริง</t>
        </is>
      </c>
      <c r="P158" s="2" t="inlineStr">
        <is>
          <t>ปี 2558</t>
        </is>
      </c>
    </row>
    <row r="159" ht="13.2" customHeight="1" s="49">
      <c r="A159" s="2" t="n">
        <v>157</v>
      </c>
      <c r="B159" s="2"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2" t="n"/>
      <c r="D159" s="2" t="inlineStr">
        <is>
          <t>A และ B</t>
        </is>
      </c>
      <c r="E159" s="2" t="inlineStr">
        <is>
          <t>A และ C</t>
        </is>
      </c>
      <c r="F159" s="2" t="inlineStr">
        <is>
          <t>B และ C</t>
        </is>
      </c>
      <c r="G159" s="2" t="inlineStr">
        <is>
          <t>A B และ C</t>
        </is>
      </c>
      <c r="H159" s="2" t="inlineStr">
        <is>
          <t>ไม่มีข้อใดถูก</t>
        </is>
      </c>
      <c r="I159" s="2" t="n">
        <v>1</v>
      </c>
      <c r="J159" s="2"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A และ C ไม่ตรงกับข้อบ่งใช้หรือกลไกการออกฤทธิ์ที่ถูกต้องตาม พ.ร.บ. ยา พ.ศ. 2510 / พ.ร.บ. วิชาชีพเภสัชกรรม พ.ศ. 2537
• ข้อ ค. (B และ C): B และ C ไม่ตรงกับข้อบ่งใช้หรือกลไกการออกฤทธิ์ที่ถูกต้องตาม พ.ร.บ. ยา พ.ศ. 2510 / พ.ร.บ. วิชาชีพเภสัชกรรม พ.ศ. 2537
• ข้อ ง. (A B และ C): A B และ C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2" t="n"/>
      <c r="L159" s="2" t="inlineStr">
        <is>
          <t>พ.ร.บ. ยา พ.ศ. 2510</t>
        </is>
      </c>
      <c r="M159" s="2" t="inlineStr">
        <is>
          <t>SAP</t>
        </is>
      </c>
      <c r="N159" s="2" t="inlineStr">
        <is>
          <t>ข้อ 63 (Pharmtutor_2024_Set1.md)</t>
        </is>
      </c>
      <c r="O159" s="2" t="inlineStr">
        <is>
          <t>Mock</t>
        </is>
      </c>
      <c r="P159" s="2" t="inlineStr">
        <is>
          <t>Mock Pharmtutor 2024</t>
        </is>
      </c>
    </row>
    <row r="160" ht="13.2" customHeight="1" s="49">
      <c r="A160" s="2" t="n">
        <v>158</v>
      </c>
      <c r="B160" s="2"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2" t="n"/>
      <c r="D160" s="2" t="inlineStr">
        <is>
          <t>ผ่าน เนื่องจากผลการทดสอบผ่านเกณฑ์ทุกหัวข้อ content for injections USP39, P.532</t>
        </is>
      </c>
      <c r="E160" s="2" t="inlineStr">
        <is>
          <t>ไม่ผ่าน เนื่องจากผลการทดสอบในหัวข้อ assay ต่ำกว่าที่กำหนด</t>
        </is>
      </c>
      <c r="F160" s="2" t="inlineStr">
        <is>
          <t>ไม่ผ่าน เนื่องจากผลการทดสอบในหัวข้อ organic Impurities มากกว่าที่กำหนด</t>
        </is>
      </c>
      <c r="G160" s="2" t="inlineStr">
        <is>
          <t>ไม่ผ่าน เนื่องจากผลการทดสอบในหัวข้อ container content ต่ำกว่าที่กำหนด</t>
        </is>
      </c>
      <c r="H160" s="2" t="inlineStr">
        <is>
          <t>ไม่ผ่าน เนื่องจากผลการทดสอบในหัวข้อ particulate Matter มีจำนวน particles เกินกว่าที่กำหนด</t>
        </is>
      </c>
      <c r="I160" s="2" t="n">
        <v>1</v>
      </c>
      <c r="J160" s="2"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ไม่ผ่าน เนื่องจากผลการทดสอบในหัวข้อ assay ต่ำกว่าที่กำหนด ไม่ตรงกับข้อบ่งใช้หรือกลไกการออกฤทธิ์ที่ถูกต้องตาม พ.ร.บ. ยา พ.ศ. 2510 / พ.ร.บ. วิชาชีพเภสัชกรรม พ.ศ. 2537
• ข้อ ค. (ไม่ผ่าน เนื่องจากผลการทดสอบในหัวข้อ organic Impurities มากกว่าที่กำหนด): ไม่ผ่าน เนื่องจากผลการทดสอบในหัวข้อ organic Impurities มากกว่าที่กำหนด ไม่ตรงกับข้อบ่งใช้หรือกลไกการออกฤทธิ์ที่ถูกต้องตาม พ.ร.บ. ยา พ.ศ. 2510 / พ.ร.บ. วิชาชีพเภสัชกรรม พ.ศ. 2537
• ข้อ ง. (ไม่ผ่าน เนื่องจากผลการทดสอบในหัวข้อ container content ต่ำกว่าที่กำหนด): ไม่ผ่าน เนื่องจากผลการทดสอบในหัวข้อ container content ต่ำกว่าที่กำหนด ไม่ตรงกับข้อบ่งใช้หรือกลไกการออกฤทธิ์ที่ถูกต้องตาม พ.ร.บ. ยา พ.ศ. 2510 / พ.ร.บ. วิชาชีพเภสัชกรรม พ.ศ. 2537
• ข้อ จ. (ไม่ผ่าน เนื่องจากผลการทดสอบในหัวข้อ particulate Matter มีจำนวน particles เกินกว่าที่กำหนด): ไม่ผ่าน เนื่องจากผลการทดสอบในหัวข้อ particulate Matter มีจำนวน particles เกินกว่าที่กำหนด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2" t="n"/>
      <c r="L160" s="2" t="inlineStr">
        <is>
          <t>พ.ร.บ. ยา พ.ศ. 2510</t>
        </is>
      </c>
      <c r="M160" s="2" t="inlineStr">
        <is>
          <t>SAP</t>
        </is>
      </c>
      <c r="N160" s="2" t="inlineStr">
        <is>
          <t>ข้อ 96 (Pharmtutor_2024_Set1.md)</t>
        </is>
      </c>
      <c r="O160" s="2" t="inlineStr">
        <is>
          <t>Mock</t>
        </is>
      </c>
      <c r="P160" s="2" t="inlineStr">
        <is>
          <t>Mock Pharmtutor 2024</t>
        </is>
      </c>
    </row>
    <row r="161" ht="13.2" customHeight="1" s="49">
      <c r="A161" s="2" t="n">
        <v>159</v>
      </c>
      <c r="B161" s="2"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2" t="n"/>
      <c r="D161" s="2" t="inlineStr">
        <is>
          <t>นายสมชาย</t>
        </is>
      </c>
      <c r="E161" s="2" t="inlineStr">
        <is>
          <t>นายอวบ</t>
        </is>
      </c>
      <c r="F161" s="2" t="inlineStr">
        <is>
          <t>เภสัชกรกล้วย</t>
        </is>
      </c>
      <c r="G161" s="2" t="inlineStr">
        <is>
          <t>เภสัชกรกล้วย นายสมชาย</t>
        </is>
      </c>
      <c r="H161" s="2" t="inlineStr">
        <is>
          <t>เภสัชกรกล้วย นายอวบ นายสมชาย</t>
        </is>
      </c>
      <c r="I161" s="2" t="n">
        <v>1</v>
      </c>
      <c r="J161" s="2"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นายอวบ ไม่ตรงกับข้อบ่งใช้หรือกลไกการออกฤทธิ์ที่ถูกต้องตาม พ.ร.บ. ยา พ.ศ. 2510 / พ.ร.บ. วิชาชีพเภสัชกรรม พ.ศ. 2537
• ข้อ ค. (เภสัชกรกล้วย): เภสัชกรกล้วย ไม่ตรงกับข้อบ่งใช้หรือกลไกการออกฤทธิ์ที่ถูกต้องตาม พ.ร.บ. ยา พ.ศ. 2510 / พ.ร.บ. วิชาชีพเภสัชกรรม พ.ศ. 2537
• ข้อ ง. (เภสัชกรกล้วย นายสมชาย): เภสัชกรกล้วย นายสมชาย ไม่ตรงกับข้อบ่งใช้หรือกลไกการออกฤทธิ์ที่ถูกต้องตาม พ.ร.บ. ยา พ.ศ. 2510 / พ.ร.บ. วิชาชีพเภสัชกรรม พ.ศ. 2537
• ข้อ จ. (เภสัชกรกล้วย นายอวบ นายสมชาย): เภสัชกรกล้วย นายอวบ นายสมชาย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2" t="n"/>
      <c r="L161" s="2" t="inlineStr">
        <is>
          <t>พ.ร.บ. ยา พ.ศ. 2510</t>
        </is>
      </c>
      <c r="M161" s="2" t="inlineStr">
        <is>
          <t>SAP</t>
        </is>
      </c>
      <c r="N161" s="2" t="inlineStr">
        <is>
          <t>ข้อ 111 (Pharmtutor_2024_Set1.md)</t>
        </is>
      </c>
      <c r="O161" s="2" t="inlineStr">
        <is>
          <t>Mock</t>
        </is>
      </c>
      <c r="P161" s="2" t="inlineStr">
        <is>
          <t>Mock Pharmtutor 2024</t>
        </is>
      </c>
    </row>
    <row r="162" ht="13.2" customHeight="1" s="49">
      <c r="A162" s="2" t="n">
        <v>160</v>
      </c>
      <c r="B162" s="2" t="inlineStr">
        <is>
          <t>หากต้องการสืบค้นประสิทธิภาพของยาในกลุ่ม HMG-CoA reductase ว่ายาชนิดใดมีค่าครึ่งชีวิตต่ำที่สุด ควนสืบค้นจากหนังสือเล่มใด</t>
        </is>
      </c>
      <c r="C162" s="2" t="n"/>
      <c r="D162" s="2" t="inlineStr">
        <is>
          <t>Drug Information Handbook</t>
        </is>
      </c>
      <c r="E162" s="2" t="inlineStr">
        <is>
          <t>Handbook of Pharmacotherapy</t>
        </is>
      </c>
      <c r="F162" s="2" t="inlineStr">
        <is>
          <t>Drug injectable and Compatibility</t>
        </is>
      </c>
      <c r="G162" s="2" t="inlineStr">
        <is>
          <t>Drug facts and comparisons</t>
        </is>
      </c>
      <c r="H162" s="2" t="inlineStr">
        <is>
          <t>Drug interaction handbook</t>
        </is>
      </c>
      <c r="I162" s="2" t="n">
        <v>1</v>
      </c>
      <c r="J162" s="2"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Handbook of Pharmacotherapy ไม่ตรงกับข้อบ่งใช้หรือกลไกการออกฤทธิ์ที่ถูกต้องตาม พ.ร.บ. ยา พ.ศ. 2510 / พ.ร.บ. วิชาชีพเภสัชกรรม พ.ศ. 2537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Drug facts and comparisons ไม่ตรงกับข้อบ่งใช้หรือกลไกการออกฤทธิ์ที่ถูกต้องตาม พ.ร.บ. ยา พ.ศ. 2510 / พ.ร.บ. วิชาชีพเภสัชกรรม พ.ศ. 2537
• ข้อ จ. (Drug interaction handbook): Drug interaction handbook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2" t="n"/>
      <c r="L162" s="2" t="inlineStr">
        <is>
          <t>พ.ร.บ. ยา พ.ศ. 2510</t>
        </is>
      </c>
      <c r="M162" s="2" t="inlineStr">
        <is>
          <t>SAP</t>
        </is>
      </c>
      <c r="N162" s="2" t="inlineStr">
        <is>
          <t>ข้อ 118 (Pharmtutor_2024_Set1.md)</t>
        </is>
      </c>
      <c r="O162" s="2" t="inlineStr">
        <is>
          <t>Mock</t>
        </is>
      </c>
      <c r="P162" s="2" t="inlineStr">
        <is>
          <t>Mock Pharmtutor 2024</t>
        </is>
      </c>
    </row>
    <row r="163" ht="13.2" customHeight="1" s="49">
      <c r="A163" s="2" t="n">
        <v>161</v>
      </c>
      <c r="B163" s="2"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2" t="n"/>
      <c r="D163" s="2" t="inlineStr">
        <is>
          <t>3% ของเงินเดือน</t>
        </is>
      </c>
      <c r="E163" s="2" t="inlineStr">
        <is>
          <t>4% ของเงินเดือน</t>
        </is>
      </c>
      <c r="F163" s="2" t="inlineStr">
        <is>
          <t>5% ของเิงนเดือน</t>
        </is>
      </c>
      <c r="G163" s="2" t="inlineStr">
        <is>
          <t>4% ของเงินเดือน โดยคิดที่ฐานเงินเดือนไม่เกิน 15,000 บาท</t>
        </is>
      </c>
      <c r="H163" s="2"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t>
        </is>
      </c>
      <c r="I163" s="2" t="n">
        <v>1</v>
      </c>
      <c r="J163" s="2"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4% ของเงินเดือน ไม่ตรงกับข้อบ่งใช้หรือกลไกการออกฤทธิ์ที่ถูกต้องตาม พ.ร.บ. ยา พ.ศ. 2510 / พ.ร.บ. วิชาชีพเภสัชกรรม พ.ศ. 2537
• ข้อ ค. (5% ของเิงนเดือน): 5% ของเิงนเดือน ไม่ตรงกับข้อบ่งใช้หรือกลไกการออกฤทธิ์ที่ถูกต้องตาม พ.ร.บ. ยา พ.ศ. 2510 / พ.ร.บ. วิชาชีพเภสัชกรรม พ.ศ. 2537
• ข้อ ง. (4% ของเงินเดือน โดยคิดที่ฐานเงินเดือนไม่เกิน 15,000 บาท): 4% ของเงินเดือน โดยคิดที่ฐานเงินเดือนไม่เกิน 15,000 บาท ไม่ตรงกับข้อบ่งใช้หรือกลไกการออกฤทธิ์ที่ถูกต้องตาม พ.ร.บ. ยา พ.ศ. 2510 / พ.ร.บ. วิชาชีพเภสัชกรรม พ.ศ. 2537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2" t="n"/>
      <c r="L163" s="2" t="inlineStr">
        <is>
          <t>พ.ร.บ. ยา พ.ศ. 2510</t>
        </is>
      </c>
      <c r="M163" s="2" t="inlineStr">
        <is>
          <t>SAP</t>
        </is>
      </c>
      <c r="N163" s="2" t="inlineStr">
        <is>
          <t>ข้อ 120 (Pharmtutor_2024_Set1.md)</t>
        </is>
      </c>
      <c r="O163" s="2" t="inlineStr">
        <is>
          <t>Mock</t>
        </is>
      </c>
      <c r="P163" s="2" t="inlineStr">
        <is>
          <t>Mock Pharmtutor 2024</t>
        </is>
      </c>
    </row>
    <row r="164" ht="13.2" customHeight="1" s="49">
      <c r="A164" s="2" t="n">
        <v>162</v>
      </c>
      <c r="B164" s="2"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2" t="n"/>
      <c r="D164" s="2" t="inlineStr">
        <is>
          <t>กระเจี๊ยบแดง</t>
        </is>
      </c>
      <c r="E164" s="2" t="inlineStr">
        <is>
          <t>ขลู่</t>
        </is>
      </c>
      <c r="F164" s="2" t="inlineStr">
        <is>
          <t>เหง้าขิงแก่</t>
        </is>
      </c>
      <c r="G164" s="2" t="inlineStr">
        <is>
          <t>ข่าอ่อน</t>
        </is>
      </c>
      <c r="H164" s="2" t="inlineStr">
        <is>
          <t>ขมิ้นขาว</t>
        </is>
      </c>
      <c r="I164" s="2" t="n">
        <v>1</v>
      </c>
      <c r="J164" s="2"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ขลู่ ไม่ตรงกับข้อบ่งใช้หรือกลไกการออกฤทธิ์ที่ถูกต้องตาม พ.ร.บ. ยา พ.ศ. 2510 / พ.ร.บ. วิชาชีพเภสัชกรรม พ.ศ. 2537
• ข้อ ค. (เหง้าขิงแก่): ขิง (Zingiber officinale) ลดคลื่นไส้ผ่าน 6-gingerol/shogaol ยับยั้ง 5-HT3 มีฤทธิ์ antiplatelet ต้องระวังกับ anticoagulants
• ข้อ ง. (ข่าอ่อน): ข่าอ่อน ไม่ตรงกับข้อบ่งใช้หรือกลไกการออกฤทธิ์ที่ถูกต้องตาม พ.ร.บ. ยา พ.ศ. 2510 / พ.ร.บ. วิชาชีพเภสัชกรรม พ.ศ. 2537
• ข้อ จ. (ขมิ้นขาว): ขมิ้นขาว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2" t="n"/>
      <c r="L164" s="2" t="inlineStr">
        <is>
          <t>พ.ร.บ. ผลิตภัณฑ์สมุนไพร &amp; เครื่องสำอาง</t>
        </is>
      </c>
      <c r="M164" s="2" t="inlineStr">
        <is>
          <t>SAP</t>
        </is>
      </c>
      <c r="N164" s="2" t="inlineStr">
        <is>
          <t>ข้อ 26 (Pharmtutor_2024_Set2.md)</t>
        </is>
      </c>
      <c r="O164" s="2" t="inlineStr">
        <is>
          <t>Mock</t>
        </is>
      </c>
      <c r="P164" s="2" t="inlineStr">
        <is>
          <t>Mock Pharmtutor 2024</t>
        </is>
      </c>
    </row>
    <row r="165" ht="13.2" customHeight="1" s="49">
      <c r="A165" s="2" t="n">
        <v>163</v>
      </c>
      <c r="B165" s="2" t="inlineStr">
        <is>
          <t>หากต้องการเพิ่มประสิทธิภาพเทคนิคการวิเคราะห์ High-performance liquid chromatography ข้อใดไม่ควรปฎิบัติ</t>
        </is>
      </c>
      <c r="C165" s="2" t="n"/>
      <c r="D165" s="2" t="inlineStr">
        <is>
          <t>เพิ่มความยาว column</t>
        </is>
      </c>
      <c r="E165" s="2" t="inlineStr">
        <is>
          <t>ลด flow rate</t>
        </is>
      </c>
      <c r="F165" s="2" t="inlineStr">
        <is>
          <t>ปรับอัตราส่วน mobile phase</t>
        </is>
      </c>
      <c r="G165" s="2" t="inlineStr">
        <is>
          <t>ปรับสภาวะเพื่อลดค่า resolution ระหว่างสารที่ต้องการวิเคราะห์และสารปนเปื้อน</t>
        </is>
      </c>
      <c r="H165" s="2" t="inlineStr">
        <is>
          <t>เลือก column ที่มีจำนวน theoretical plates สูงที่สุด</t>
        </is>
      </c>
      <c r="I165" s="2" t="n">
        <v>1</v>
      </c>
      <c r="J165" s="2"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ลด flow rate ไม่ตรงกับข้อบ่งใช้หรือกลไกการออกฤทธิ์ที่ถูกต้องตาม พ.ร.บ. ยา พ.ศ. 2510 / พ.ร.บ. วิชาชีพเภสัชกรรม พ.ศ. 2537
• ข้อ ค. (ปรับอัตราส่วน mobile phase): ปรับอัตราส่วน mobile phase ไม่ตรงกับข้อบ่งใช้หรือกลไกการออกฤทธิ์ที่ถูกต้องตาม พ.ร.บ. ยา พ.ศ. 2510 / พ.ร.บ. วิชาชีพเภสัชกรรม พ.ศ. 2537
• ข้อ ง. (ปรับสภาวะเพื่อลดค่า resolution ระหว่างสารที่ต้องการวิเคราะห์และสารปนเปื้อน): ปรับสภาวะเพื่อลดค่า resolution ระหว่างสารที่ต้องการวิเคราะห์และสารปนเปื้อน ไม่ตรงกับข้อบ่งใช้หรือกลไกการออกฤทธิ์ที่ถูกต้องตาม พ.ร.บ. ยา พ.ศ. 2510 / พ.ร.บ. วิชาชีพเภสัชกรรม พ.ศ. 2537
• ข้อ จ. (เลือก column ที่มีจำนวน theoretical plates สูงที่สุด): เลือก column ที่มีจำนวน theoretical plates สูงที่สุด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2" t="n"/>
      <c r="L165" s="2" t="inlineStr">
        <is>
          <t>พ.ร.บ. ยา พ.ศ. 2510</t>
        </is>
      </c>
      <c r="M165" s="2" t="inlineStr">
        <is>
          <t>SAP</t>
        </is>
      </c>
      <c r="N165" s="2" t="inlineStr">
        <is>
          <t>ข้อ 89 (Pharmtutor_2024_Set2.md)</t>
        </is>
      </c>
      <c r="O165" s="2" t="inlineStr">
        <is>
          <t>Mock</t>
        </is>
      </c>
      <c r="P165" s="2" t="inlineStr">
        <is>
          <t>Mock Pharmtutor 2024</t>
        </is>
      </c>
    </row>
    <row r="166" ht="13.2" customHeight="1" s="49">
      <c r="A166" s="2" t="n">
        <v>164</v>
      </c>
      <c r="B166" s="2"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2" t="n"/>
      <c r="D166" s="2" t="inlineStr">
        <is>
          <t>การศึกษาการใช้ยา oral semaglutide เทียบกับ placebo ผลลัพธ์ของการศึกษาแตกต่างกันทางคลินิก แต่ไม่มีนัยสำคัญทางสถิติ</t>
        </is>
      </c>
      <c r="E166" s="2"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2" t="inlineStr">
        <is>
          <t>หาก Q test มีค่า &lt; 0.05 แสดงถึงผลของการศึกษาไม่มีความแตกต่างกัน</t>
        </is>
      </c>
      <c r="G166" s="2"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2" t="inlineStr">
        <is>
          <t>จากการศึกษาข้างต้น หากต้องการผลการศึกษาที่ชัดเจน ควรทำ network meta-analysis เพื่อคำนวณต่อไป</t>
        </is>
      </c>
      <c r="I166" s="2" t="n">
        <v>1</v>
      </c>
      <c r="J166" s="2"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การหาค่า I square แสดงถึงความแตกต่างกันของการศึกษาหากมีค่ามากแสดงว่า การศึกษาแต่ละชนิด ไม่มีความแตกต่างกัน ไม่ตรงกับข้อบ่งใช้หรือกลไกการออกฤทธิ์ที่ถูกต้องตาม พ.ร.บ. ยา พ.ศ. 2510 / พ.ร.บ. วิชาชีพเภสัชกรรม พ.ศ. 2537
• ข้อ ค. (หาก Q test มีค่า &lt; 0.05 แสดงถึงผลของการศึกษาไม่มีความแตกต่างกัน): หาก Q test มีค่า &lt; 0.05 แสดงถึงผลของการศึกษาไม่มีความแตกต่างกัน ไม่ตรงกับข้อบ่งใช้หรือกลไกการออกฤทธิ์ที่ถูกต้องตาม พ.ร.บ. ยา พ.ศ. 2510 / พ.ร.บ. วิชาชีพเภสัชกรรม พ.ศ. 2537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จากการศึกษาข้างต้น หากต้องการผลการศึกษาที่ชัดเจน ควรทำ network meta-analysis เพื่อคำนวณต่อไป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2" t="n"/>
      <c r="L166" s="2" t="inlineStr">
        <is>
          <t>พ.ร.บ. ยา พ.ศ. 2510</t>
        </is>
      </c>
      <c r="M166" s="2" t="inlineStr">
        <is>
          <t>SAP</t>
        </is>
      </c>
      <c r="N166" s="2" t="inlineStr">
        <is>
          <t>ข้อ 111 (Pharmtutor_2024_Set2.md)</t>
        </is>
      </c>
      <c r="O166" s="2" t="inlineStr">
        <is>
          <t>Mock</t>
        </is>
      </c>
      <c r="P166" s="2" t="inlineStr">
        <is>
          <t>Mock Pharmtutor 2024</t>
        </is>
      </c>
    </row>
    <row r="167" ht="13.2" customHeight="1" s="49">
      <c r="A167" s="2" t="n">
        <v>165</v>
      </c>
      <c r="B167" s="2" t="inlineStr">
        <is>
          <t>Isotretenoin ข้อใดถูกต้องตามกฎหมาย</t>
        </is>
      </c>
      <c r="C167" s="2" t="n"/>
      <c r="D167" s="2" t="inlineStr">
        <is>
          <t>ขายได้ในร้านยา หากมีใบสั่งแพทย์</t>
        </is>
      </c>
      <c r="E167" s="2" t="inlineStr">
        <is>
          <t>ขายได้ในร้านยา โดยไม่ต้องมีใบสั่งแพทย์</t>
        </is>
      </c>
      <c r="F167" s="2" t="inlineStr">
        <is>
          <t>ขายไม่ได้ในร้านยา แม้มีใบสั่งแพทย์</t>
        </is>
      </c>
      <c r="G167" s="2" t="inlineStr">
        <is>
          <t>ขายไม่ได้ในร้านยา เนื่องจากเป็นวัตถุออกฤทธิ์ต่อจิตและประสาท</t>
        </is>
      </c>
      <c r="H167" s="2" t="inlineStr">
        <is>
          <t>ขายไม่ได้ในร้านยา เนื่องจากเป็นยาเสพติดให้โทษ ตะลุยโจทย์เภสัชจุฬาฯ สอบผ่าน 100%</t>
        </is>
      </c>
      <c r="I167" s="2" t="n">
        <v>1</v>
      </c>
      <c r="J167" s="2"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2" t="n"/>
      <c r="L167" s="2" t="inlineStr">
        <is>
          <t>พ.ร.บ. ยา พ.ศ. 2510</t>
        </is>
      </c>
      <c r="M167" s="2" t="inlineStr">
        <is>
          <t>SAP</t>
        </is>
      </c>
      <c r="N167" s="2" t="inlineStr">
        <is>
          <t>ข้อ 2 (LAW-CU-71.md)</t>
        </is>
      </c>
      <c r="O167" s="2" t="inlineStr">
        <is>
          <t>Mock</t>
        </is>
      </c>
      <c r="P167" s="2" t="inlineStr">
        <is>
          <t>Mock กฎหมาย CU71</t>
        </is>
      </c>
    </row>
    <row r="168" ht="13.2" customHeight="1" s="49">
      <c r="A168" s="2" t="n">
        <v>166</v>
      </c>
      <c r="B168" s="2" t="inlineStr">
        <is>
          <t>Budesonide inhaler จัดเป็นยาใดตามกฎหมาย</t>
        </is>
      </c>
      <c r="C168" s="2" t="n"/>
      <c r="D168" s="2" t="inlineStr">
        <is>
          <t>ยาอันตราย</t>
        </is>
      </c>
      <c r="E168" s="2" t="inlineStr">
        <is>
          <t>ยาควบคุมพิเศษ</t>
        </is>
      </c>
      <c r="F168" s="2" t="inlineStr">
        <is>
          <t>ยาใช้เฉพาะที่ แบบควบคุมพิเศษ</t>
        </is>
      </c>
      <c r="G168" s="2" t="inlineStr">
        <is>
          <t>วัตถุออกฤทธิ์ต่อจิตและประสาท</t>
        </is>
      </c>
      <c r="H168" s="2" t="inlineStr">
        <is>
          <t>ยาเสพติดให้โทษ ประเภทที่ 3 ตะลุยโจทย์เภสัชจุฬาฯ สอบผ่าน 100%</t>
        </is>
      </c>
      <c r="I168" s="2" t="n">
        <v>1</v>
      </c>
      <c r="J168"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2" t="n"/>
      <c r="L168" s="2" t="inlineStr">
        <is>
          <t>พ.ร.บ. ยา พ.ศ. 2510</t>
        </is>
      </c>
      <c r="M168" s="2" t="inlineStr">
        <is>
          <t>SAP</t>
        </is>
      </c>
      <c r="N168" s="2" t="inlineStr">
        <is>
          <t>ข้อ 3 (LAW-CU-71.md)</t>
        </is>
      </c>
      <c r="O168" s="2" t="inlineStr">
        <is>
          <t>Mock</t>
        </is>
      </c>
      <c r="P168" s="2" t="inlineStr">
        <is>
          <t>Mock กฎหมาย CU71</t>
        </is>
      </c>
    </row>
    <row r="169" ht="13.2" customHeight="1" s="49">
      <c r="A169" s="2" t="n">
        <v>167</v>
      </c>
      <c r="B169" s="2"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2" t="n"/>
      <c r="D169" s="2" t="inlineStr">
        <is>
          <t>พ.ร.บ. ยาเสพติดให้โทษ พ.ศ. 2522 (ยาเสพติดให้โทษประเภท 2 และ 3)</t>
        </is>
      </c>
      <c r="E169" s="2" t="inlineStr">
        <is>
          <t>พ.ร.บ. วัตถุที่ออกฤทธิ์ต่อจิตและประสาท พ.ศ. 2559 (ประเภท 2 และ 4)</t>
        </is>
      </c>
      <c r="F169" s="2" t="inlineStr">
        <is>
          <t>พ.ร.บ. วิชาชีพเภสัชกรรม พ.ศ. 2537 และข้อบังคับจรรยาบรรณวิชาชีพ</t>
        </is>
      </c>
      <c r="G169" s="2" t="inlineStr">
        <is>
          <t>พ.ร.บ. ผลิตภัณฑ์สมุนไพร พ.ศ. 2562</t>
        </is>
      </c>
      <c r="H169" s="2" t="inlineStr">
        <is>
          <t>พ.ร.บ. เครื่องสำอาง พ.ศ. 2558</t>
        </is>
      </c>
      <c r="I169" s="2" t="n">
        <v>1</v>
      </c>
      <c r="J16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2" t="n"/>
      <c r="L169" s="2" t="inlineStr">
        <is>
          <t>พ.ร.บ. ยา พ.ศ. 2510</t>
        </is>
      </c>
      <c r="M169" s="2" t="inlineStr">
        <is>
          <t>SAP</t>
        </is>
      </c>
      <c r="N169" s="2" t="inlineStr">
        <is>
          <t>ข้อ 1 (LAW-CU-71.md)</t>
        </is>
      </c>
      <c r="O169" s="2" t="inlineStr">
        <is>
          <t>Mock</t>
        </is>
      </c>
      <c r="P169" s="2" t="inlineStr">
        <is>
          <t>Mock กฎหมาย CU71</t>
        </is>
      </c>
    </row>
    <row r="170" ht="13.2" customHeight="1" s="49">
      <c r="A170" s="2" t="n">
        <v>168</v>
      </c>
      <c r="B170" s="2"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2" t="n"/>
      <c r="D170" s="2" t="inlineStr">
        <is>
          <t>ข้อใดต่อไปนี้เป็นยาเสื่อมคุณภาพตามกฎหมาย</t>
        </is>
      </c>
      <c r="E170" s="2" t="inlineStr">
        <is>
          <t>ยาหยอดตาที่มีตัวยาสำคัญมากกว่าเกณฑ์สูงสุด 12 %</t>
        </is>
      </c>
      <c r="F170" s="2" t="inlineStr">
        <is>
          <t>ยาหยอดตาที่มีส่วนผสมของยาอื่นปนเปื้อน 12%</t>
        </is>
      </c>
      <c r="G170" s="2" t="inlineStr">
        <is>
          <t>ยาหยอดตาซึ่งเขียนสถานที่ผลิตไม่ตรงกับความเป็นจริง</t>
        </is>
      </c>
      <c r="H170" s="2" t="inlineStr">
        <is>
          <t>ยาหยอดตาที่เปิดใช้งานมาแล้ว 2 เดือน</t>
        </is>
      </c>
      <c r="I170" s="2" t="n">
        <v>1</v>
      </c>
      <c r="J170" s="2"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2" t="n"/>
      <c r="L170" s="2" t="inlineStr">
        <is>
          <t>พ.ร.บ. ยา พ.ศ. 2510</t>
        </is>
      </c>
      <c r="M170" s="2" t="inlineStr">
        <is>
          <t>SAP</t>
        </is>
      </c>
      <c r="N170" s="2" t="inlineStr">
        <is>
          <t>ข้อ 2 (LAW-CU-71.md)</t>
        </is>
      </c>
      <c r="O170" s="2" t="inlineStr">
        <is>
          <t>Mock</t>
        </is>
      </c>
      <c r="P170" s="2" t="inlineStr">
        <is>
          <t>Mock กฎหมาย CU71</t>
        </is>
      </c>
    </row>
    <row r="171" ht="13.2" customHeight="1" s="49">
      <c r="A171" s="2" t="n">
        <v>169</v>
      </c>
      <c r="B171" s="2" t="inlineStr">
        <is>
          <t>ข้อใดไม่ใช่ norfloxacin ที่จัดเป็นยาปลอมตามกฎหมาย</t>
        </is>
      </c>
      <c r="C171" s="2" t="n"/>
      <c r="D171" s="2" t="inlineStr">
        <is>
          <t>มีการผสมตัวยา ciprofloxacin ด้วย</t>
        </is>
      </c>
      <c r="E171" s="2" t="inlineStr">
        <is>
          <t>ตรวจพบปริมาณ norfloxacin เพียง 70% เท่านั้น</t>
        </is>
      </c>
      <c r="F171" s="2" t="inlineStr">
        <is>
          <t>ที่ฉลากระบุว่าเป็นยา ofloxacin</t>
        </is>
      </c>
      <c r="G171" s="2" t="inlineStr">
        <is>
          <t>ที่ฉลากแสดงเครื่องหมายของผู้ผลิตซึ่งมิใช่ความจริง</t>
        </is>
      </c>
      <c r="H171" s="2" t="inlineStr">
        <is>
          <t>ลักษณะเม็ดยา norfloxacin เปลี่ยนจากสีขาว เป็น สีฟ้าอ่อน ตะลุยโจทย์เภสัชจุฬาฯ สอบผ่าน 100%</t>
        </is>
      </c>
      <c r="I171" s="2" t="n">
        <v>1</v>
      </c>
      <c r="J171"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2" t="n"/>
      <c r="L171" s="2" t="inlineStr">
        <is>
          <t>พ.ร.บ. ยา พ.ศ. 2510</t>
        </is>
      </c>
      <c r="M171" s="2" t="inlineStr">
        <is>
          <t>SAP</t>
        </is>
      </c>
      <c r="N171" s="2" t="inlineStr">
        <is>
          <t>ข้อ 2 (LAW-CU-71.md)</t>
        </is>
      </c>
      <c r="O171" s="2" t="inlineStr">
        <is>
          <t>Mock</t>
        </is>
      </c>
      <c r="P171" s="2" t="inlineStr">
        <is>
          <t>Mock กฎหมาย CU71</t>
        </is>
      </c>
    </row>
    <row r="172" ht="13.2" customHeight="1" s="49">
      <c r="A172" s="2" t="n">
        <v>170</v>
      </c>
      <c r="B172" s="2" t="inlineStr">
        <is>
          <t>หากท่านต้องการขายยา glibencamide ทางอินเตอร์เนต สามารถทำได้หรือไม่ตามกฎหมาย</t>
        </is>
      </c>
      <c r="C172" s="2" t="n"/>
      <c r="D172" s="2" t="inlineStr">
        <is>
          <t>ทำได้ เนื่องจากกฎหมายไม่ได้ระบุข้อห้ามไว้</t>
        </is>
      </c>
      <c r="E172" s="2" t="inlineStr">
        <is>
          <t>ทำได้ เนื่องจากเป็นยาแผนปัจจุบันบรรจุเสร็จฯ</t>
        </is>
      </c>
      <c r="F172" s="2" t="inlineStr">
        <is>
          <t>ทำไม่ได้ เนื่องจากเป็นยาอันตราย ต้องขายในสถานที่ที่ขออนุญาตไว้เท่านั้น</t>
        </is>
      </c>
      <c r="G172" s="2" t="inlineStr">
        <is>
          <t>ทำไม่ได้ เนื่องจากเป็นยาควบคุมพิเศษ ต้องขายในสถานที่ที่ขออนุญาตไว้เท่านั้น</t>
        </is>
      </c>
      <c r="H172" s="2" t="inlineStr">
        <is>
          <t>ทำไม่ได้ เนื่องจากเป็นกฎหมายระบุว่า ห้ามขายยาทุกชนิดนอกร้านขายยา ตะลุยโจทย์เภสัชจุฬาฯ สอบผ่าน 100%</t>
        </is>
      </c>
      <c r="I172" s="2" t="n">
        <v>1</v>
      </c>
      <c r="J172" s="2"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2" t="n"/>
      <c r="L172" s="2" t="inlineStr">
        <is>
          <t>พ.ร.บ. ยา พ.ศ. 2510</t>
        </is>
      </c>
      <c r="M172" s="2" t="inlineStr">
        <is>
          <t>SAP</t>
        </is>
      </c>
      <c r="N172" s="2" t="inlineStr">
        <is>
          <t>ข้อ 4 (LAW-CU-71.md)</t>
        </is>
      </c>
      <c r="O172" s="2" t="inlineStr">
        <is>
          <t>Mock</t>
        </is>
      </c>
      <c r="P172" s="2" t="inlineStr">
        <is>
          <t>Mock กฎหมาย CU71</t>
        </is>
      </c>
    </row>
    <row r="173" ht="13.2" customHeight="1" s="49">
      <c r="A173" s="2" t="n">
        <v>171</v>
      </c>
      <c r="B173" s="2"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2" t="n"/>
      <c r="D173" s="2" t="inlineStr">
        <is>
          <t>พ.ร.บ. วิชาชีพเภสัชกรรม พ.ศ. 2537 และข้อบังคับจรรยาบรรณวิชาชีพ</t>
        </is>
      </c>
      <c r="E173" s="2" t="inlineStr">
        <is>
          <t>พ.ร.บ. ผลิตภัณฑ์สมุนไพร พ.ศ. 2562</t>
        </is>
      </c>
      <c r="F173" s="2" t="inlineStr">
        <is>
          <t>พ.ร.บ. เครื่องสำอาง พ.ศ. 2558</t>
        </is>
      </c>
      <c r="G173" s="2" t="inlineStr">
        <is>
          <t>พ.ร.บ. หลักประกันสุขภาพแห่งชาติ พ.ศ. 2545</t>
        </is>
      </c>
      <c r="H173" s="2" t="inlineStr">
        <is>
          <t>การปฏิบัติทางเภสัชกรรมชุมชน (Good Pharmacy Practice: GPP)</t>
        </is>
      </c>
      <c r="I173" s="2" t="n">
        <v>1</v>
      </c>
      <c r="J1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2" t="n"/>
      <c r="L173" s="2" t="inlineStr">
        <is>
          <t>พ.ร.บ. วิชาชีพเภสัชกรรม 2537</t>
        </is>
      </c>
      <c r="M173" s="2" t="inlineStr">
        <is>
          <t>SAP</t>
        </is>
      </c>
      <c r="N173" s="2" t="inlineStr">
        <is>
          <t>ข้อ 2 (LAW-CU-71.md)</t>
        </is>
      </c>
      <c r="O173" s="2" t="inlineStr">
        <is>
          <t>Mock</t>
        </is>
      </c>
      <c r="P173" s="2" t="inlineStr">
        <is>
          <t>Mock กฎหมาย CU71</t>
        </is>
      </c>
    </row>
    <row r="174" ht="13.2" customHeight="1" s="49">
      <c r="A174" s="2" t="n">
        <v>172</v>
      </c>
      <c r="B174" s="2" t="inlineStr">
        <is>
          <t>ดำรงตนให้สมควรในสังคมโดยธรรมและเคารพต่อกฎหมายของบ้านเมือง</t>
        </is>
      </c>
      <c r="C174" s="2" t="n"/>
      <c r="D174" s="2" t="inlineStr">
        <is>
          <t>พ.ร.บ. หลักประกันสุขภาพแห่งชาติ พ.ศ. 2545</t>
        </is>
      </c>
      <c r="E174" s="2" t="inlineStr">
        <is>
          <t>การปฏิบัติทางเภสัชกรรมชุมชน (Good Pharmacy Practice: GPP)</t>
        </is>
      </c>
      <c r="F174" s="2" t="inlineStr">
        <is>
          <t>บัญชียาหลักแห่งชาติ (National List of Essential Medicines: NLEM)</t>
        </is>
      </c>
      <c r="G174" s="2" t="inlineStr">
        <is>
          <t>เกณฑ์จริยธรรมว่าด้วยการส่งเสริมการขายยาของกระทรวงสาธารณสุข</t>
        </is>
      </c>
      <c r="H174" s="2" t="inlineStr">
        <is>
          <t>พ.ร.บ. ยา พ.ศ. 2510 (การจำหน่ายยาอันตรายและยาควบคุมพิเศษ)</t>
        </is>
      </c>
      <c r="I174" s="2" t="n">
        <v>1</v>
      </c>
      <c r="J1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2" t="n"/>
      <c r="L174" s="2" t="inlineStr">
        <is>
          <t>พ.ร.บ. ยา พ.ศ. 2510</t>
        </is>
      </c>
      <c r="M174" s="2" t="inlineStr">
        <is>
          <t>SAP</t>
        </is>
      </c>
      <c r="N174" s="2" t="inlineStr">
        <is>
          <t>ข้อ 1 (LAW-CU-71.md)</t>
        </is>
      </c>
      <c r="O174" s="2" t="inlineStr">
        <is>
          <t>Mock</t>
        </is>
      </c>
      <c r="P174" s="2" t="inlineStr">
        <is>
          <t>Mock กฎหมาย CU71</t>
        </is>
      </c>
    </row>
    <row r="175" ht="13.2" customHeight="1" s="49">
      <c r="A175" s="2" t="n">
        <v>173</v>
      </c>
      <c r="B175" s="2" t="inlineStr">
        <is>
          <t>ปฏิบัติต่อผู้มารับบริการโดยสุภาพและปราศจากการบังคับขู่เข็ญ จรรยาบรรณ</t>
        </is>
      </c>
      <c r="C175" s="2" t="n"/>
      <c r="D175" s="2" t="inlineStr">
        <is>
          <t>เกณฑ์จริยธรรมว่าด้วยการส่งเสริมการขายยาของกระทรวงสาธารณสุข</t>
        </is>
      </c>
      <c r="E175" s="2" t="inlineStr">
        <is>
          <t>พ.ร.บ. ยา พ.ศ. 2510 (การจำหน่ายยาอันตรายและยาควบคุมพิเศษ)</t>
        </is>
      </c>
      <c r="F175" s="2" t="inlineStr">
        <is>
          <t>พ.ร.บ. ยาเสพติดให้โทษ พ.ศ. 2522 (ยาเสพติดให้โทษประเภท 2 และ 3)</t>
        </is>
      </c>
      <c r="G175" s="2" t="inlineStr">
        <is>
          <t>พ.ร.บ. วัตถุที่ออกฤทธิ์ต่อจิตและประสาท พ.ศ. 2559 (ประเภท 2 และ 4)</t>
        </is>
      </c>
      <c r="H175" s="2" t="inlineStr">
        <is>
          <t>พ.ร.บ. วิชาชีพเภสัชกรรม พ.ศ. 2537 และข้อบังคับจรรยาบรรณวิชาชีพ</t>
        </is>
      </c>
      <c r="I175" s="2" t="n">
        <v>1</v>
      </c>
      <c r="J1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2" t="n"/>
      <c r="L175" s="2" t="inlineStr">
        <is>
          <t>พ.ร.บ. วิชาชีพเภสัชกรรม 2537</t>
        </is>
      </c>
      <c r="M175" s="2" t="inlineStr">
        <is>
          <t>SAP</t>
        </is>
      </c>
      <c r="N175" s="2" t="inlineStr">
        <is>
          <t>ข้อ 8 (LAW-CU-71.md)</t>
        </is>
      </c>
      <c r="O175" s="2" t="inlineStr">
        <is>
          <t>Mock</t>
        </is>
      </c>
      <c r="P175" s="2" t="inlineStr">
        <is>
          <t>Mock กฎหมาย CU71</t>
        </is>
      </c>
    </row>
    <row r="176" ht="13.2" customHeight="1" s="49">
      <c r="A176" s="2" t="n">
        <v>174</v>
      </c>
      <c r="B176" s="2" t="inlineStr">
        <is>
          <t>ไม่ใช้หรือสนับสนุนให้มีการประกอบวิชาชีพโดยผิดกฎหมาย</t>
        </is>
      </c>
      <c r="C176" s="2" t="n"/>
      <c r="D176" s="2" t="inlineStr">
        <is>
          <t>พ.ร.บ. วัตถุที่ออกฤทธิ์ต่อจิตและประสาท พ.ศ. 2559 (ประเภท 2 และ 4)</t>
        </is>
      </c>
      <c r="E176" s="2" t="inlineStr">
        <is>
          <t>พ.ร.บ. วิชาชีพเภสัชกรรม พ.ศ. 2537 และข้อบังคับจรรยาบรรณวิชาชีพ</t>
        </is>
      </c>
      <c r="F176" s="2" t="inlineStr">
        <is>
          <t>พ.ร.บ. ผลิตภัณฑ์สมุนไพร พ.ศ. 2562</t>
        </is>
      </c>
      <c r="G176" s="2" t="inlineStr">
        <is>
          <t>พ.ร.บ. เครื่องสำอาง พ.ศ. 2558</t>
        </is>
      </c>
      <c r="H176" s="2" t="inlineStr">
        <is>
          <t>พ.ร.บ. หลักประกันสุขภาพแห่งชาติ พ.ศ. 2545</t>
        </is>
      </c>
      <c r="I176" s="2" t="n">
        <v>1</v>
      </c>
      <c r="J1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2" t="n"/>
      <c r="L176" s="2" t="inlineStr">
        <is>
          <t>พ.ร.บ. ยา พ.ศ. 2510</t>
        </is>
      </c>
      <c r="M176" s="2" t="inlineStr">
        <is>
          <t>SAP</t>
        </is>
      </c>
      <c r="N176" s="2" t="inlineStr">
        <is>
          <t>ข้อ 13 (LAW-CU-71.md)</t>
        </is>
      </c>
      <c r="O176" s="2" t="inlineStr">
        <is>
          <t>Mock</t>
        </is>
      </c>
      <c r="P176" s="2" t="inlineStr">
        <is>
          <t>Mock กฎหมาย CU71</t>
        </is>
      </c>
    </row>
    <row r="177" ht="13.2" customHeight="1" s="49">
      <c r="A177" s="2" t="n">
        <v>175</v>
      </c>
      <c r="B177" s="2"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2" t="n"/>
      <c r="D177" s="2" t="inlineStr">
        <is>
          <t>ผู้ป่วยทุกคนมีสิทธิพื้นฐานที่จะได้รับบริการด้านสุขภาพตามที่บัญญัติไว้ในรัฐธรรมนูญ</t>
        </is>
      </c>
      <c r="E177" s="2"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2"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2"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2"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2" t="n">
        <v>1</v>
      </c>
      <c r="J177" s="2"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2" t="n"/>
      <c r="L177" s="2" t="inlineStr">
        <is>
          <t>พ.ร.บ. ยา พ.ศ. 2510</t>
        </is>
      </c>
      <c r="M177" s="2" t="inlineStr">
        <is>
          <t>SAP</t>
        </is>
      </c>
      <c r="N177" s="2" t="inlineStr">
        <is>
          <t>ข้อ 1 (LAW-CU-71.md)</t>
        </is>
      </c>
      <c r="O177" s="2" t="inlineStr">
        <is>
          <t>Mock</t>
        </is>
      </c>
      <c r="P177" s="2" t="inlineStr">
        <is>
          <t>Mock กฎหมาย CU71</t>
        </is>
      </c>
    </row>
    <row r="178" ht="13.2" customHeight="1" s="49">
      <c r="A178" s="2" t="n">
        <v>176</v>
      </c>
      <c r="B178" s="2"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2" t="n"/>
      <c r="D178" s="2" t="inlineStr">
        <is>
          <t>เภสัชกรต้องประกอบวิชาชีพ โดยคำนึงถึงความปลอดภัยและเศรษฐานะของผู้ป่วยหรือผู้มารับบริการ</t>
        </is>
      </c>
      <c r="E178" s="2" t="inlineStr">
        <is>
          <t>เภสัชกรต้องไม่ประพฤติหรือกระทำการใดๆ อันเป็นเหตุให้เสื่อมเสียเกียรติศักดิ์แห่งวิชาชีพ</t>
        </is>
      </c>
      <c r="F178" s="2" t="inlineStr">
        <is>
          <t>เภสัชกรต้องไม่เปิดเผยความลับของผู้มารับบริการ เว้นแต่ได้รับความยินยอมจากผู้รับบริการ</t>
        </is>
      </c>
      <c r="G178" s="2" t="inlineStr">
        <is>
          <t>เภสัชกรต้องไม่ใช้หรือสนับสนุนให้มีการประกอบวิชาชีพโดยผิดกฎหมาย</t>
        </is>
      </c>
      <c r="H178" s="2"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t>
        </is>
      </c>
      <c r="I178" s="2" t="n">
        <v>1</v>
      </c>
      <c r="J178" s="2"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2" t="n"/>
      <c r="L178" s="2" t="inlineStr">
        <is>
          <t>พ.ร.บ. วิชาชีพเภสัชกรรม 2537</t>
        </is>
      </c>
      <c r="M178" s="2" t="inlineStr">
        <is>
          <t>SAP</t>
        </is>
      </c>
      <c r="N178" s="2" t="inlineStr">
        <is>
          <t>ข้อ 2 (LAW-CU-71.md)</t>
        </is>
      </c>
      <c r="O178" s="2" t="inlineStr">
        <is>
          <t>Mock</t>
        </is>
      </c>
      <c r="P178" s="2" t="inlineStr">
        <is>
          <t>Mock กฎหมาย CU71</t>
        </is>
      </c>
    </row>
    <row r="179" ht="13.2" customHeight="1" s="49">
      <c r="A179" s="2" t="n">
        <v>177</v>
      </c>
      <c r="B179" s="2"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2" t="n"/>
      <c r="D179" s="2" t="inlineStr">
        <is>
          <t>พ.ร.บ. ยาเสพติดให้โทษ พ.ศ. 2522 (ยาเสพติดให้โทษประเภท 2 และ 3)</t>
        </is>
      </c>
      <c r="E179" s="2" t="inlineStr">
        <is>
          <t>พ.ร.บ. วัตถุที่ออกฤทธิ์ต่อจิตและประสาท พ.ศ. 2559 (ประเภท 2 และ 4)</t>
        </is>
      </c>
      <c r="F179" s="2" t="inlineStr">
        <is>
          <t>พ.ร.บ. วิชาชีพเภสัชกรรม พ.ศ. 2537 และข้อบังคับจรรยาบรรณวิชาชีพ</t>
        </is>
      </c>
      <c r="G179" s="2" t="inlineStr">
        <is>
          <t>พ.ร.บ. ผลิตภัณฑ์สมุนไพร พ.ศ. 2562</t>
        </is>
      </c>
      <c r="H179" s="2" t="inlineStr">
        <is>
          <t>พ.ร.บ. เครื่องสำอาง พ.ศ. 2558</t>
        </is>
      </c>
      <c r="I179" s="2" t="n">
        <v>1</v>
      </c>
      <c r="J17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2" t="n"/>
      <c r="L179" s="2" t="inlineStr">
        <is>
          <t>พ.ร.บ. ยา พ.ศ. 2510</t>
        </is>
      </c>
      <c r="M179" s="2" t="inlineStr">
        <is>
          <t>SAP</t>
        </is>
      </c>
      <c r="N179" s="2" t="inlineStr">
        <is>
          <t>ข้อ 34 (PLE_CC1_2557.md)</t>
        </is>
      </c>
      <c r="O179" s="2" t="inlineStr">
        <is>
          <t>ข้อสอบจริง</t>
        </is>
      </c>
      <c r="P179" s="2" t="inlineStr">
        <is>
          <t>ปี 2557</t>
        </is>
      </c>
    </row>
    <row r="180" ht="13.2" customHeight="1" s="49">
      <c r="A180" s="2" t="n">
        <v>178</v>
      </c>
      <c r="B180" s="2"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2" t="n"/>
      <c r="D180" s="2" t="inlineStr">
        <is>
          <t>พ.ร.บ. ผลิตภัณฑ์สมุนไพร พ.ศ. 2562</t>
        </is>
      </c>
      <c r="E180" s="2" t="inlineStr">
        <is>
          <t>พ.ร.บ. เครื่องสำอาง พ.ศ. 2558</t>
        </is>
      </c>
      <c r="F180" s="2" t="inlineStr">
        <is>
          <t>พ.ร.บ. หลักประกันสุขภาพแห่งชาติ พ.ศ. 2545</t>
        </is>
      </c>
      <c r="G180" s="2" t="inlineStr">
        <is>
          <t>การปฏิบัติทางเภสัชกรรมชุมชน (Good Pharmacy Practice: GPP)</t>
        </is>
      </c>
      <c r="H180" s="2" t="inlineStr">
        <is>
          <t>บัญชียาหลักแห่งชาติ (National List of Essential Medicines: NLEM)</t>
        </is>
      </c>
      <c r="I180" s="2" t="n">
        <v>1</v>
      </c>
      <c r="J1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2" t="n"/>
      <c r="L180" s="2" t="inlineStr">
        <is>
          <t>พ.ร.บ. ยา พ.ศ. 2510</t>
        </is>
      </c>
      <c r="M180" s="2" t="inlineStr">
        <is>
          <t>SAP</t>
        </is>
      </c>
      <c r="N180" s="2" t="inlineStr">
        <is>
          <t>ข้อ 55 (PLE_CC1_2557.md)</t>
        </is>
      </c>
      <c r="O180" s="2" t="inlineStr">
        <is>
          <t>ข้อสอบจริง</t>
        </is>
      </c>
      <c r="P180" s="2" t="inlineStr">
        <is>
          <t>ปี 2557</t>
        </is>
      </c>
    </row>
    <row r="181" ht="13.2" customHeight="1" s="49">
      <c r="A181" s="2" t="n">
        <v>179</v>
      </c>
      <c r="B181" s="2"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2" t="n"/>
      <c r="D181" s="2" t="inlineStr">
        <is>
          <t>การปฏิบัติทางเภสัชกรรมชุมชน (Good Pharmacy Practice: GPP)</t>
        </is>
      </c>
      <c r="E181" s="2" t="inlineStr">
        <is>
          <t>บัญชียาหลักแห่งชาติ (National List of Essential Medicines: NLEM)</t>
        </is>
      </c>
      <c r="F181" s="2" t="inlineStr">
        <is>
          <t>เกณฑ์จริยธรรมว่าด้วยการส่งเสริมการขายยาของกระทรวงสาธารณสุข</t>
        </is>
      </c>
      <c r="G181" s="2" t="inlineStr">
        <is>
          <t>พ.ร.บ. ยา พ.ศ. 2510 (การจำหน่ายยาอันตรายและยาควบคุมพิเศษ)</t>
        </is>
      </c>
      <c r="H181" s="2" t="inlineStr">
        <is>
          <t>พ.ร.บ. ยาเสพติดให้โทษ พ.ศ. 2522 (ยาเสพติดให้โทษประเภท 2 และ 3)</t>
        </is>
      </c>
      <c r="I181" s="2" t="n">
        <v>1</v>
      </c>
      <c r="J18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2" t="n"/>
      <c r="L181" s="2" t="inlineStr">
        <is>
          <t>พ.ร.บ. ยา พ.ศ. 2510</t>
        </is>
      </c>
      <c r="M181" s="2" t="inlineStr">
        <is>
          <t>SAP</t>
        </is>
      </c>
      <c r="N181" s="2" t="inlineStr">
        <is>
          <t>ข้อ 83 (PLE_CC1_2557.md)</t>
        </is>
      </c>
      <c r="O181" s="2" t="inlineStr">
        <is>
          <t>ข้อสอบจริง</t>
        </is>
      </c>
      <c r="P181" s="2" t="inlineStr">
        <is>
          <t>ปี 2557</t>
        </is>
      </c>
    </row>
    <row r="182" ht="13.2" customHeight="1" s="49">
      <c r="A182" s="2" t="n">
        <v>180</v>
      </c>
      <c r="B182" s="2"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2" t="n"/>
      <c r="D182" s="2" t="inlineStr">
        <is>
          <t>พ.ร.บ. ยา พ.ศ. 2510 (การจำหน่ายยาอันตรายและยาควบคุมพิเศษ)</t>
        </is>
      </c>
      <c r="E182" s="2" t="inlineStr">
        <is>
          <t>พ.ร.บ. ยาเสพติดให้โทษ พ.ศ. 2522 (ยาเสพติดให้โทษประเภท 2 และ 3)</t>
        </is>
      </c>
      <c r="F182" s="2" t="inlineStr">
        <is>
          <t>พ.ร.บ. วัตถุที่ออกฤทธิ์ต่อจิตและประสาท พ.ศ. 2559 (ประเภท 2 และ 4)</t>
        </is>
      </c>
      <c r="G182" s="2" t="inlineStr">
        <is>
          <t>พ.ร.บ. วิชาชีพเภสัชกรรม พ.ศ. 2537 และข้อบังคับจรรยาบรรณวิชาชีพ</t>
        </is>
      </c>
      <c r="H182" s="2" t="inlineStr">
        <is>
          <t>พ.ร.บ. ผลิตภัณฑ์สมุนไพร พ.ศ. 2562</t>
        </is>
      </c>
      <c r="I182" s="2" t="n">
        <v>1</v>
      </c>
      <c r="J1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2" t="n"/>
      <c r="L182" s="2" t="inlineStr">
        <is>
          <t>พ.ร.บ. วิชาชีพเภสัชกรรม 2537</t>
        </is>
      </c>
      <c r="M182" s="2" t="inlineStr">
        <is>
          <t>SAP</t>
        </is>
      </c>
      <c r="N182" s="2" t="inlineStr">
        <is>
          <t>ข้อ 24 (PLE_CC1_2557.md)</t>
        </is>
      </c>
      <c r="O182" s="2" t="inlineStr">
        <is>
          <t>ข้อสอบจริง</t>
        </is>
      </c>
      <c r="P182" s="2" t="inlineStr">
        <is>
          <t>ปี 2557</t>
        </is>
      </c>
    </row>
    <row r="183" ht="13.2" customHeight="1" s="49">
      <c r="A183" s="2" t="n">
        <v>181</v>
      </c>
      <c r="B183" s="2"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2" t="n"/>
      <c r="D183" s="2" t="inlineStr">
        <is>
          <t>พ.ร.บ. วิชาชีพเภสัชกรรม พ.ศ. 2537 และข้อบังคับจรรยาบรรณวิชาชีพ</t>
        </is>
      </c>
      <c r="E183" s="2" t="inlineStr">
        <is>
          <t>พ.ร.บ. ผลิตภัณฑ์สมุนไพร พ.ศ. 2562</t>
        </is>
      </c>
      <c r="F183" s="2" t="inlineStr">
        <is>
          <t>พ.ร.บ. เครื่องสำอาง พ.ศ. 2558</t>
        </is>
      </c>
      <c r="G183" s="2" t="inlineStr">
        <is>
          <t>พ.ร.บ. หลักประกันสุขภาพแห่งชาติ พ.ศ. 2545</t>
        </is>
      </c>
      <c r="H183" s="2" t="inlineStr">
        <is>
          <t>การปฏิบัติทางเภสัชกรรมชุมชน (Good Pharmacy Practice: GPP)</t>
        </is>
      </c>
      <c r="I183" s="2" t="n">
        <v>1</v>
      </c>
      <c r="J18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2" t="n"/>
      <c r="L183" s="2" t="inlineStr">
        <is>
          <t>พ.ร.บ. ยา พ.ศ. 2510</t>
        </is>
      </c>
      <c r="M183" s="2" t="inlineStr">
        <is>
          <t>SAP</t>
        </is>
      </c>
      <c r="N183" s="2" t="inlineStr">
        <is>
          <t>ข้อ 28 (PLE_CC1_2557.md)</t>
        </is>
      </c>
      <c r="O183" s="2" t="inlineStr">
        <is>
          <t>ข้อสอบจริง</t>
        </is>
      </c>
      <c r="P183" s="2" t="inlineStr">
        <is>
          <t>ปี 2557</t>
        </is>
      </c>
    </row>
    <row r="184" ht="13.2" customHeight="1" s="49">
      <c r="A184" s="2" t="n">
        <v>182</v>
      </c>
      <c r="B184" s="2"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2" t="n"/>
      <c r="D184" s="2" t="inlineStr">
        <is>
          <t>พ.ร.บ. หลักประกันสุขภาพแห่งชาติ พ.ศ. 2545</t>
        </is>
      </c>
      <c r="E184" s="2" t="inlineStr">
        <is>
          <t>การปฏิบัติทางเภสัชกรรมชุมชน (Good Pharmacy Practice: GPP)</t>
        </is>
      </c>
      <c r="F184" s="2" t="inlineStr">
        <is>
          <t>บัญชียาหลักแห่งชาติ (National List of Essential Medicines: NLEM)</t>
        </is>
      </c>
      <c r="G184" s="2" t="inlineStr">
        <is>
          <t>เกณฑ์จริยธรรมว่าด้วยการส่งเสริมการขายยาของกระทรวงสาธารณสุข</t>
        </is>
      </c>
      <c r="H184" s="2" t="inlineStr">
        <is>
          <t>พ.ร.บ. ยา พ.ศ. 2510 (การจำหน่ายยาอันตรายและยาควบคุมพิเศษ)</t>
        </is>
      </c>
      <c r="I184" s="2" t="n">
        <v>1</v>
      </c>
      <c r="J18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2" t="n"/>
      <c r="L184" s="2" t="inlineStr">
        <is>
          <t>พ.ร.บ. วิชาชีพเภสัชกรรม 2537</t>
        </is>
      </c>
      <c r="M184" s="2" t="inlineStr">
        <is>
          <t>SAP</t>
        </is>
      </c>
      <c r="N184" s="2" t="inlineStr">
        <is>
          <t>ข้อ 43 (PLE_CC1_2557.md)</t>
        </is>
      </c>
      <c r="O184" s="2" t="inlineStr">
        <is>
          <t>ข้อสอบจริง</t>
        </is>
      </c>
      <c r="P184" s="2" t="inlineStr">
        <is>
          <t>ปี 2557</t>
        </is>
      </c>
    </row>
    <row r="185" ht="13.2" customHeight="1" s="49">
      <c r="A185" s="2" t="n">
        <v>183</v>
      </c>
      <c r="B185" s="2"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2" t="n"/>
      <c r="D185" s="2"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t>
        </is>
      </c>
      <c r="E185" s="2" t="inlineStr">
        <is>
          <t>พ.ร.บ. ยา พ.ศ. 2510 (การจำหน่ายยาอันตรายและยาควบคุมพิเศษ)</t>
        </is>
      </c>
      <c r="F185" s="2" t="inlineStr">
        <is>
          <t>พ.ร.บ. ยาเสพติดให้โทษ พ.ศ. 2522 (ยาเสพติดให้โทษประเภท 2 และ 3)</t>
        </is>
      </c>
      <c r="G185" s="2" t="inlineStr">
        <is>
          <t>พ.ร.บ. วัตถุที่ออกฤทธิ์ต่อจิตและประสาท พ.ศ. 2559 (ประเภท 2 และ 4)</t>
        </is>
      </c>
      <c r="H185" s="2" t="inlineStr">
        <is>
          <t>พ.ร.บ. วิชาชีพเภสัชกรรม พ.ศ. 2537 และข้อบังคับจรรยาบรรณวิชาชีพ</t>
        </is>
      </c>
      <c r="I185" s="2" t="n">
        <v>1</v>
      </c>
      <c r="J185" s="2"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2" t="n"/>
      <c r="L185" s="2" t="inlineStr">
        <is>
          <t>พ.ร.บ. ยา พ.ศ. 2510</t>
        </is>
      </c>
      <c r="M185" s="2" t="inlineStr">
        <is>
          <t>SAP</t>
        </is>
      </c>
      <c r="N185" s="2" t="inlineStr">
        <is>
          <t>ข้อ 52 (PLE_CC1_2557.md)</t>
        </is>
      </c>
      <c r="O185" s="2" t="inlineStr">
        <is>
          <t>ข้อสอบจริง</t>
        </is>
      </c>
      <c r="P185" s="2" t="inlineStr">
        <is>
          <t>ปี 2557</t>
        </is>
      </c>
    </row>
    <row r="186" ht="13.2" customHeight="1" s="49">
      <c r="A186" s="2" t="n">
        <v>184</v>
      </c>
      <c r="B186" s="2"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2" t="n"/>
      <c r="D186" s="2" t="inlineStr">
        <is>
          <t>พ.ร.บ. วัตถุที่ออกฤทธิ์ต่อจิตและประสาท พ.ศ. 2559 (ประเภท 2 และ 4)</t>
        </is>
      </c>
      <c r="E186" s="2" t="inlineStr">
        <is>
          <t>พ.ร.บ. วิชาชีพเภสัชกรรม พ.ศ. 2537 และข้อบังคับจรรยาบรรณวิชาชีพ</t>
        </is>
      </c>
      <c r="F186" s="2" t="inlineStr">
        <is>
          <t>พ.ร.บ. ผลิตภัณฑ์สมุนไพร พ.ศ. 2562</t>
        </is>
      </c>
      <c r="G186" s="2" t="inlineStr">
        <is>
          <t>พ.ร.บ. เครื่องสำอาง พ.ศ. 2558</t>
        </is>
      </c>
      <c r="H186" s="2" t="inlineStr">
        <is>
          <t>พ.ร.บ. หลักประกันสุขภาพแห่งชาติ พ.ศ. 2545</t>
        </is>
      </c>
      <c r="I186" s="2" t="n">
        <v>1</v>
      </c>
      <c r="J186"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2" t="n"/>
      <c r="L186" s="2" t="inlineStr">
        <is>
          <t>พ.ร.บ. ยาเสพติดให้โทษ &amp; วัตถุออกฤทธิ์</t>
        </is>
      </c>
      <c r="M186" s="2" t="inlineStr">
        <is>
          <t>SAP</t>
        </is>
      </c>
      <c r="N186" s="2" t="inlineStr">
        <is>
          <t>ข้อ 54 (PLE_CC1_2557.md)</t>
        </is>
      </c>
      <c r="O186" s="2" t="inlineStr">
        <is>
          <t>ข้อสอบจริง</t>
        </is>
      </c>
      <c r="P186" s="2" t="inlineStr">
        <is>
          <t>ปี 2557</t>
        </is>
      </c>
    </row>
    <row r="187" ht="13.2" customHeight="1" s="49">
      <c r="A187" s="2" t="n">
        <v>185</v>
      </c>
      <c r="B187" s="2"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2" t="n"/>
      <c r="D187" s="2" t="inlineStr">
        <is>
          <t>พ.ร.บ. เครื่องสำอาง พ.ศ. 2558</t>
        </is>
      </c>
      <c r="E187" s="2" t="inlineStr">
        <is>
          <t>พ.ร.บ. หลักประกันสุขภาพแห่งชาติ พ.ศ. 2545</t>
        </is>
      </c>
      <c r="F187" s="2" t="inlineStr">
        <is>
          <t>การปฏิบัติทางเภสัชกรรมชุมชน (Good Pharmacy Practice: GPP)</t>
        </is>
      </c>
      <c r="G187" s="2" t="inlineStr">
        <is>
          <t>บัญชียาหลักแห่งชาติ (National List of Essential Medicines: NLEM)</t>
        </is>
      </c>
      <c r="H187" s="2" t="inlineStr">
        <is>
          <t>เกณฑ์จริยธรรมว่าด้วยการส่งเสริมการขายยาของกระทรวงสาธารณสุข</t>
        </is>
      </c>
      <c r="I187" s="2" t="n">
        <v>1</v>
      </c>
      <c r="J18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2" t="n"/>
      <c r="L187" s="2" t="inlineStr">
        <is>
          <t>พ.ร.บ. ยา พ.ศ. 2510</t>
        </is>
      </c>
      <c r="M187" s="2" t="inlineStr">
        <is>
          <t>SAP</t>
        </is>
      </c>
      <c r="N187" s="2" t="inlineStr">
        <is>
          <t>ข้อ 71 (PLE_CC1_2557.md)</t>
        </is>
      </c>
      <c r="O187" s="2" t="inlineStr">
        <is>
          <t>ข้อสอบจริง</t>
        </is>
      </c>
      <c r="P187" s="2" t="inlineStr">
        <is>
          <t>ปี 2557</t>
        </is>
      </c>
    </row>
    <row r="188" ht="13.2" customHeight="1" s="49">
      <c r="A188" s="2" t="n">
        <v>186</v>
      </c>
      <c r="B188" s="2"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2" t="n"/>
      <c r="D188" s="2" t="inlineStr">
        <is>
          <t>บัญชียาหลักแห่งชาติ (National List of Essential Medicines: NLEM)</t>
        </is>
      </c>
      <c r="E188" s="2" t="inlineStr">
        <is>
          <t>เกณฑ์จริยธรรมว่าด้วยการส่งเสริมการขายยาของกระทรวงสาธารณสุข</t>
        </is>
      </c>
      <c r="F188" s="2" t="inlineStr">
        <is>
          <t>พ.ร.บ. ยา พ.ศ. 2510 (การจำหน่ายยาอันตรายและยาควบคุมพิเศษ)</t>
        </is>
      </c>
      <c r="G188" s="2" t="inlineStr">
        <is>
          <t>พ.ร.บ. ยาเสพติดให้โทษ พ.ศ. 2522 (ยาเสพติดให้โทษประเภท 2 และ 3)</t>
        </is>
      </c>
      <c r="H188" s="2" t="inlineStr">
        <is>
          <t>พ.ร.บ. วัตถุที่ออกฤทธิ์ต่อจิตและประสาท พ.ศ. 2559 (ประเภท 2 และ 4)</t>
        </is>
      </c>
      <c r="I188" s="2" t="n">
        <v>1</v>
      </c>
      <c r="J188" s="2"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2" t="n"/>
      <c r="L188" s="2" t="inlineStr">
        <is>
          <t>พ.ร.บ. ยา พ.ศ. 2510</t>
        </is>
      </c>
      <c r="M188" s="2" t="inlineStr">
        <is>
          <t>SAP</t>
        </is>
      </c>
      <c r="N188" s="2" t="inlineStr">
        <is>
          <t>ข้อ 90 (PLE_CC1_2557.md)</t>
        </is>
      </c>
      <c r="O188" s="2" t="inlineStr">
        <is>
          <t>ข้อสอบจริง</t>
        </is>
      </c>
      <c r="P188" s="2" t="inlineStr">
        <is>
          <t>ปี 2557</t>
        </is>
      </c>
    </row>
    <row r="189" ht="13.2" customHeight="1" s="49">
      <c r="A189" s="2" t="n">
        <v>187</v>
      </c>
      <c r="B189" s="2"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2" t="n"/>
      <c r="D189" s="2" t="inlineStr">
        <is>
          <t>พ.ร.บ. ยาเสพติดให้โทษ พ.ศ. 2522 (ยาเสพติดให้โทษประเภท 2 และ 3)</t>
        </is>
      </c>
      <c r="E189" s="2" t="inlineStr">
        <is>
          <t>พ.ร.บ. วัตถุที่ออกฤทธิ์ต่อจิตและประสาท พ.ศ. 2559 (ประเภท 2 และ 4)</t>
        </is>
      </c>
      <c r="F189" s="2" t="inlineStr">
        <is>
          <t>พ.ร.บ. วิชาชีพเภสัชกรรม พ.ศ. 2537 และข้อบังคับจรรยาบรรณวิชาชีพ</t>
        </is>
      </c>
      <c r="G189" s="2" t="inlineStr">
        <is>
          <t>พ.ร.บ. ผลิตภัณฑ์สมุนไพร พ.ศ. 2562</t>
        </is>
      </c>
      <c r="H189" s="2" t="inlineStr">
        <is>
          <t>พ.ร.บ. เครื่องสำอาง พ.ศ. 2558</t>
        </is>
      </c>
      <c r="I189" s="2" t="n">
        <v>1</v>
      </c>
      <c r="J18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2" t="n"/>
      <c r="L189" s="2" t="inlineStr">
        <is>
          <t>พ.ร.บ. ยา พ.ศ. 2510</t>
        </is>
      </c>
      <c r="M189" s="2" t="inlineStr">
        <is>
          <t>SAP</t>
        </is>
      </c>
      <c r="N189" s="2" t="inlineStr">
        <is>
          <t>ข้อ 94 (PLE_CC1_2557.md)</t>
        </is>
      </c>
      <c r="O189" s="2" t="inlineStr">
        <is>
          <t>ข้อสอบจริง</t>
        </is>
      </c>
      <c r="P189" s="2" t="inlineStr">
        <is>
          <t>ปี 2557</t>
        </is>
      </c>
    </row>
    <row r="190" ht="13.2" customHeight="1" s="49">
      <c r="A190" s="2" t="n">
        <v>188</v>
      </c>
      <c r="B190" s="2"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2" t="n"/>
      <c r="D190" s="2" t="inlineStr">
        <is>
          <t>พ.ร.บ. ผลิตภัณฑ์สมุนไพร พ.ศ. 2562</t>
        </is>
      </c>
      <c r="E190" s="2" t="inlineStr">
        <is>
          <t>พ.ร.บ. เครื่องสำอาง พ.ศ. 2558</t>
        </is>
      </c>
      <c r="F190" s="2" t="inlineStr">
        <is>
          <t>พ.ร.บ. หลักประกันสุขภาพแห่งชาติ พ.ศ. 2545</t>
        </is>
      </c>
      <c r="G190" s="2" t="inlineStr">
        <is>
          <t>การปฏิบัติทางเภสัชกรรมชุมชน (Good Pharmacy Practice: GPP)</t>
        </is>
      </c>
      <c r="H190" s="2" t="inlineStr">
        <is>
          <t>บัญชียาหลักแห่งชาติ (National List of Essential Medicines: NLEM)</t>
        </is>
      </c>
      <c r="I190" s="2" t="n">
        <v>1</v>
      </c>
      <c r="J19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2" t="n"/>
      <c r="L190" s="2" t="inlineStr">
        <is>
          <t>พ.ร.บ. ยา พ.ศ. 2510</t>
        </is>
      </c>
      <c r="M190" s="2" t="inlineStr">
        <is>
          <t>SAP</t>
        </is>
      </c>
      <c r="N190" s="2" t="inlineStr">
        <is>
          <t>ข้อ 6 (PLE_CC1_2556.md)</t>
        </is>
      </c>
      <c r="O190" s="2" t="inlineStr">
        <is>
          <t>ข้อสอบจริง</t>
        </is>
      </c>
      <c r="P190" s="2" t="inlineStr">
        <is>
          <t>ปี 2556</t>
        </is>
      </c>
    </row>
    <row r="191" ht="13.2" customHeight="1" s="49">
      <c r="A191" s="2" t="n">
        <v>189</v>
      </c>
      <c r="B191" s="2" t="inlineStr">
        <is>
          <t>กระบวนการใดในการควบคุมคุณภาพที่บ่งบอกถึงประสิทธิภาพในการรักษาของ warfarin</t>
        </is>
      </c>
      <c r="C191" s="2" t="n"/>
      <c r="D191" s="2" t="inlineStr">
        <is>
          <t>Friability</t>
        </is>
      </c>
      <c r="E191" s="2" t="inlineStr">
        <is>
          <t>Dissolution</t>
        </is>
      </c>
      <c r="F191" s="2" t="inlineStr">
        <is>
          <t>Disintegration</t>
        </is>
      </c>
      <c r="G191" s="2" t="inlineStr">
        <is>
          <t>Hardness</t>
        </is>
      </c>
      <c r="H191" s="2" t="inlineStr">
        <is>
          <t>Content uniformity</t>
        </is>
      </c>
      <c r="I191" s="2" t="n">
        <v>1</v>
      </c>
      <c r="J191" s="2"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2" t="n"/>
      <c r="L191" s="2" t="inlineStr">
        <is>
          <t>พ.ร.บ. ยา พ.ศ. 2510</t>
        </is>
      </c>
      <c r="M191" s="2" t="inlineStr">
        <is>
          <t>SAP</t>
        </is>
      </c>
      <c r="N191" s="2" t="inlineStr">
        <is>
          <t>ข้อ 3 (PLE_CC1_2555 Day 1.md)</t>
        </is>
      </c>
      <c r="O191" s="2" t="inlineStr">
        <is>
          <t>ข้อสอบจริง</t>
        </is>
      </c>
      <c r="P191" s="2" t="inlineStr">
        <is>
          <t>ปี 2555</t>
        </is>
      </c>
    </row>
    <row r="192" ht="13.2" customHeight="1" s="49">
      <c r="A192" s="2" t="n">
        <v>190</v>
      </c>
      <c r="B192" s="2" t="inlineStr">
        <is>
          <t>ยา warfarin ตรวจสอบแล้วพบว่าสถานที่ที่ระบุในฉลากไม่ใช่สถานที่ผลิตจริง ถือว่าเป็นยาประเภทใด ตามกฎหมาย</t>
        </is>
      </c>
      <c r="C192" s="2" t="n"/>
      <c r="D192" s="2" t="inlineStr">
        <is>
          <t>ยาเสื่อมคุณภาพ</t>
        </is>
      </c>
      <c r="E192" s="2" t="inlineStr">
        <is>
          <t>ยาผิดมาตรฐาน</t>
        </is>
      </c>
      <c r="F192" s="2" t="inlineStr">
        <is>
          <t>ยาปลอม</t>
        </is>
      </c>
      <c r="G192" s="2" t="inlineStr">
        <is>
          <t>ยาไม่ได้ขึ้นทะเบียนตำรับ</t>
        </is>
      </c>
      <c r="H192" s="2" t="inlineStr">
        <is>
          <t>ยาเพิกถอนทะเบียนตำรับ 2 3 4 คณะเภสัชศาสตร์</t>
        </is>
      </c>
      <c r="I192" s="2" t="n">
        <v>1</v>
      </c>
      <c r="J192" s="2"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2" t="n"/>
      <c r="L192" s="2" t="inlineStr">
        <is>
          <t>พ.ร.บ. ยา พ.ศ. 2510</t>
        </is>
      </c>
      <c r="M192" s="2" t="inlineStr">
        <is>
          <t>SAP</t>
        </is>
      </c>
      <c r="N192" s="2" t="inlineStr">
        <is>
          <t>ข้อ 10 (PLE_CC1_2555 Day 1.md)</t>
        </is>
      </c>
      <c r="O192" s="2" t="inlineStr">
        <is>
          <t>ข้อสอบจริง</t>
        </is>
      </c>
      <c r="P192" s="2" t="inlineStr">
        <is>
          <t>ปี 2555</t>
        </is>
      </c>
    </row>
    <row r="193" ht="13.2" customHeight="1" s="49">
      <c r="A193" s="2" t="n">
        <v>191</v>
      </c>
      <c r="B193" s="2" t="inlineStr">
        <is>
          <t>ยาเม็ด prednisolone 5 mg จัดเป็นยาประเภทใดตามกฎหมาย</t>
        </is>
      </c>
      <c r="C193" s="2" t="n"/>
      <c r="D193" s="2" t="inlineStr">
        <is>
          <t>ยาสามัญประจำบ้าน</t>
        </is>
      </c>
      <c r="E193" s="2" t="inlineStr">
        <is>
          <t>ยาแผนปัจจุบันบรรจุเสร็จที่ไม่ใช่ยาอันตรายและยาควบคุมพิเศษ</t>
        </is>
      </c>
      <c r="F193" s="2" t="inlineStr">
        <is>
          <t>ยาอันตราย</t>
        </is>
      </c>
      <c r="G193" s="2" t="inlineStr">
        <is>
          <t>ยาควบคุมพิเศษ</t>
        </is>
      </c>
      <c r="H193" s="2" t="inlineStr">
        <is>
          <t>ยาเสพติดให้โทษประเภทที่ 3 คณะเภสัชศาสตร์</t>
        </is>
      </c>
      <c r="I193" s="2" t="n">
        <v>1</v>
      </c>
      <c r="J193"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2" t="n"/>
      <c r="L193" s="2" t="inlineStr">
        <is>
          <t>พ.ร.บ. ยา พ.ศ. 2510</t>
        </is>
      </c>
      <c r="M193" s="2" t="inlineStr">
        <is>
          <t>SAP</t>
        </is>
      </c>
      <c r="N193" s="2" t="inlineStr">
        <is>
          <t>ข้อ 40 (PLE_CC1_2555 Day 1.md)</t>
        </is>
      </c>
      <c r="O193" s="2" t="inlineStr">
        <is>
          <t>ข้อสอบจริง</t>
        </is>
      </c>
      <c r="P193" s="2" t="inlineStr">
        <is>
          <t>ปี 2555</t>
        </is>
      </c>
    </row>
    <row r="194" ht="13.2" customHeight="1" s="49">
      <c r="A194" s="2" t="n">
        <v>192</v>
      </c>
      <c r="B194" s="2" t="inlineStr">
        <is>
          <t>ยาคุมกำเนิดแบบ triphasic จัดเป็นยาคุมกำเนิดประเภทใดตามกฎหมาย</t>
        </is>
      </c>
      <c r="C194" s="2" t="n"/>
      <c r="D194" s="2" t="inlineStr">
        <is>
          <t>ยาสามัญประจำบ้าน</t>
        </is>
      </c>
      <c r="E194" s="2" t="inlineStr">
        <is>
          <t>ยาแผนปัจจุบันบรรจุเสร็จที่ไม่ใช่ยาอันตรายและยาควบคุมพิเศษ</t>
        </is>
      </c>
      <c r="F194" s="2" t="inlineStr">
        <is>
          <t>ยาอันตราย</t>
        </is>
      </c>
      <c r="G194" s="2" t="inlineStr">
        <is>
          <t>ยาควบคุมพิเศษ</t>
        </is>
      </c>
      <c r="H194" s="2" t="inlineStr">
        <is>
          <t>ยาเสพติดให้โทษประเภทที่ 3</t>
        </is>
      </c>
      <c r="I194" s="2" t="n">
        <v>1</v>
      </c>
      <c r="J194"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2" t="n"/>
      <c r="L194" s="2" t="inlineStr">
        <is>
          <t>พ.ร.บ. ยา พ.ศ. 2510</t>
        </is>
      </c>
      <c r="M194" s="2" t="inlineStr">
        <is>
          <t>SAP</t>
        </is>
      </c>
      <c r="N194" s="2" t="inlineStr">
        <is>
          <t>ข้อ 78 (PLE_CC1_2555 Day 1.md)</t>
        </is>
      </c>
      <c r="O194" s="2" t="inlineStr">
        <is>
          <t>ข้อสอบจริง</t>
        </is>
      </c>
      <c r="P194" s="2" t="inlineStr">
        <is>
          <t>ปี 2555</t>
        </is>
      </c>
    </row>
    <row r="195" ht="13.2" customHeight="1" s="49">
      <c r="A195" s="2" t="n">
        <v>193</v>
      </c>
      <c r="B195"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2" t="n"/>
      <c r="D195" s="2" t="inlineStr">
        <is>
          <t>เกณฑ์จริยธรรมว่าด้วยการส่งเสริมการขายยาของกระทรวงสาธารณสุข</t>
        </is>
      </c>
      <c r="E195" s="2" t="inlineStr">
        <is>
          <t>พ.ร.บ. ยา พ.ศ. 2510 (การจำหน่ายยาอันตรายและยาควบคุมพิเศษ)</t>
        </is>
      </c>
      <c r="F195" s="2" t="inlineStr">
        <is>
          <t>พ.ร.บ. ยาเสพติดให้โทษ พ.ศ. 2522 (ยาเสพติดให้โทษประเภท 2 และ 3)</t>
        </is>
      </c>
      <c r="G195" s="2" t="inlineStr">
        <is>
          <t>พ.ร.บ. วัตถุที่ออกฤทธิ์ต่อจิตและประสาท พ.ศ. 2559 (ประเภท 2 และ 4)</t>
        </is>
      </c>
      <c r="H195" s="2" t="inlineStr">
        <is>
          <t>พ.ร.บ. วิชาชีพเภสัชกรรม พ.ศ. 2537 และข้อบังคับจรรยาบรรณวิชาชีพ</t>
        </is>
      </c>
      <c r="I195" s="2" t="n">
        <v>1</v>
      </c>
      <c r="J19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2" t="n"/>
      <c r="L195" s="2" t="inlineStr">
        <is>
          <t>พ.ร.บ. ยา พ.ศ. 2510</t>
        </is>
      </c>
      <c r="M195" s="2" t="inlineStr">
        <is>
          <t>SAP</t>
        </is>
      </c>
      <c r="N195" s="2" t="inlineStr">
        <is>
          <t>ข้อ 10 (PLE_CC1_2555 Day 2.md)</t>
        </is>
      </c>
      <c r="O195" s="2" t="inlineStr">
        <is>
          <t>ข้อสอบจริง</t>
        </is>
      </c>
      <c r="P195" s="2" t="inlineStr">
        <is>
          <t>ปี 2555</t>
        </is>
      </c>
    </row>
    <row r="196" ht="13.2" customHeight="1" s="49">
      <c r="A196" s="2" t="n">
        <v>194</v>
      </c>
      <c r="B196" s="2" t="inlineStr">
        <is>
          <t>ประสิทธิภาพการรักษา</t>
        </is>
      </c>
      <c r="C196" s="2" t="n"/>
      <c r="D196" s="2" t="inlineStr">
        <is>
          <t>พ.ร.บ. วัตถุที่ออกฤทธิ์ต่อจิตและประสาท พ.ศ. 2559 (ประเภท 2 และ 4)</t>
        </is>
      </c>
      <c r="E196" s="2" t="inlineStr">
        <is>
          <t>พ.ร.บ. วิชาชีพเภสัชกรรม พ.ศ. 2537 และข้อบังคับจรรยาบรรณวิชาชีพ</t>
        </is>
      </c>
      <c r="F196" s="2" t="inlineStr">
        <is>
          <t>พ.ร.บ. ผลิตภัณฑ์สมุนไพร พ.ศ. 2562</t>
        </is>
      </c>
      <c r="G196" s="2" t="inlineStr">
        <is>
          <t>พ.ร.บ. เครื่องสำอาง พ.ศ. 2558</t>
        </is>
      </c>
      <c r="H196" s="2" t="inlineStr">
        <is>
          <t>พ.ร.บ. หลักประกันสุขภาพแห่งชาติ พ.ศ. 2545</t>
        </is>
      </c>
      <c r="I196" s="2" t="n">
        <v>1</v>
      </c>
      <c r="J19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2" t="n"/>
      <c r="L196" s="2" t="inlineStr">
        <is>
          <t>พ.ร.บ. ยา พ.ศ. 2510</t>
        </is>
      </c>
      <c r="M196" s="2" t="inlineStr">
        <is>
          <t>SAP</t>
        </is>
      </c>
      <c r="N196" s="2" t="inlineStr">
        <is>
          <t>ข้อ 4 (PLE_CC1_2555 Day 2.md)</t>
        </is>
      </c>
      <c r="O196" s="2" t="inlineStr">
        <is>
          <t>ข้อสอบจริง</t>
        </is>
      </c>
      <c r="P196" s="2" t="inlineStr">
        <is>
          <t>ปี 2555</t>
        </is>
      </c>
    </row>
    <row r="197" ht="13.2" customHeight="1" s="49">
      <c r="A197" s="2" t="n">
        <v>195</v>
      </c>
      <c r="B197" s="2" t="inlineStr">
        <is>
          <t>Triphasic hormonal contraceptives จัดเป็นยาประเภทใดตามกฎหมาย</t>
        </is>
      </c>
      <c r="C197" s="2" t="n"/>
      <c r="D197" s="2" t="inlineStr">
        <is>
          <t>พ.ร.บ. เครื่องสำอาง พ.ศ. 2558</t>
        </is>
      </c>
      <c r="E197" s="2" t="inlineStr">
        <is>
          <t>พ.ร.บ. หลักประกันสุขภาพแห่งชาติ พ.ศ. 2545</t>
        </is>
      </c>
      <c r="F197" s="2" t="inlineStr">
        <is>
          <t>การปฏิบัติทางเภสัชกรรมชุมชน (Good Pharmacy Practice: GPP)</t>
        </is>
      </c>
      <c r="G197" s="2" t="inlineStr">
        <is>
          <t>บัญชียาหลักแห่งชาติ (National List of Essential Medicines: NLEM)</t>
        </is>
      </c>
      <c r="H197" s="2" t="inlineStr">
        <is>
          <t>เกณฑ์จริยธรรมว่าด้วยการส่งเสริมการขายยาของกระทรวงสาธารณสุข</t>
        </is>
      </c>
      <c r="I197" s="2" t="n">
        <v>1</v>
      </c>
      <c r="J19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2" t="n"/>
      <c r="L197" s="2" t="inlineStr">
        <is>
          <t>พ.ร.บ. ยา พ.ศ. 2510</t>
        </is>
      </c>
      <c r="M197" s="2" t="inlineStr">
        <is>
          <t>SAP</t>
        </is>
      </c>
      <c r="N197" s="2" t="inlineStr">
        <is>
          <t>ข้อ 6 (PLE_CC1_2555 Day 2.md)</t>
        </is>
      </c>
      <c r="O197" s="2" t="inlineStr">
        <is>
          <t>ข้อสอบจริง</t>
        </is>
      </c>
      <c r="P197" s="2" t="inlineStr">
        <is>
          <t>ปี 2555</t>
        </is>
      </c>
    </row>
    <row r="198" ht="13.2" customHeight="1" s="49">
      <c r="A198" s="2" t="n">
        <v>196</v>
      </c>
      <c r="B198" s="2"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2" t="n"/>
      <c r="D198" s="2" t="inlineStr">
        <is>
          <t>บัญชียาหลักแห่งชาติ (National List of Essential Medicines: NLEM)</t>
        </is>
      </c>
      <c r="E198" s="2" t="inlineStr">
        <is>
          <t>เกณฑ์จริยธรรมว่าด้วยการส่งเสริมการขายยาของกระทรวงสาธารณสุข</t>
        </is>
      </c>
      <c r="F198" s="2" t="inlineStr">
        <is>
          <t>พ.ร.บ. ยา พ.ศ. 2510 (การจำหน่ายยาอันตรายและยาควบคุมพิเศษ)</t>
        </is>
      </c>
      <c r="G198" s="2" t="inlineStr">
        <is>
          <t>พ.ร.บ. ยาเสพติดให้โทษ พ.ศ. 2522 (ยาเสพติดให้โทษประเภท 2 และ 3)</t>
        </is>
      </c>
      <c r="H198" s="2" t="inlineStr">
        <is>
          <t>พ.ร.บ. วัตถุที่ออกฤทธิ์ต่อจิตและประสาท พ.ศ. 2559 (ประเภท 2 และ 4)</t>
        </is>
      </c>
      <c r="I198" s="2" t="n">
        <v>1</v>
      </c>
      <c r="J19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พ.ร.บ. ยา พ.ศ. 2510</t>
        </is>
      </c>
      <c r="M198" s="2" t="inlineStr">
        <is>
          <t>SAP</t>
        </is>
      </c>
      <c r="N198" s="2" t="inlineStr">
        <is>
          <t>ข้อ 1 (PLE_CC1_2555 Day 2.md)</t>
        </is>
      </c>
      <c r="O198" s="2" t="inlineStr">
        <is>
          <t>ข้อสอบจริง</t>
        </is>
      </c>
      <c r="P198" s="2" t="inlineStr">
        <is>
          <t>ปี 2555</t>
        </is>
      </c>
    </row>
    <row r="199" ht="13.2" customHeight="1" s="49">
      <c r="A199" s="2" t="n">
        <v>197</v>
      </c>
      <c r="B199" s="2" t="inlineStr">
        <is>
          <t>การใช้ racemic mixture มีประสิทธิผลดีสุด</t>
        </is>
      </c>
      <c r="C199" s="2" t="n"/>
      <c r="D199" s="2" t="inlineStr">
        <is>
          <t>พ.ร.บ. ยาเสพติดให้โทษ พ.ศ. 2522 (ยาเสพติดให้โทษประเภท 2 และ 3)</t>
        </is>
      </c>
      <c r="E199" s="2" t="inlineStr">
        <is>
          <t>พ.ร.บ. วัตถุที่ออกฤทธิ์ต่อจิตและประสาท พ.ศ. 2559 (ประเภท 2 และ 4)</t>
        </is>
      </c>
      <c r="F199" s="2" t="inlineStr">
        <is>
          <t>พ.ร.บ. วิชาชีพเภสัชกรรม พ.ศ. 2537 และข้อบังคับจรรยาบรรณวิชาชีพ</t>
        </is>
      </c>
      <c r="G199" s="2" t="inlineStr">
        <is>
          <t>พ.ร.บ. ผลิตภัณฑ์สมุนไพร พ.ศ. 2562</t>
        </is>
      </c>
      <c r="H199" s="2" t="inlineStr">
        <is>
          <t>พ.ร.บ. เครื่องสำอาง พ.ศ. 2558</t>
        </is>
      </c>
      <c r="I199" s="2" t="n">
        <v>1</v>
      </c>
      <c r="J19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2" t="n"/>
      <c r="L199" s="2" t="inlineStr">
        <is>
          <t>พ.ร.บ. ยา พ.ศ. 2510</t>
        </is>
      </c>
      <c r="M199" s="2" t="inlineStr">
        <is>
          <t>SAP</t>
        </is>
      </c>
      <c r="N199" s="2" t="inlineStr">
        <is>
          <t>ข้อ 3 (PLE_CC1_2555 Day 2.md)</t>
        </is>
      </c>
      <c r="O199" s="2" t="inlineStr">
        <is>
          <t>ข้อสอบจริง</t>
        </is>
      </c>
      <c r="P199" s="2" t="inlineStr">
        <is>
          <t>ปี 2555</t>
        </is>
      </c>
    </row>
    <row r="200" ht="13.2" customHeight="1" s="49">
      <c r="A200" s="2" t="n">
        <v>198</v>
      </c>
      <c r="B200" s="2" t="inlineStr">
        <is>
          <t>metrothexate จัดเป็นยาประเภทใดตามกฎหมาย</t>
        </is>
      </c>
      <c r="C200" s="2" t="n"/>
      <c r="D200" s="2" t="inlineStr">
        <is>
          <t>ยาอันตราย</t>
        </is>
      </c>
      <c r="E200" s="2" t="inlineStr">
        <is>
          <t>ยาควบคุมพิเศษ</t>
        </is>
      </c>
      <c r="F200" s="2" t="inlineStr">
        <is>
          <t>ยาสามัญประจำบ้าน</t>
        </is>
      </c>
      <c r="G200" s="2" t="inlineStr">
        <is>
          <t>ยาเสพติดให้โทษ ประเภทที่ 3</t>
        </is>
      </c>
      <c r="H200" s="2"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t>
        </is>
      </c>
      <c r="I200" s="2" t="n">
        <v>1</v>
      </c>
      <c r="J2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2" t="n"/>
      <c r="L200" s="2" t="inlineStr">
        <is>
          <t>พ.ร.บ. ยา พ.ศ. 2510</t>
        </is>
      </c>
      <c r="M200" s="2" t="inlineStr">
        <is>
          <t>SAP</t>
        </is>
      </c>
      <c r="N200" s="2" t="inlineStr">
        <is>
          <t>ข้อ 110 (PLE_CC1_2554 SET1.md)</t>
        </is>
      </c>
      <c r="O200" s="2" t="inlineStr">
        <is>
          <t>ข้อสอบจริง</t>
        </is>
      </c>
      <c r="P200" s="2" t="inlineStr">
        <is>
          <t>ปี 2554</t>
        </is>
      </c>
    </row>
    <row r="201" ht="13.2" customHeight="1" s="49">
      <c r="A201" s="2" t="n">
        <v>199</v>
      </c>
      <c r="B201" s="2"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2" t="n"/>
      <c r="D201" s="2" t="inlineStr">
        <is>
          <t>การปฏิบัติทางเภสัชกรรมชุมชน (Good Pharmacy Practice: GPP)</t>
        </is>
      </c>
      <c r="E201" s="2" t="inlineStr">
        <is>
          <t>บัญชียาหลักแห่งชาติ (National List of Essential Medicines: NLEM)</t>
        </is>
      </c>
      <c r="F201" s="2" t="inlineStr">
        <is>
          <t>เกณฑ์จริยธรรมว่าด้วยการส่งเสริมการขายยาของกระทรวงสาธารณสุข</t>
        </is>
      </c>
      <c r="G201" s="2" t="inlineStr">
        <is>
          <t>พ.ร.บ. ยา พ.ศ. 2510 (การจำหน่ายยาอันตรายและยาควบคุมพิเศษ)</t>
        </is>
      </c>
      <c r="H201" s="2" t="inlineStr">
        <is>
          <t>พ.ร.บ. ยาเสพติดให้โทษ พ.ศ. 2522 (ยาเสพติดให้โทษประเภท 2 และ 3)</t>
        </is>
      </c>
      <c r="I201" s="2" t="n">
        <v>5</v>
      </c>
      <c r="J20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2" t="n"/>
      <c r="L201" s="2" t="inlineStr">
        <is>
          <t>พ.ร.บ. ยา พ.ศ. 2510</t>
        </is>
      </c>
      <c r="M201" s="2" t="inlineStr">
        <is>
          <t>SAP</t>
        </is>
      </c>
      <c r="N201" s="2" t="inlineStr">
        <is>
          <t>ข้อ 4 (PLE_CC1_2554 SET2.md)</t>
        </is>
      </c>
      <c r="O201" s="2" t="inlineStr">
        <is>
          <t>ข้อสอบจริง</t>
        </is>
      </c>
      <c r="P201" s="2" t="inlineStr">
        <is>
          <t>ปี 2554</t>
        </is>
      </c>
    </row>
    <row r="202" ht="13.2" customHeight="1" s="49">
      <c r="A202" s="2" t="n">
        <v>200</v>
      </c>
      <c r="B202" s="2" t="inlineStr">
        <is>
          <t>ควรให้ยาอะไรกับ 5-FU เพื่อเพิ่มฤทธิ์ของ 5-FU ให้มีประสิทธิภาพดีขึ้น</t>
        </is>
      </c>
      <c r="C202" s="2" t="n"/>
      <c r="D202" s="2" t="inlineStr">
        <is>
          <t>Leucovorin</t>
        </is>
      </c>
      <c r="E202" s="2" t="inlineStr">
        <is>
          <t>Ifosfamide</t>
        </is>
      </c>
      <c r="F202" s="2" t="inlineStr">
        <is>
          <t>Cisplatin</t>
        </is>
      </c>
      <c r="G202" s="2" t="inlineStr">
        <is>
          <t>Docetaxel</t>
        </is>
      </c>
      <c r="H202" s="2" t="inlineStr">
        <is>
          <t>Bleomycin จะยับยั้งการแบ่งเซลล์ของเซลล์มะเร็งทำให้ไม่มีการเพิ่มขึ้นของเซลล์มะเร็งและทำให้ก้อนมะเร็งลดลง</t>
        </is>
      </c>
      <c r="I202" s="2" t="n">
        <v>1</v>
      </c>
      <c r="J202" s="2"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2" t="n"/>
      <c r="L202" s="2" t="inlineStr">
        <is>
          <t>พ.ร.บ. ยา พ.ศ. 2510</t>
        </is>
      </c>
      <c r="M202" s="2" t="inlineStr">
        <is>
          <t>SAP</t>
        </is>
      </c>
      <c r="N202" s="2" t="inlineStr">
        <is>
          <t>ข้อ 6 (PLE_CC1_2554 SET2.md)</t>
        </is>
      </c>
      <c r="O202" s="2" t="inlineStr">
        <is>
          <t>ข้อสอบจริง</t>
        </is>
      </c>
      <c r="P202" s="2" t="inlineStr">
        <is>
          <t>ปี 2554</t>
        </is>
      </c>
    </row>
    <row r="203" ht="13.2" customHeight="1" s="49">
      <c r="A203" s="2" t="n">
        <v>201</v>
      </c>
      <c r="B203" s="2"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2" t="n"/>
      <c r="D203" s="2" t="inlineStr">
        <is>
          <t>มีการผสมตัวยา ciprofloxacin ด้วย</t>
        </is>
      </c>
      <c r="E203" s="2" t="inlineStr">
        <is>
          <t>ตรวจพบปริมาณ norfloxacinเพียง 70% เท่านั้น</t>
        </is>
      </c>
      <c r="F203" s="2" t="inlineStr">
        <is>
          <t>ที่ฉลากระบุว่าเป็นยา ofloxacin</t>
        </is>
      </c>
      <c r="G203" s="2" t="inlineStr">
        <is>
          <t>ที่ฉลากแสดงเครื่องหมายของผู้ผลิตซึ่งมิใช่ความจริง</t>
        </is>
      </c>
      <c r="H203" s="2"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t>
        </is>
      </c>
      <c r="I203" s="2" t="n">
        <v>1</v>
      </c>
      <c r="J203"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2" t="n"/>
      <c r="L203" s="2" t="inlineStr">
        <is>
          <t>พ.ร.บ. ยา พ.ศ. 2510</t>
        </is>
      </c>
      <c r="M203" s="2" t="inlineStr">
        <is>
          <t>SAP</t>
        </is>
      </c>
      <c r="N203" s="2" t="inlineStr">
        <is>
          <t>ข้อ 2 (PLE_CC1_2554 SET2.md)</t>
        </is>
      </c>
      <c r="O203" s="2" t="inlineStr">
        <is>
          <t>ข้อสอบจริง</t>
        </is>
      </c>
      <c r="P203" s="2" t="inlineStr">
        <is>
          <t>ปี 2554</t>
        </is>
      </c>
    </row>
    <row r="204" ht="13.2" customHeight="1" s="49">
      <c r="A204" s="2" t="n">
        <v>202</v>
      </c>
      <c r="B204" s="2"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2" t="n"/>
      <c r="D204" s="2" t="inlineStr">
        <is>
          <t>simvastatinกับ niacin</t>
        </is>
      </c>
      <c r="E204" s="2" t="inlineStr">
        <is>
          <t>atorvastatinกับgemfibrozil</t>
        </is>
      </c>
      <c r="F204" s="2" t="inlineStr">
        <is>
          <t>niacinกับgemfibrozil</t>
        </is>
      </c>
      <c r="G204" s="2" t="inlineStr">
        <is>
          <t>simvastatinกับezetimibe</t>
        </is>
      </c>
      <c r="H204" s="2" t="inlineStr">
        <is>
          <t>simvastatinกับfenofibrate</t>
        </is>
      </c>
      <c r="I204" s="2" t="n">
        <v>1</v>
      </c>
      <c r="J204" s="2"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2" t="n"/>
      <c r="L204" s="2" t="inlineStr">
        <is>
          <t>พ.ร.บ. ยา พ.ศ. 2510</t>
        </is>
      </c>
      <c r="M204" s="2" t="inlineStr">
        <is>
          <t>SAP</t>
        </is>
      </c>
      <c r="N204" s="2" t="inlineStr">
        <is>
          <t>ข้อ 3 (PLE_CC1_2554 SET2.md)</t>
        </is>
      </c>
      <c r="O204" s="2" t="inlineStr">
        <is>
          <t>ข้อสอบจริง</t>
        </is>
      </c>
      <c r="P204" s="2" t="inlineStr">
        <is>
          <t>ปี 2554</t>
        </is>
      </c>
    </row>
    <row r="205" ht="13.2" customHeight="1" s="49">
      <c r="A205" s="2" t="n">
        <v>203</v>
      </c>
      <c r="B205" s="2" t="inlineStr">
        <is>
          <t>alcohol 70% ขนาด 30 มิลลิลิตร จัดเป็นยาใดในกฎหมาย</t>
        </is>
      </c>
      <c r="C205" s="2" t="n"/>
      <c r="D205" s="2" t="inlineStr">
        <is>
          <t>ยาสามัญประจำบ้าน ข . ยาอันตราย ค . ยาควบคุมพิเศษ</t>
        </is>
      </c>
      <c r="E205" s="2" t="inlineStr">
        <is>
          <t>วัตถุออกฤทธิ์ต่อจิตและประสาท</t>
        </is>
      </c>
      <c r="F205" s="2"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2" t="inlineStr">
        <is>
          <t>กล่องเสียงอักเสบ</t>
        </is>
      </c>
      <c r="H205" s="2" t="inlineStr">
        <is>
          <t>คอพอก</t>
        </is>
      </c>
      <c r="I205" s="2" t="n">
        <v>1</v>
      </c>
      <c r="J205" s="2"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2" t="n"/>
      <c r="L205" s="2" t="inlineStr">
        <is>
          <t>พ.ร.บ. ยา พ.ศ. 2510</t>
        </is>
      </c>
      <c r="M205" s="2" t="inlineStr">
        <is>
          <t>SAP</t>
        </is>
      </c>
      <c r="N205" s="2" t="inlineStr">
        <is>
          <t>ข้อ 30 (PLE_CC1_2554 SET2.md)</t>
        </is>
      </c>
      <c r="O205" s="2" t="inlineStr">
        <is>
          <t>ข้อสอบจริง</t>
        </is>
      </c>
      <c r="P205" s="2" t="inlineStr">
        <is>
          <t>ปี 2554</t>
        </is>
      </c>
    </row>
    <row r="206" ht="13.2" customHeight="1" s="49">
      <c r="A206" s="2" t="n">
        <v>204</v>
      </c>
      <c r="B206" s="2"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2" t="n"/>
      <c r="D206" s="2" t="inlineStr">
        <is>
          <t>พ.ร.บ. วัตถุที่ออกฤทธิ์ต่อจิตและประสาท พ.ศ. 2559 (ประเภท 2 และ 4)</t>
        </is>
      </c>
      <c r="E206" s="2" t="inlineStr">
        <is>
          <t>พ.ร.บ. วิชาชีพเภสัชกรรม พ.ศ. 2537 และข้อบังคับจรรยาบรรณวิชาชีพ</t>
        </is>
      </c>
      <c r="F206" s="2" t="inlineStr">
        <is>
          <t>พ.ร.บ. ผลิตภัณฑ์สมุนไพร พ.ศ. 2562</t>
        </is>
      </c>
      <c r="G206" s="2" t="inlineStr">
        <is>
          <t>พ.ร.บ. เครื่องสำอาง พ.ศ. 2558</t>
        </is>
      </c>
      <c r="H206" s="2" t="inlineStr">
        <is>
          <t>พ.ร.บ. หลักประกันสุขภาพแห่งชาติ พ.ศ. 2545</t>
        </is>
      </c>
      <c r="I206" s="2" t="n">
        <v>1</v>
      </c>
      <c r="J20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2" t="n"/>
      <c r="L206" s="2" t="inlineStr">
        <is>
          <t>พ.ร.บ. ผลิตภัณฑ์สมุนไพร &amp; เครื่องสำอาง</t>
        </is>
      </c>
      <c r="M206" s="2" t="inlineStr">
        <is>
          <t>SAP</t>
        </is>
      </c>
      <c r="N206" s="2" t="inlineStr">
        <is>
          <t>ข้อ 10 (PLE_CC1_2533.md)</t>
        </is>
      </c>
      <c r="O206" s="2" t="inlineStr">
        <is>
          <t>ข้อสอบจริง</t>
        </is>
      </c>
      <c r="P206" s="2" t="inlineStr">
        <is>
          <t>ปี 2533</t>
        </is>
      </c>
    </row>
    <row r="207" ht="13.2" customHeight="1" s="49">
      <c r="A207" s="2" t="n">
        <v>205</v>
      </c>
      <c r="B207" s="2"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t>
        </is>
      </c>
      <c r="C207" s="2" t="n"/>
      <c r="D207" s="2" t="inlineStr">
        <is>
          <t>พ.ร.บ. เครื่องสำอาง พ.ศ. 2558</t>
        </is>
      </c>
      <c r="E207" s="2" t="inlineStr">
        <is>
          <t>พ.ร.บ. หลักประกันสุขภาพแห่งชาติ พ.ศ. 2545</t>
        </is>
      </c>
      <c r="F207" s="2" t="inlineStr">
        <is>
          <t>การปฏิบัติทางเภสัชกรรมชุมชน (Good Pharmacy Practice: GPP)</t>
        </is>
      </c>
      <c r="G207" s="2" t="inlineStr">
        <is>
          <t>บัญชียาหลักแห่งชาติ (National List of Essential Medicines: NLEM)</t>
        </is>
      </c>
      <c r="H207" s="2" t="inlineStr">
        <is>
          <t>เกณฑ์จริยธรรมว่าด้วยการส่งเสริมการขายยาของกระทรวงสาธารณสุข</t>
        </is>
      </c>
      <c r="I207" s="2" t="n">
        <v>1</v>
      </c>
      <c r="J20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2" t="n"/>
      <c r="L207" s="2" t="inlineStr">
        <is>
          <t>พ.ร.บ. ยา พ.ศ. 2510</t>
        </is>
      </c>
      <c r="M207" s="2" t="inlineStr">
        <is>
          <t>SAP</t>
        </is>
      </c>
      <c r="N207" s="2" t="inlineStr">
        <is>
          <t>ข้อ 3 (PLE_CC1_Practice_Exam.md)</t>
        </is>
      </c>
      <c r="O207" s="2" t="inlineStr">
        <is>
          <t>Mock</t>
        </is>
      </c>
      <c r="P207" s="2" t="inlineStr">
        <is>
          <t>Mock สภาเภสัชฯ Practice</t>
        </is>
      </c>
    </row>
    <row r="208" ht="13.2" customHeight="1" s="49">
      <c r="A208" s="2" t="n">
        <v>206</v>
      </c>
      <c r="B208" s="2"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2" t="n"/>
      <c r="D208" s="2" t="inlineStr">
        <is>
          <t>หากเป็นสิวระดับ mild สามารถใช้ topical retinoid ในการรักษาเพียงตัวเดียวได้</t>
        </is>
      </c>
      <c r="E208" s="2" t="inlineStr">
        <is>
          <t>หากเป็นสิวระดับ mild สามารถใช้ benzoyl peroxide ในการรักษาเพียงตัวเดียวได้</t>
        </is>
      </c>
      <c r="F208" s="2" t="inlineStr">
        <is>
          <t>Oral isotretinoid ใช้สำหรับ Severe acne เท่านั้นและห้ามใช้ในหญิงตั้งครรภ์</t>
        </is>
      </c>
      <c r="G208" s="2"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2"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t>
        </is>
      </c>
      <c r="I208" s="2" t="n">
        <v>1</v>
      </c>
      <c r="J208" s="2"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2" t="n"/>
      <c r="L208" s="2" t="inlineStr">
        <is>
          <t>พ.ร.บ. ยา พ.ศ. 2510</t>
        </is>
      </c>
      <c r="M208" s="2" t="inlineStr">
        <is>
          <t>SAP</t>
        </is>
      </c>
      <c r="N208" s="2" t="inlineStr">
        <is>
          <t>ข้อ 5 (PLE_CC1_Practice_Exam.md)</t>
        </is>
      </c>
      <c r="O208" s="2" t="inlineStr">
        <is>
          <t>Mock</t>
        </is>
      </c>
      <c r="P208" s="2" t="inlineStr">
        <is>
          <t>Mock สภาเภสัชฯ Practice</t>
        </is>
      </c>
    </row>
    <row r="209" ht="13.2" customHeight="1" s="49">
      <c r="A209" s="2" t="n">
        <v>207</v>
      </c>
      <c r="B209" s="2" t="inlineStr">
        <is>
          <t>ยาตัวไหนที่มีประสิทธิภาพในการรักษา anxiety ประเภท obsessive-compulsive disorder (OCD)</t>
        </is>
      </c>
      <c r="C209" s="2" t="n"/>
      <c r="D209" s="2" t="inlineStr">
        <is>
          <t>พ.ร.บ. ยาเสพติดให้โทษ พ.ศ. 2522 (ยาเสพติดให้โทษประเภท 2 และ 3)</t>
        </is>
      </c>
      <c r="E209" s="2" t="inlineStr">
        <is>
          <t>พ.ร.บ. วัตถุที่ออกฤทธิ์ต่อจิตและประสาท พ.ศ. 2559 (ประเภท 2 และ 4)</t>
        </is>
      </c>
      <c r="F209" s="2" t="inlineStr">
        <is>
          <t>พ.ร.บ. วิชาชีพเภสัชกรรม พ.ศ. 2537 และข้อบังคับจรรยาบรรณวิชาชีพ</t>
        </is>
      </c>
      <c r="G209" s="2" t="inlineStr">
        <is>
          <t>พ.ร.บ. ผลิตภัณฑ์สมุนไพร พ.ศ. 2562</t>
        </is>
      </c>
      <c r="H209" s="2" t="inlineStr">
        <is>
          <t>พ.ร.บ. เครื่องสำอาง พ.ศ. 2558</t>
        </is>
      </c>
      <c r="I209" s="2" t="n">
        <v>1</v>
      </c>
      <c r="J20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2" t="n"/>
      <c r="L209" s="2" t="inlineStr">
        <is>
          <t>พ.ร.บ. ยา พ.ศ. 2510</t>
        </is>
      </c>
      <c r="M209" s="2" t="inlineStr">
        <is>
          <t>SAP</t>
        </is>
      </c>
      <c r="N209" s="2" t="inlineStr">
        <is>
          <t>ข้อ 30 (PLE_CC1_Practice_Exam.md)</t>
        </is>
      </c>
      <c r="O209" s="2" t="inlineStr">
        <is>
          <t>Mock</t>
        </is>
      </c>
      <c r="P209" s="2" t="inlineStr">
        <is>
          <t>Mock สภาเภสัชฯ Practice</t>
        </is>
      </c>
    </row>
    <row r="210" ht="13.2" customHeight="1" s="49">
      <c r="A210" s="2" t="n">
        <v>208</v>
      </c>
      <c r="B210" s="2" t="inlineStr">
        <is>
          <t>Bupropion</t>
        </is>
      </c>
      <c r="C210" s="2" t="n"/>
      <c r="D210" s="2" t="inlineStr">
        <is>
          <t>พ.ร.บ. ผลิตภัณฑ์สมุนไพร พ.ศ. 2562</t>
        </is>
      </c>
      <c r="E210" s="2" t="inlineStr">
        <is>
          <t>พ.ร.บ. เครื่องสำอาง พ.ศ. 2558</t>
        </is>
      </c>
      <c r="F210" s="2" t="inlineStr">
        <is>
          <t>พ.ร.บ. หลักประกันสุขภาพแห่งชาติ พ.ศ. 2545</t>
        </is>
      </c>
      <c r="G210" s="2" t="inlineStr">
        <is>
          <t>การปฏิบัติทางเภสัชกรรมชุมชน (Good Pharmacy Practice: GPP)</t>
        </is>
      </c>
      <c r="H210" s="2" t="inlineStr">
        <is>
          <t>บัญชียาหลักแห่งชาติ (National List of Essential Medicines: NLEM)</t>
        </is>
      </c>
      <c r="I210" s="2" t="n">
        <v>3</v>
      </c>
      <c r="J210" s="2"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2" t="n"/>
      <c r="L210" s="2" t="inlineStr">
        <is>
          <t>พ.ร.บ. ยาเสพติดให้โทษ &amp; วัตถุออกฤทธิ์</t>
        </is>
      </c>
      <c r="M210" s="2" t="inlineStr">
        <is>
          <t>SAP</t>
        </is>
      </c>
      <c r="N210" s="2" t="inlineStr">
        <is>
          <t>ข้อ 5 (PLE_CC1_Practice_Exam.md)</t>
        </is>
      </c>
      <c r="O210" s="2" t="inlineStr">
        <is>
          <t>Mock</t>
        </is>
      </c>
      <c r="P210" s="2" t="inlineStr">
        <is>
          <t>Mock สภาเภสัชฯ Practice</t>
        </is>
      </c>
    </row>
    <row r="211" ht="13.2" customHeight="1" s="49">
      <c r="A211" s="2" t="n">
        <v>209</v>
      </c>
      <c r="B211" s="2"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t>
        </is>
      </c>
      <c r="C211" s="2" t="n"/>
      <c r="D211" s="2" t="inlineStr">
        <is>
          <t>การปฏิบัติทางเภสัชกรรมชุมชน (Good Pharmacy Practice: GPP)</t>
        </is>
      </c>
      <c r="E211" s="2" t="inlineStr">
        <is>
          <t>บัญชียาหลักแห่งชาติ (National List of Essential Medicines: NLEM)</t>
        </is>
      </c>
      <c r="F211" s="2" t="inlineStr">
        <is>
          <t>เกณฑ์จริยธรรมว่าด้วยการส่งเสริมการขายยาของกระทรวงสาธารณสุข</t>
        </is>
      </c>
      <c r="G211" s="2" t="inlineStr">
        <is>
          <t>พ.ร.บ. ยา พ.ศ. 2510 (การจำหน่ายยาอันตรายและยาควบคุมพิเศษ)</t>
        </is>
      </c>
      <c r="H211" s="2" t="inlineStr">
        <is>
          <t>พ.ร.บ. ยาเสพติดให้โทษ พ.ศ. 2522 (ยาเสพติดให้โทษประเภท 2 และ 3)</t>
        </is>
      </c>
      <c r="I211" s="2" t="n">
        <v>1</v>
      </c>
      <c r="J21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2" t="n"/>
      <c r="L211" s="2" t="inlineStr">
        <is>
          <t>พ.ร.บ. ยา พ.ศ. 2510</t>
        </is>
      </c>
      <c r="M211" s="2" t="inlineStr">
        <is>
          <t>SAP</t>
        </is>
      </c>
      <c r="N211" s="2" t="inlineStr">
        <is>
          <t>ข้อ 5 (PLE_CC1_Practice_Exam.md)</t>
        </is>
      </c>
      <c r="O211" s="2" t="inlineStr">
        <is>
          <t>Mock</t>
        </is>
      </c>
      <c r="P211" s="2" t="inlineStr">
        <is>
          <t>Mock สภาเภสัชฯ Practice</t>
        </is>
      </c>
    </row>
    <row r="212" ht="13.2" customHeight="1" s="49">
      <c r="A212" s="2" t="n">
        <v>210</v>
      </c>
      <c r="B212" s="2"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t>
        </is>
      </c>
      <c r="C212" s="2" t="n"/>
      <c r="D212" s="2" t="inlineStr">
        <is>
          <t>พ.ร.บ. ยา พ.ศ. 2510 (การจำหน่ายยาอันตรายและยาควบคุมพิเศษ)</t>
        </is>
      </c>
      <c r="E212" s="2" t="inlineStr">
        <is>
          <t>พ.ร.บ. ยาเสพติดให้โทษ พ.ศ. 2522 (ยาเสพติดให้โทษประเภท 2 และ 3)</t>
        </is>
      </c>
      <c r="F212" s="2" t="inlineStr">
        <is>
          <t>พ.ร.บ. วัตถุที่ออกฤทธิ์ต่อจิตและประสาท พ.ศ. 2559 (ประเภท 2 และ 4)</t>
        </is>
      </c>
      <c r="G212" s="2" t="inlineStr">
        <is>
          <t>พ.ร.บ. วิชาชีพเภสัชกรรม พ.ศ. 2537 และข้อบังคับจรรยาบรรณวิชาชีพ</t>
        </is>
      </c>
      <c r="H212" s="2" t="inlineStr">
        <is>
          <t>พ.ร.บ. ผลิตภัณฑ์สมุนไพร พ.ศ. 2562</t>
        </is>
      </c>
      <c r="I212" s="2" t="n">
        <v>2</v>
      </c>
      <c r="J212" s="2"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2" t="n"/>
      <c r="L212" s="2" t="inlineStr">
        <is>
          <t>พ.ร.บ. ยา พ.ศ. 2510</t>
        </is>
      </c>
      <c r="M212" s="2" t="inlineStr">
        <is>
          <t>SAP</t>
        </is>
      </c>
      <c r="N212" s="2" t="inlineStr">
        <is>
          <t>ข้อ 29 (PLE_CC1_Practice_Exam.md)</t>
        </is>
      </c>
      <c r="O212" s="2" t="inlineStr">
        <is>
          <t>Mock</t>
        </is>
      </c>
      <c r="P212" s="2" t="inlineStr">
        <is>
          <t>Mock สภาเภสัชฯ Practice</t>
        </is>
      </c>
    </row>
    <row r="213" ht="13.2" customHeight="1" s="49">
      <c r="A213" s="2" t="n">
        <v>211</v>
      </c>
      <c r="B213" s="2"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2" t="n"/>
      <c r="D213" s="2"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2" t="inlineStr">
        <is>
          <t>การทดสอบประสิทธิภาพสารกันเสียในตำรับยาน้ำแขวนตะกอน ibuprofenในหัวข้อ Yeast and molds ผ่านการทดสอบ</t>
        </is>
      </c>
      <c r="F213" s="2" t="inlineStr">
        <is>
          <t>การทดสอบประสิทธิภาพสารกันเสียในตำรับยาน้ำแขวนตะกอน ibuprofenในหัวข้อ Yeast and molds ไม่ผ่านการทดสอบ</t>
        </is>
      </c>
      <c r="G213" s="2" t="inlineStr">
        <is>
          <t>ข้อ 1 และ 4 ถูก</t>
        </is>
      </c>
      <c r="H213" s="2" t="inlineStr">
        <is>
          <t>ข้อ 1 และ 5 ถูก</t>
        </is>
      </c>
      <c r="I213" s="2" t="n">
        <v>1</v>
      </c>
      <c r="J213" s="2"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2" t="n"/>
      <c r="L213" s="2" t="inlineStr">
        <is>
          <t>พ.ร.บ. ยา พ.ศ. 2510</t>
        </is>
      </c>
      <c r="M213" s="2" t="inlineStr">
        <is>
          <t>SAP</t>
        </is>
      </c>
      <c r="N213" s="2" t="inlineStr">
        <is>
          <t>ข้อ 2 (PLE_CC1_Practice_Exam.md)</t>
        </is>
      </c>
      <c r="O213" s="2" t="inlineStr">
        <is>
          <t>Mock</t>
        </is>
      </c>
      <c r="P213" s="2" t="inlineStr">
        <is>
          <t>Mock สภาเภสัชฯ Practice</t>
        </is>
      </c>
    </row>
    <row r="214" ht="13.2" customHeight="1" s="49">
      <c r="A214" s="2" t="n">
        <v>212</v>
      </c>
      <c r="B214" s="2" t="inlineStr">
        <is>
          <t>ข้อใดคือเลขสัมประสิทธิ์ของ Br- ของสมการรีดอกซ์ต่อไปนี้ เมื่อได้รับการดุลแล้ว MnO4- + Br- _x0000_ Mn2+ + Br2 (ในสารละลายกรด)</t>
        </is>
      </c>
      <c r="C214" s="2" t="n"/>
      <c r="D214" s="2" t="inlineStr">
        <is>
          <t>พ.ร.บ. หลักประกันสุขภาพแห่งชาติ พ.ศ. 2545</t>
        </is>
      </c>
      <c r="E214" s="2" t="inlineStr">
        <is>
          <t>การปฏิบัติทางเภสัชกรรมชุมชน (Good Pharmacy Practice: GPP)</t>
        </is>
      </c>
      <c r="F214" s="2" t="inlineStr">
        <is>
          <t>บัญชียาหลักแห่งชาติ (National List of Essential Medicines: NLEM)</t>
        </is>
      </c>
      <c r="G214" s="2" t="inlineStr">
        <is>
          <t>เกณฑ์จริยธรรมว่าด้วยการส่งเสริมการขายยาของกระทรวงสาธารณสุข</t>
        </is>
      </c>
      <c r="H214" s="2" t="n">
        <v>10</v>
      </c>
      <c r="I214" s="2" t="n">
        <v>1</v>
      </c>
      <c r="J21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2" t="n"/>
      <c r="L214" s="2" t="inlineStr">
        <is>
          <t>พ.ร.บ. ยา พ.ศ. 2510</t>
        </is>
      </c>
      <c r="M214" s="2" t="inlineStr">
        <is>
          <t>SAP</t>
        </is>
      </c>
      <c r="N214" s="2" t="inlineStr">
        <is>
          <t>ข้อ 4 (PLE_CC1_Practice_Exam.md)</t>
        </is>
      </c>
      <c r="O214" s="2" t="inlineStr">
        <is>
          <t>Mock</t>
        </is>
      </c>
      <c r="P214" s="2" t="inlineStr">
        <is>
          <t>Mock สภาเภสัชฯ Practice</t>
        </is>
      </c>
    </row>
    <row r="215" ht="13.2" customHeight="1" s="49">
      <c r="A215" s="2" t="n">
        <v>213</v>
      </c>
      <c r="B215" s="2"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2" t="n"/>
      <c r="D215" s="2" t="inlineStr">
        <is>
          <t>ปลัดกระทรวงสาธารณสุข ข. คณะกรรมการยา</t>
        </is>
      </c>
      <c r="E215" s="2" t="inlineStr">
        <is>
          <t>เลขาธิการคณะกรรมการอาหารและยา ง. ประธานคณะกรรมการยา 369 นิติเภสัชกรรม</t>
        </is>
      </c>
      <c r="F215" s="2" t="inlineStr">
        <is>
          <t>นายกสภาเภสัชกรรม</t>
        </is>
      </c>
      <c r="G215" s="2" t="inlineStr">
        <is>
          <t>พ.ร.บ. วัตถุที่ออกฤทธิ์ต่อจิตและประสาท พ.ศ. 2559 (ประเภท 2 และ 4)</t>
        </is>
      </c>
      <c r="H215" s="2" t="inlineStr">
        <is>
          <t>พ.ร.บ. วิชาชีพเภสัชกรรม พ.ศ. 2537 และข้อบังคับจรรยาบรรณวิชาชีพ</t>
        </is>
      </c>
      <c r="I215" s="2" t="n">
        <v>1</v>
      </c>
      <c r="J215" s="2"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2" t="n"/>
      <c r="L215" s="2" t="inlineStr">
        <is>
          <t>พ.ร.บ. ยา พ.ศ. 2510</t>
        </is>
      </c>
      <c r="M215" s="2" t="inlineStr">
        <is>
          <t>SAP</t>
        </is>
      </c>
      <c r="N215" s="2" t="inlineStr">
        <is>
          <t>ข้อ 5 (PLE_CC1_Practice_Exam.md)</t>
        </is>
      </c>
      <c r="O215" s="2" t="inlineStr">
        <is>
          <t>Mock</t>
        </is>
      </c>
      <c r="P215" s="2" t="inlineStr">
        <is>
          <t>Mock สภาเภสัชฯ Practice</t>
        </is>
      </c>
    </row>
    <row r="216" ht="13.2" customHeight="1" s="49">
      <c r="A216" s="2" t="n">
        <v>214</v>
      </c>
      <c r="B216" s="2" t="inlineStr">
        <is>
          <t>ข้อใดจัดเป็น “ยาสมุนไพร” ตาม พ.ร.บ. ยา</t>
        </is>
      </c>
      <c r="C216" s="2" t="n"/>
      <c r="D216" s="2" t="inlineStr">
        <is>
          <t>เถาโคคลานหั่นตากแห้งบรรจุถุง ระบุฉลากว่า ยาโคคลาน</t>
        </is>
      </c>
      <c r="E216" s="2" t="inlineStr">
        <is>
          <t>ฟ้าทะลายโจรบดผงใส่แคปซูล ระบุฉลากว่า ยาฟ้าทะลายโจร</t>
        </is>
      </c>
      <c r="F216" s="2" t="inlineStr">
        <is>
          <t>กำลังเจ็ดช้างสารดองเหล้า ระบุชื่อว่า ยาดองเหล้า กำลังเจ็ดช้างสาร</t>
        </is>
      </c>
      <c r="G216" s="2" t="inlineStr">
        <is>
          <t>ยาหอมนวโกศ 370 นิติเภสัชกรรม</t>
        </is>
      </c>
      <c r="H216" s="2" t="inlineStr">
        <is>
          <t>ถูกทุกข้อ</t>
        </is>
      </c>
      <c r="I216" s="2" t="n">
        <v>1</v>
      </c>
      <c r="J216" s="2"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2" t="n"/>
      <c r="L216" s="2" t="inlineStr">
        <is>
          <t>พ.ร.บ. ผลิตภัณฑ์สมุนไพร &amp; เครื่องสำอาง</t>
        </is>
      </c>
      <c r="M216" s="2" t="inlineStr">
        <is>
          <t>SAP</t>
        </is>
      </c>
      <c r="N216" s="2" t="inlineStr">
        <is>
          <t>ข้อ 9 (PLE_CC1_Practice_Exam.md)</t>
        </is>
      </c>
      <c r="O216" s="2" t="inlineStr">
        <is>
          <t>Mock</t>
        </is>
      </c>
      <c r="P216" s="2" t="inlineStr">
        <is>
          <t>Mock สภาเภสัชฯ Practice</t>
        </is>
      </c>
    </row>
    <row r="217" ht="13.2" customHeight="1" s="49">
      <c r="A217" s="2" t="n">
        <v>215</v>
      </c>
      <c r="B217" s="2" t="inlineStr">
        <is>
          <t>ข้อใดเป็นอำนาจ และหน้าที่ที่ถูกต้องของพนักงานเจ้าหน้าที่ ตาม พ.ร.บ. ยา พ.ศ. 2510</t>
        </is>
      </c>
      <c r="C217" s="2" t="n"/>
      <c r="D217" s="2" t="inlineStr">
        <is>
          <t>เข้าไปในสถานที่ผลิตยาในระหว่างเวลาทำการ</t>
        </is>
      </c>
      <c r="E217" s="2" t="inlineStr">
        <is>
          <t>นำยาในปริมาณเท่าไรก็ได้ตามความต้องการ เพื่อตรวจสอบวิเคราะห์</t>
        </is>
      </c>
      <c r="F217" s="2" t="inlineStr">
        <is>
          <t>ไม่จำเป็นต้องประกาศผลวิเคราะห์ยาให้ประชาชนทราบ ในกรณีที่พบว่าเป็นยาไม่ปลอดภัย</t>
        </is>
      </c>
      <c r="G217" s="2" t="inlineStr">
        <is>
          <t>ข้อ ก และ ค ถูก</t>
        </is>
      </c>
      <c r="H217" s="2" t="inlineStr">
        <is>
          <t>ไม่มีข้อใดถูก</t>
        </is>
      </c>
      <c r="I217" s="2" t="n">
        <v>1</v>
      </c>
      <c r="J217" s="2"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2" t="n"/>
      <c r="L217" s="2" t="inlineStr">
        <is>
          <t>พ.ร.บ. ยา พ.ศ. 2510</t>
        </is>
      </c>
      <c r="M217" s="2" t="inlineStr">
        <is>
          <t>SAP</t>
        </is>
      </c>
      <c r="N217" s="2" t="inlineStr">
        <is>
          <t>ข้อ 12 (PLE_CC1_Practice_Exam.md)</t>
        </is>
      </c>
      <c r="O217" s="2" t="inlineStr">
        <is>
          <t>Mock</t>
        </is>
      </c>
      <c r="P217" s="2" t="inlineStr">
        <is>
          <t>Mock สภาเภสัชฯ Practice</t>
        </is>
      </c>
    </row>
    <row r="218" ht="13.2" customHeight="1" s="49">
      <c r="A218" s="2" t="n">
        <v>216</v>
      </c>
      <c r="B218" s="2"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2" t="n"/>
      <c r="D218" s="2"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2"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2"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2"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t>
        </is>
      </c>
      <c r="H218" s="2"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2" t="n">
        <v>1</v>
      </c>
      <c r="J218" s="2"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2" t="n"/>
      <c r="L218" s="2" t="inlineStr">
        <is>
          <t>พ.ร.บ. วิชาชีพเภสัชกรรม 2537</t>
        </is>
      </c>
      <c r="M218" s="2" t="inlineStr">
        <is>
          <t>SAP</t>
        </is>
      </c>
      <c r="N218" s="2" t="inlineStr">
        <is>
          <t>ข้อ 17 (PLE_CC1_Practice_Exam.md)</t>
        </is>
      </c>
      <c r="O218" s="2" t="inlineStr">
        <is>
          <t>Mock</t>
        </is>
      </c>
      <c r="P218" s="2" t="inlineStr">
        <is>
          <t>Mock สภาเภสัชฯ Practice</t>
        </is>
      </c>
    </row>
    <row r="219" ht="13.2" customHeight="1" s="49">
      <c r="A219" s="2" t="n">
        <v>217</v>
      </c>
      <c r="B219" s="2" t="inlineStr">
        <is>
          <t>ข้อใดไม่อยู่ในคำประกาศสิทธิของผู้ป่วย 10 ข้อ</t>
        </is>
      </c>
      <c r="C219" s="2" t="n"/>
      <c r="D219" s="2" t="inlineStr">
        <is>
          <t>ผู้ป่วยสิทธิที่จะได้รับการปกปิดข้อมูลเกี่ยวกับตนเองจากผู้ประกอบวิชาชีพโดยเคร่งครัด</t>
        </is>
      </c>
      <c r="E219" s="2"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2" t="inlineStr">
        <is>
          <t>ผู้ป่วยมีสิทธิที่จะได้รับทราบชื่อ สกุล และประเภทของผู้ประกอบวิชาชีพที่เป็นผู้ให้บริการแก่ตน</t>
        </is>
      </c>
      <c r="G219" s="2" t="inlineStr">
        <is>
          <t>ผู้ป่วยมีสิทธิที่จะได้รับยารักษาโรคที่มีประสิทธิภาพดีที่สุด ที่ผู้ให้บริการสามารถจัดหาได้ในปัจจุบัน</t>
        </is>
      </c>
      <c r="H219" s="2" t="inlineStr">
        <is>
          <t>ผู้ป่วยทุกคนมีสิทธิพื้นฐานที่จะได้รับบริการด้านสุขภาพ ตามที่บัญญัติไว้ในรัฐธรรมนูญ 374 นิติเภสัชกรรม</t>
        </is>
      </c>
      <c r="I219" s="2" t="n">
        <v>1</v>
      </c>
      <c r="J219" s="2"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2" t="n"/>
      <c r="L219" s="2" t="inlineStr">
        <is>
          <t>พ.ร.บ. ยา พ.ศ. 2510</t>
        </is>
      </c>
      <c r="M219" s="2" t="inlineStr">
        <is>
          <t>SAP</t>
        </is>
      </c>
      <c r="N219" s="2" t="inlineStr">
        <is>
          <t>ข้อ 24 (PLE_CC1_Practice_Exam.md)</t>
        </is>
      </c>
      <c r="O219" s="2" t="inlineStr">
        <is>
          <t>Mock</t>
        </is>
      </c>
      <c r="P219" s="2" t="inlineStr">
        <is>
          <t>Mock สภาเภสัชฯ Practice</t>
        </is>
      </c>
    </row>
    <row r="220" ht="13.2" customHeight="1" s="49">
      <c r="A220" s="2" t="n">
        <v>218</v>
      </c>
      <c r="B220" s="2"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2" t="n"/>
      <c r="D220" s="2" t="inlineStr">
        <is>
          <t>Cohort study</t>
        </is>
      </c>
      <c r="E220" s="2" t="inlineStr">
        <is>
          <t>Case control</t>
        </is>
      </c>
      <c r="F220" s="2" t="inlineStr">
        <is>
          <t>Non-inferiority trial</t>
        </is>
      </c>
      <c r="G220" s="2" t="inlineStr">
        <is>
          <t>Superiority trial</t>
        </is>
      </c>
      <c r="H220" s="2" t="inlineStr">
        <is>
          <t>ไม่มีข้อถูก</t>
        </is>
      </c>
      <c r="I220" s="2" t="n">
        <v>1</v>
      </c>
      <c r="J220" s="2"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2" t="n"/>
      <c r="L220" s="2" t="inlineStr">
        <is>
          <t>พ.ร.บ. ยา พ.ศ. 2510</t>
        </is>
      </c>
      <c r="M220" s="2" t="inlineStr">
        <is>
          <t>SAP</t>
        </is>
      </c>
      <c r="N220" s="2" t="inlineStr">
        <is>
          <t>ข้อ 4 (PLE_CC1_Practice_Exam.md)</t>
        </is>
      </c>
      <c r="O220" s="2" t="inlineStr">
        <is>
          <t>Mock</t>
        </is>
      </c>
      <c r="P220" s="2" t="inlineStr">
        <is>
          <t>Mock สภาเภสัชฯ Practice</t>
        </is>
      </c>
    </row>
    <row r="221" ht="13.2" customHeight="1" s="49">
      <c r="A221" s="2" t="n">
        <v>219</v>
      </c>
      <c r="B221" s="2"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2" t="n"/>
      <c r="D221" s="2" t="inlineStr">
        <is>
          <t>Cross-sectional descriptive study</t>
        </is>
      </c>
      <c r="E221" s="2" t="inlineStr">
        <is>
          <t>Cross-sectional analytical study</t>
        </is>
      </c>
      <c r="F221" s="2" t="inlineStr">
        <is>
          <t>Prospective cohort study</t>
        </is>
      </c>
      <c r="G221" s="2" t="inlineStr">
        <is>
          <t>RCT (Crossover trial)</t>
        </is>
      </c>
      <c r="H221" s="2" t="inlineStr">
        <is>
          <t>RCT (Factorial design)</t>
        </is>
      </c>
      <c r="I221" s="2" t="n">
        <v>1</v>
      </c>
      <c r="J221"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2" t="n"/>
      <c r="L221" s="2" t="inlineStr">
        <is>
          <t>พ.ร.บ. ยา พ.ศ. 2510</t>
        </is>
      </c>
      <c r="M221" s="2" t="inlineStr">
        <is>
          <t>SAP</t>
        </is>
      </c>
      <c r="N221" s="2" t="inlineStr">
        <is>
          <t>ข้อ 5 (PLE_CC1_Practice_Exam.md)</t>
        </is>
      </c>
      <c r="O221" s="2" t="inlineStr">
        <is>
          <t>Mock</t>
        </is>
      </c>
      <c r="P221" s="2" t="inlineStr">
        <is>
          <t>Mock สภาเภสัชฯ Practice</t>
        </is>
      </c>
    </row>
    <row r="222" ht="13.2" customHeight="1" s="49">
      <c r="A222" s="2" t="n">
        <v>220</v>
      </c>
      <c r="B222" s="2" t="inlineStr">
        <is>
          <t>มียารักษาวัณโรคอยู่ 2 สูตร คือ สูตร A และ B จะสามารถทดสอบสัดส่วนประสิทธิภาพของสูตรยา โดยใช้สถิติใด</t>
        </is>
      </c>
      <c r="C222" s="2" t="n"/>
      <c r="D222" s="2" t="inlineStr">
        <is>
          <t>Correlation</t>
        </is>
      </c>
      <c r="E222" s="2" t="inlineStr">
        <is>
          <t>Chi-square test</t>
        </is>
      </c>
      <c r="F222" s="2" t="inlineStr">
        <is>
          <t>ANOVA</t>
        </is>
      </c>
      <c r="G222" s="2" t="inlineStr">
        <is>
          <t>Unpaired t-test</t>
        </is>
      </c>
      <c r="H222" s="2" t="inlineStr">
        <is>
          <t>Paired t-test</t>
        </is>
      </c>
      <c r="I222" s="2" t="n">
        <v>1</v>
      </c>
      <c r="J222" s="2"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2" t="n"/>
      <c r="L222" s="2" t="inlineStr">
        <is>
          <t>พ.ร.บ. ยา พ.ศ. 2510</t>
        </is>
      </c>
      <c r="M222" s="2" t="inlineStr">
        <is>
          <t>SAP</t>
        </is>
      </c>
      <c r="N222" s="2" t="inlineStr">
        <is>
          <t>ข้อ 19 (PLE_CC1_Practice_Exam.md)</t>
        </is>
      </c>
      <c r="O222" s="2" t="inlineStr">
        <is>
          <t>Mock</t>
        </is>
      </c>
      <c r="P222" s="2" t="inlineStr">
        <is>
          <t>Mock สภาเภสัชฯ Practice</t>
        </is>
      </c>
    </row>
    <row r="223" ht="13.2" customHeight="1" s="49">
      <c r="A223" s="2" t="n">
        <v>221</v>
      </c>
      <c r="B223" s="2"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2" t="n"/>
      <c r="D223" s="2" t="inlineStr">
        <is>
          <t>พ.ร.บ. วิชาชีพเภสัชกรรม พ.ศ. 2537 และข้อบังคับจรรยาบรรณวิชาชีพ</t>
        </is>
      </c>
      <c r="E223" s="2" t="inlineStr">
        <is>
          <t>พ.ร.บ. ผลิตภัณฑ์สมุนไพร พ.ศ. 2562</t>
        </is>
      </c>
      <c r="F223" s="2" t="inlineStr">
        <is>
          <t>พ.ร.บ. เครื่องสำอาง พ.ศ. 2558</t>
        </is>
      </c>
      <c r="G223" s="2" t="inlineStr">
        <is>
          <t>พ.ร.บ. หลักประกันสุขภาพแห่งชาติ พ.ศ. 2545</t>
        </is>
      </c>
      <c r="H223" s="2" t="inlineStr">
        <is>
          <t>การปฏิบัติทางเภสัชกรรมชุมชน (Good Pharmacy Practice: GPP)</t>
        </is>
      </c>
      <c r="I223" s="2" t="n">
        <v>1</v>
      </c>
      <c r="J22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2" t="n"/>
      <c r="L223" s="2" t="inlineStr">
        <is>
          <t>พ.ร.บ. ยา พ.ศ. 2510</t>
        </is>
      </c>
      <c r="M223" s="2" t="inlineStr">
        <is>
          <t>SAP</t>
        </is>
      </c>
      <c r="N223" s="2" t="inlineStr">
        <is>
          <t>ข้อ 5 (PLE_CC1_Practice_Exam.md)</t>
        </is>
      </c>
      <c r="O223" s="2" t="inlineStr">
        <is>
          <t>Mock</t>
        </is>
      </c>
      <c r="P223" s="2" t="inlineStr">
        <is>
          <t>Mock สภาเภสัชฯ Practice</t>
        </is>
      </c>
    </row>
    <row r="224" ht="13.2" customHeight="1" s="49">
      <c r="A224" s="2" t="n">
        <v>222</v>
      </c>
      <c r="B224" s="2" t="inlineStr">
        <is>
          <t>Allopurinol แบบแผง 10 เม็ด จัดเป็นยาประเภทใดตามกฎหมาย</t>
        </is>
      </c>
      <c r="C224" s="2" t="n"/>
      <c r="D224" s="2" t="inlineStr">
        <is>
          <t>พ.ร.บ. หลักประกันสุขภาพแห่งชาติ พ.ศ. 2545</t>
        </is>
      </c>
      <c r="E224" s="2" t="inlineStr">
        <is>
          <t>การปฏิบัติทางเภสัชกรรมชุมชน (Good Pharmacy Practice: GPP)</t>
        </is>
      </c>
      <c r="F224" s="2" t="inlineStr">
        <is>
          <t>บัญชียาหลักแห่งชาติ (National List of Essential Medicines: NLEM)</t>
        </is>
      </c>
      <c r="G224" s="2" t="inlineStr">
        <is>
          <t>เกณฑ์จริยธรรมว่าด้วยการส่งเสริมการขายยาของกระทรวงสาธารณสุข</t>
        </is>
      </c>
      <c r="H224" s="2" t="inlineStr">
        <is>
          <t>พ.ร.บ. ยา พ.ศ. 2510 (การจำหน่ายยาอันตรายและยาควบคุมพิเศษ)</t>
        </is>
      </c>
      <c r="I224" s="2" t="n">
        <v>1</v>
      </c>
      <c r="J22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2" t="n"/>
      <c r="L224" s="2" t="inlineStr">
        <is>
          <t>พ.ร.บ. ยา พ.ศ. 2510</t>
        </is>
      </c>
      <c r="M224" s="2" t="inlineStr">
        <is>
          <t>SAP</t>
        </is>
      </c>
      <c r="N224" s="2" t="inlineStr">
        <is>
          <t>ข้อ 8 (PLE_CC1_Key_Rx20_UBU.md)</t>
        </is>
      </c>
      <c r="O224" s="2" t="inlineStr">
        <is>
          <t>Mock</t>
        </is>
      </c>
      <c r="P224" s="2" t="inlineStr">
        <is>
          <t>Mock Rx20 UBU</t>
        </is>
      </c>
    </row>
    <row r="225" ht="13.2" customHeight="1" s="49">
      <c r="A225" s="2" t="n">
        <v>223</v>
      </c>
      <c r="B225" s="2" t="inlineStr">
        <is>
          <t>ยา Budesonide เป็นยาในข้อใดตามกฎหมาย</t>
        </is>
      </c>
      <c r="C225" s="2" t="n"/>
      <c r="D225" s="2" t="inlineStr">
        <is>
          <t>เกณฑ์จริยธรรมว่าด้วยการส่งเสริมการขายยาของกระทรวงสาธารณสุข</t>
        </is>
      </c>
      <c r="E225" s="2" t="inlineStr">
        <is>
          <t>พ.ร.บ. ยา พ.ศ. 2510 (การจำหน่ายยาอันตรายและยาควบคุมพิเศษ)</t>
        </is>
      </c>
      <c r="F225" s="2" t="inlineStr">
        <is>
          <t>พ.ร.บ. ยาเสพติดให้โทษ พ.ศ. 2522 (ยาเสพติดให้โทษประเภท 2 และ 3)</t>
        </is>
      </c>
      <c r="G225" s="2" t="inlineStr">
        <is>
          <t>พ.ร.บ. วัตถุที่ออกฤทธิ์ต่อจิตและประสาท พ.ศ. 2559 (ประเภท 2 และ 4)</t>
        </is>
      </c>
      <c r="H225" s="2" t="inlineStr">
        <is>
          <t>พ.ร.บ. วิชาชีพเภสัชกรรม พ.ศ. 2537 และข้อบังคับจรรยาบรรณวิชาชีพ</t>
        </is>
      </c>
      <c r="I225" s="2" t="n">
        <v>1</v>
      </c>
      <c r="J22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2" t="n"/>
      <c r="L225" s="2" t="inlineStr">
        <is>
          <t>พ.ร.บ. ยา พ.ศ. 2510</t>
        </is>
      </c>
      <c r="M225" s="2" t="inlineStr">
        <is>
          <t>SAP</t>
        </is>
      </c>
      <c r="N225" s="2" t="inlineStr">
        <is>
          <t>ข้อ 13 (PLE_CC1_Key_Rx20_UBU.md)</t>
        </is>
      </c>
      <c r="O225" s="2" t="inlineStr">
        <is>
          <t>Mock</t>
        </is>
      </c>
      <c r="P225" s="2" t="inlineStr">
        <is>
          <t>Mock Rx20 UBU</t>
        </is>
      </c>
    </row>
    <row r="226" ht="13.2" customHeight="1" s="49">
      <c r="A226" s="2" t="n">
        <v>224</v>
      </c>
      <c r="B226" s="2" t="inlineStr">
        <is>
          <t>ยาสามัญประจำบ้าน Budesonide Steriod เดี่ยว ตามกฎหมายเป็นยาอันตราย สามารถขายได้ในร้านยา</t>
        </is>
      </c>
      <c r="C226" s="2" t="n"/>
      <c r="D226" s="2" t="inlineStr">
        <is>
          <t>พ.ร.บ. วัตถุที่ออกฤทธิ์ต่อจิตและประสาท พ.ศ. 2559 (ประเภท 2 และ 4)</t>
        </is>
      </c>
      <c r="E226" s="2" t="inlineStr">
        <is>
          <t>พ.ร.บ. วิชาชีพเภสัชกรรม พ.ศ. 2537 และข้อบังคับจรรยาบรรณวิชาชีพ</t>
        </is>
      </c>
      <c r="F226" s="2" t="inlineStr">
        <is>
          <t>พ.ร.บ. ผลิตภัณฑ์สมุนไพร พ.ศ. 2562</t>
        </is>
      </c>
      <c r="G226" s="2" t="inlineStr">
        <is>
          <t>พ.ร.บ. เครื่องสำอาง พ.ศ. 2558</t>
        </is>
      </c>
      <c r="H226" s="2" t="inlineStr">
        <is>
          <t>พ.ร.บ. หลักประกันสุขภาพแห่งชาติ พ.ศ. 2545</t>
        </is>
      </c>
      <c r="I226" s="2" t="n">
        <v>1</v>
      </c>
      <c r="J22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2" t="n"/>
      <c r="L226" s="2" t="inlineStr">
        <is>
          <t>พ.ร.บ. ยา พ.ศ. 2510</t>
        </is>
      </c>
      <c r="M226" s="2" t="inlineStr">
        <is>
          <t>SAP</t>
        </is>
      </c>
      <c r="N226" s="2" t="inlineStr">
        <is>
          <t>ข้อ 5 (PLE_CC1_Key_Rx20_UBU.md)</t>
        </is>
      </c>
      <c r="O226" s="2" t="inlineStr">
        <is>
          <t>Mock</t>
        </is>
      </c>
      <c r="P226" s="2" t="inlineStr">
        <is>
          <t>Mock Rx20 UBU</t>
        </is>
      </c>
    </row>
    <row r="227" ht="13.2" customHeight="1" s="49">
      <c r="A227" s="2" t="n">
        <v>225</v>
      </c>
      <c r="B227" s="2" t="inlineStr">
        <is>
          <t>โฆษณาขายยานี้อินเตอร์เน็ตไม่ได้เพราะถือเป็นการกระทำที่ผิดกฎหมาย</t>
        </is>
      </c>
      <c r="C227" s="2" t="n"/>
      <c r="D227" s="2" t="inlineStr">
        <is>
          <t>พ.ร.บ. เครื่องสำอาง พ.ศ. 2558</t>
        </is>
      </c>
      <c r="E227" s="2" t="inlineStr">
        <is>
          <t>พ.ร.บ. หลักประกันสุขภาพแห่งชาติ พ.ศ. 2545</t>
        </is>
      </c>
      <c r="F227" s="2" t="inlineStr">
        <is>
          <t>การปฏิบัติทางเภสัชกรรมชุมชน (Good Pharmacy Practice: GPP)</t>
        </is>
      </c>
      <c r="G227" s="2" t="inlineStr">
        <is>
          <t>บัญชียาหลักแห่งชาติ (National List of Essential Medicines: NLEM)</t>
        </is>
      </c>
      <c r="H227" s="2" t="inlineStr">
        <is>
          <t>เกณฑ์จริยธรรมว่าด้วยการส่งเสริมการขายยาของกระทรวงสาธารณสุข</t>
        </is>
      </c>
      <c r="I227" s="2" t="n">
        <v>1</v>
      </c>
      <c r="J22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2" t="n"/>
      <c r="L227" s="2" t="inlineStr">
        <is>
          <t>พ.ร.บ. ยา พ.ศ. 2510</t>
        </is>
      </c>
      <c r="M227" s="2" t="inlineStr">
        <is>
          <t>SAP</t>
        </is>
      </c>
      <c r="N227" s="2" t="inlineStr">
        <is>
          <t>ข้อ 4 (PLE_CC1_Key_Rx20_UBU.md)</t>
        </is>
      </c>
      <c r="O227" s="2" t="inlineStr">
        <is>
          <t>Mock</t>
        </is>
      </c>
      <c r="P227" s="2" t="inlineStr">
        <is>
          <t>Mock Rx20 UBU</t>
        </is>
      </c>
    </row>
    <row r="228" ht="13.2" customHeight="1" s="49">
      <c r="A228" s="2" t="n">
        <v>226</v>
      </c>
      <c r="B228" s="2" t="inlineStr">
        <is>
          <t>Glucosamine capsule 250 mg จัดเป็นยาประเภทใดตามกฎหมาย</t>
        </is>
      </c>
      <c r="C228" s="2" t="n"/>
      <c r="D228" s="2" t="inlineStr">
        <is>
          <t>บัญชียาหลักแห่งชาติ (National List of Essential Medicines: NLEM)</t>
        </is>
      </c>
      <c r="E228" s="2" t="inlineStr">
        <is>
          <t>เกณฑ์จริยธรรมว่าด้วยการส่งเสริมการขายยาของกระทรวงสาธารณสุข</t>
        </is>
      </c>
      <c r="F228" s="2" t="inlineStr">
        <is>
          <t>พ.ร.บ. ยา พ.ศ. 2510 (การจำหน่ายยาอันตรายและยาควบคุมพิเศษ)</t>
        </is>
      </c>
      <c r="G228" s="2" t="inlineStr">
        <is>
          <t>พ.ร.บ. ยาเสพติดให้โทษ พ.ศ. 2522 (ยาเสพติดให้โทษประเภท 2 และ 3)</t>
        </is>
      </c>
      <c r="H228" s="2" t="inlineStr">
        <is>
          <t>พ.ร.บ. วัตถุที่ออกฤทธิ์ต่อจิตและประสาท พ.ศ. 2559 (ประเภท 2 และ 4)</t>
        </is>
      </c>
      <c r="I228" s="2" t="n">
        <v>1</v>
      </c>
      <c r="J22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2" t="n"/>
      <c r="L228" s="2" t="inlineStr">
        <is>
          <t>พ.ร.บ. ยา พ.ศ. 2510</t>
        </is>
      </c>
      <c r="M228" s="2" t="inlineStr">
        <is>
          <t>SAP</t>
        </is>
      </c>
      <c r="N228" s="2" t="inlineStr">
        <is>
          <t>ข้อ 58 (PLE_CC1_Key_Rx20_UBU.md)</t>
        </is>
      </c>
      <c r="O228" s="2" t="inlineStr">
        <is>
          <t>Mock</t>
        </is>
      </c>
      <c r="P228" s="2" t="inlineStr">
        <is>
          <t>Mock Rx20 UBU</t>
        </is>
      </c>
    </row>
    <row r="229" ht="13.2" customHeight="1" s="49">
      <c r="A229" s="2" t="n">
        <v>227</v>
      </c>
      <c r="B229"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2" t="n"/>
      <c r="D229" s="2" t="inlineStr">
        <is>
          <t>พ.ร.บ. ยาเสพติดให้โทษ พ.ศ. 2522 (ยาเสพติดให้โทษประเภท 2 และ 3)</t>
        </is>
      </c>
      <c r="E229" s="2" t="inlineStr">
        <is>
          <t>พ.ร.บ. วัตถุที่ออกฤทธิ์ต่อจิตและประสาท พ.ศ. 2559 (ประเภท 2 และ 4)</t>
        </is>
      </c>
      <c r="F229" s="2" t="inlineStr">
        <is>
          <t>พ.ร.บ. วิชาชีพเภสัชกรรม พ.ศ. 2537 และข้อบังคับจรรยาบรรณวิชาชีพ</t>
        </is>
      </c>
      <c r="G229" s="2" t="inlineStr">
        <is>
          <t>พ.ร.บ. ผลิตภัณฑ์สมุนไพร พ.ศ. 2562</t>
        </is>
      </c>
      <c r="H229" s="2" t="inlineStr">
        <is>
          <t>พ.ร.บ. เครื่องสำอาง พ.ศ. 2558</t>
        </is>
      </c>
      <c r="I229" s="2" t="n">
        <v>1</v>
      </c>
      <c r="J22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2" t="n"/>
      <c r="L229" s="2" t="inlineStr">
        <is>
          <t>พ.ร.บ. ยา พ.ศ. 2510</t>
        </is>
      </c>
      <c r="M229" s="2" t="inlineStr">
        <is>
          <t>SAP</t>
        </is>
      </c>
      <c r="N229" s="2" t="inlineStr">
        <is>
          <t>ข้อ 10 (PLE_CC1_Key_Rx20_UBU.md)</t>
        </is>
      </c>
      <c r="O229" s="2" t="inlineStr">
        <is>
          <t>Mock</t>
        </is>
      </c>
      <c r="P229" s="2" t="inlineStr">
        <is>
          <t>Mock Rx20 UBU</t>
        </is>
      </c>
    </row>
    <row r="230" ht="13.2" customHeight="1" s="49">
      <c r="A230" s="2" t="n">
        <v>228</v>
      </c>
      <c r="B230" s="2" t="inlineStr">
        <is>
          <t>Triphasic hormonal contraceptives จัดเป็นยาประเภทใดตามกฎหมาย</t>
        </is>
      </c>
      <c r="C230" s="2" t="n"/>
      <c r="D230" s="2" t="inlineStr">
        <is>
          <t>ยาอันตราย</t>
        </is>
      </c>
      <c r="E230" s="2" t="inlineStr">
        <is>
          <t>ยาที่ไม่ใช่ยาอันตราย</t>
        </is>
      </c>
      <c r="F230" s="2"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t>
        </is>
      </c>
      <c r="G230" s="2" t="inlineStr">
        <is>
          <t>การปฏิบัติทางเภสัชกรรมชุมชน (Good Pharmacy Practice: GPP)</t>
        </is>
      </c>
      <c r="H230" s="2" t="inlineStr">
        <is>
          <t>บัญชียาหลักแห่งชาติ (National List of Essential Medicines: NLEM)</t>
        </is>
      </c>
      <c r="I230" s="2" t="n">
        <v>1</v>
      </c>
      <c r="J2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พ.ร.บ. ยา พ.ศ. 2510</t>
        </is>
      </c>
      <c r="M230" s="2" t="inlineStr">
        <is>
          <t>SAP</t>
        </is>
      </c>
      <c r="N230" s="2" t="inlineStr">
        <is>
          <t>ข้อ 6 (PLE_CC1_Key_Rx20_UBU.md)</t>
        </is>
      </c>
      <c r="O230" s="2" t="inlineStr">
        <is>
          <t>Mock</t>
        </is>
      </c>
      <c r="P230" s="2" t="inlineStr">
        <is>
          <t>Mock Rx20 UBU</t>
        </is>
      </c>
    </row>
    <row r="231" ht="13.2" customHeight="1" s="49">
      <c r="A231" s="2" t="n">
        <v>229</v>
      </c>
      <c r="B231" s="2" t="inlineStr">
        <is>
          <t>Cost Efficacy = ประสิทธิภาพ Efficiency = อย่างมีประสิทธิภาพ Effectiveness = ประสิทธิผล</t>
        </is>
      </c>
      <c r="C231" s="2" t="n"/>
      <c r="D231" s="2" t="inlineStr">
        <is>
          <t>การปฏิบัติทางเภสัชกรรมชุมชน (Good Pharmacy Practice: GPP)</t>
        </is>
      </c>
      <c r="E231" s="2" t="inlineStr">
        <is>
          <t>บัญชียาหลักแห่งชาติ (National List of Essential Medicines: NLEM)</t>
        </is>
      </c>
      <c r="F231" s="2" t="inlineStr">
        <is>
          <t>เกณฑ์จริยธรรมว่าด้วยการส่งเสริมการขายยาของกระทรวงสาธารณสุข</t>
        </is>
      </c>
      <c r="G231" s="2" t="inlineStr">
        <is>
          <t>พ.ร.บ. ยา พ.ศ. 2510 (การจำหน่ายยาอันตรายและยาควบคุมพิเศษ)</t>
        </is>
      </c>
      <c r="H231" s="2" t="inlineStr">
        <is>
          <t>พ.ร.บ. ยาเสพติดให้โทษ พ.ศ. 2522 (ยาเสพติดให้โทษประเภท 2 และ 3)</t>
        </is>
      </c>
      <c r="I231" s="2" t="n">
        <v>5</v>
      </c>
      <c r="J23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2" t="n"/>
      <c r="L231" s="2" t="inlineStr">
        <is>
          <t>พ.ร.บ. ยา พ.ศ. 2510</t>
        </is>
      </c>
      <c r="M231" s="2" t="inlineStr">
        <is>
          <t>SAP</t>
        </is>
      </c>
      <c r="N231" s="2" t="inlineStr">
        <is>
          <t>ข้อ 4 (PLE_CC1_Key_Rx20_UBU.md)</t>
        </is>
      </c>
      <c r="O231" s="2" t="inlineStr">
        <is>
          <t>Mock</t>
        </is>
      </c>
      <c r="P231" s="2" t="inlineStr">
        <is>
          <t>Mock Rx20 UBU</t>
        </is>
      </c>
    </row>
    <row r="232" ht="13.2" customHeight="1" s="49">
      <c r="A232" s="2" t="n">
        <v>230</v>
      </c>
      <c r="B232" s="2"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2" t="n"/>
      <c r="D232" s="2" t="inlineStr">
        <is>
          <t>พ.ร.บ. ยา พ.ศ. 2510 (การจำหน่ายยาอันตรายและยาควบคุมพิเศษ)</t>
        </is>
      </c>
      <c r="E232" s="2" t="inlineStr">
        <is>
          <t>พ.ร.บ. ยาเสพติดให้โทษ พ.ศ. 2522 (ยาเสพติดให้โทษประเภท 2 และ 3)</t>
        </is>
      </c>
      <c r="F232" s="2" t="inlineStr">
        <is>
          <t>พ.ร.บ. วัตถุที่ออกฤทธิ์ต่อจิตและประสาท พ.ศ. 2559 (ประเภท 2 และ 4)</t>
        </is>
      </c>
      <c r="G232" s="2" t="inlineStr">
        <is>
          <t>พ.ร.บ. วิชาชีพเภสัชกรรม พ.ศ. 2537 และข้อบังคับจรรยาบรรณวิชาชีพ</t>
        </is>
      </c>
      <c r="H232" s="2" t="inlineStr">
        <is>
          <t>พ.ร.บ. ผลิตภัณฑ์สมุนไพร พ.ศ. 2562</t>
        </is>
      </c>
      <c r="I232" s="2" t="n">
        <v>1</v>
      </c>
      <c r="J23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2" t="n"/>
      <c r="L232" s="2" t="inlineStr">
        <is>
          <t>พ.ร.บ. ยา พ.ศ. 2510</t>
        </is>
      </c>
      <c r="M232" s="2" t="inlineStr">
        <is>
          <t>SAP</t>
        </is>
      </c>
      <c r="N232" s="2" t="inlineStr">
        <is>
          <t>ข้อ 10 (PLE_CC1_Key_Rx20_UBU.md)</t>
        </is>
      </c>
      <c r="O232" s="2" t="inlineStr">
        <is>
          <t>Mock</t>
        </is>
      </c>
      <c r="P232" s="2" t="inlineStr">
        <is>
          <t>Mock Rx20 UBU</t>
        </is>
      </c>
    </row>
    <row r="233" ht="13.2" customHeight="1" s="49">
      <c r="A233" s="2" t="n">
        <v>231</v>
      </c>
      <c r="B233" s="2"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2" t="n"/>
      <c r="D233" s="2" t="inlineStr">
        <is>
          <t>พ.ร.บ. วิชาชีพเภสัชกรรม พ.ศ. 2537 และข้อบังคับจรรยาบรรณวิชาชีพ</t>
        </is>
      </c>
      <c r="E233" s="2" t="inlineStr">
        <is>
          <t>พ.ร.บ. ผลิตภัณฑ์สมุนไพร พ.ศ. 2562</t>
        </is>
      </c>
      <c r="F233" s="2" t="inlineStr">
        <is>
          <t>พ.ร.บ. เครื่องสำอาง พ.ศ. 2558</t>
        </is>
      </c>
      <c r="G233" s="2" t="inlineStr">
        <is>
          <t>พ.ร.บ. หลักประกันสุขภาพแห่งชาติ พ.ศ. 2545</t>
        </is>
      </c>
      <c r="H233" s="2" t="inlineStr">
        <is>
          <t>การปฏิบัติทางเภสัชกรรมชุมชน (Good Pharmacy Practice: GPP)</t>
        </is>
      </c>
      <c r="I233" s="2" t="n">
        <v>5</v>
      </c>
      <c r="J233" s="2"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2" t="n"/>
      <c r="L233" s="2" t="inlineStr">
        <is>
          <t>พ.ร.บ. ยา พ.ศ. 2510</t>
        </is>
      </c>
      <c r="M233" s="2" t="inlineStr">
        <is>
          <t>SAP</t>
        </is>
      </c>
      <c r="N233" s="2" t="inlineStr">
        <is>
          <t>ข้อ 5 (PLE_CC1_Key_Rx20_UBU.md)</t>
        </is>
      </c>
      <c r="O233" s="2" t="inlineStr">
        <is>
          <t>Mock</t>
        </is>
      </c>
      <c r="P233" s="2" t="inlineStr">
        <is>
          <t>Mock Rx20 UBU</t>
        </is>
      </c>
    </row>
    <row r="234" ht="13.2" customHeight="1" s="49">
      <c r="A234" s="2" t="n">
        <v>232</v>
      </c>
      <c r="B234" s="2"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2" t="n"/>
      <c r="D234" s="2" t="inlineStr">
        <is>
          <t>พ.ร.บ. หลักประกันสุขภาพแห่งชาติ พ.ศ. 2545</t>
        </is>
      </c>
      <c r="E234" s="2" t="inlineStr">
        <is>
          <t>การปฏิบัติทางเภสัชกรรมชุมชน (Good Pharmacy Practice: GPP)</t>
        </is>
      </c>
      <c r="F234" s="2" t="inlineStr">
        <is>
          <t>บัญชียาหลักแห่งชาติ (National List of Essential Medicines: NLEM)</t>
        </is>
      </c>
      <c r="G234" s="2" t="inlineStr">
        <is>
          <t>เกณฑ์จริยธรรมว่าด้วยการส่งเสริมการขายยาของกระทรวงสาธารณสุข</t>
        </is>
      </c>
      <c r="H234" s="2" t="inlineStr">
        <is>
          <t>พ.ร.บ. ยา พ.ศ. 2510 (การจำหน่ายยาอันตรายและยาควบคุมพิเศษ)</t>
        </is>
      </c>
      <c r="I234" s="2" t="n">
        <v>4</v>
      </c>
      <c r="J234" s="2"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2" t="n"/>
      <c r="L234" s="2" t="inlineStr">
        <is>
          <t>พ.ร.บ. ยาเสพติดให้โทษ &amp; วัตถุออกฤทธิ์</t>
        </is>
      </c>
      <c r="M234" s="2" t="inlineStr">
        <is>
          <t>SAP</t>
        </is>
      </c>
      <c r="N234" s="2" t="inlineStr">
        <is>
          <t>ข้อ 5 (PLE_CC1_Key_Rx20_UBU.md)</t>
        </is>
      </c>
      <c r="O234" s="2" t="inlineStr">
        <is>
          <t>Mock</t>
        </is>
      </c>
      <c r="P234" s="2" t="inlineStr">
        <is>
          <t>Mock Rx20 UBU</t>
        </is>
      </c>
    </row>
    <row r="235" ht="13.2" customHeight="1" s="49">
      <c r="A235" s="2" t="n">
        <v>233</v>
      </c>
      <c r="B235" s="2"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2" t="n"/>
      <c r="D235" s="2" t="inlineStr">
        <is>
          <t>อาหารในข้อใดต่อไปนี้ที่เหมาะสมในผู้ป่วยรายนี้</t>
        </is>
      </c>
      <c r="E235" s="2" t="inlineStr">
        <is>
          <t>พ.ร.บ. ยา พ.ศ. 2510 (การจำหน่ายยาอันตรายและยาควบคุมพิเศษ)</t>
        </is>
      </c>
      <c r="F235" s="2" t="inlineStr">
        <is>
          <t>พ.ร.บ. ยาเสพติดให้โทษ พ.ศ. 2522 (ยาเสพติดให้โทษประเภท 2 และ 3)</t>
        </is>
      </c>
      <c r="G235" s="2" t="inlineStr">
        <is>
          <t>พ.ร.บ. วัตถุที่ออกฤทธิ์ต่อจิตและประสาท พ.ศ. 2559 (ประเภท 2 และ 4)</t>
        </is>
      </c>
      <c r="H235" s="2" t="inlineStr">
        <is>
          <t>พ.ร.บ. วิชาชีพเภสัชกรรม พ.ศ. 2537 และข้อบังคับจรรยาบรรณวิชาชีพ</t>
        </is>
      </c>
      <c r="I235" s="2" t="n">
        <v>4</v>
      </c>
      <c r="J235" s="2"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2" t="n"/>
      <c r="L235" s="2" t="inlineStr">
        <is>
          <t>พ.ร.บ. ยา พ.ศ. 2510</t>
        </is>
      </c>
      <c r="M235" s="2" t="inlineStr">
        <is>
          <t>SAP</t>
        </is>
      </c>
      <c r="N235" s="2" t="inlineStr">
        <is>
          <t>ข้อ 5 (PLE_CC1_Key_Rx20_UBU.md)</t>
        </is>
      </c>
      <c r="O235" s="2" t="inlineStr">
        <is>
          <t>Mock</t>
        </is>
      </c>
      <c r="P235" s="2" t="inlineStr">
        <is>
          <t>Mock Rx20 UBU</t>
        </is>
      </c>
    </row>
    <row r="236" ht="13.2" customHeight="1" s="49">
      <c r="A236" s="2" t="n">
        <v>234</v>
      </c>
      <c r="B236" s="2" t="inlineStr">
        <is>
          <t>ฝ่าฝืน เพราะถือเป็นการโฆษณาที่กล่าวถึงโรคที่ห้ามโฆษณาตาม พรบ. ยา</t>
        </is>
      </c>
      <c r="C236" s="2" t="n"/>
      <c r="D236" s="2" t="inlineStr">
        <is>
          <t>พ.ร.บ. วัตถุที่ออกฤทธิ์ต่อจิตและประสาท พ.ศ. 2559 (ประเภท 2 และ 4)</t>
        </is>
      </c>
      <c r="E236" s="2" t="inlineStr">
        <is>
          <t>พ.ร.บ. วิชาชีพเภสัชกรรม พ.ศ. 2537 และข้อบังคับจรรยาบรรณวิชาชีพ</t>
        </is>
      </c>
      <c r="F236" s="2" t="inlineStr">
        <is>
          <t>พ.ร.บ. ผลิตภัณฑ์สมุนไพร พ.ศ. 2562</t>
        </is>
      </c>
      <c r="G236" s="2" t="inlineStr">
        <is>
          <t>พ.ร.บ. เครื่องสำอาง พ.ศ. 2558</t>
        </is>
      </c>
      <c r="H236" s="2" t="inlineStr">
        <is>
          <t>พ.ร.บ. หลักประกันสุขภาพแห่งชาติ พ.ศ. 2545</t>
        </is>
      </c>
      <c r="I236" s="2" t="n">
        <v>1</v>
      </c>
      <c r="J23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2" t="n"/>
      <c r="L236" s="2" t="inlineStr">
        <is>
          <t>พ.ร.บ. ยา พ.ศ. 2510</t>
        </is>
      </c>
      <c r="M236" s="2" t="inlineStr">
        <is>
          <t>SAP</t>
        </is>
      </c>
      <c r="N236" s="2" t="inlineStr">
        <is>
          <t>ข้อ 2 (PLE_CC1_Key_Rx20_UBU.md)</t>
        </is>
      </c>
      <c r="O236" s="2" t="inlineStr">
        <is>
          <t>Mock</t>
        </is>
      </c>
      <c r="P236" s="2" t="inlineStr">
        <is>
          <t>Mock Rx20 UBU</t>
        </is>
      </c>
    </row>
    <row r="237" ht="13.2" customHeight="1" s="49">
      <c r="A237" s="2" t="n">
        <v>235</v>
      </c>
      <c r="B237" s="2" t="inlineStr">
        <is>
          <t>Sodamint 1000 เม็ด จัดเป็นยาประเภทใดตามกฎหมาย</t>
        </is>
      </c>
      <c r="C237" s="2" t="n"/>
      <c r="D237" s="2" t="inlineStr">
        <is>
          <t>พ.ร.บ. เครื่องสำอาง พ.ศ. 2558</t>
        </is>
      </c>
      <c r="E237" s="2" t="inlineStr">
        <is>
          <t>พ.ร.บ. หลักประกันสุขภาพแห่งชาติ พ.ศ. 2545</t>
        </is>
      </c>
      <c r="F237" s="2" t="inlineStr">
        <is>
          <t>การปฏิบัติทางเภสัชกรรมชุมชน (Good Pharmacy Practice: GPP)</t>
        </is>
      </c>
      <c r="G237" s="2" t="inlineStr">
        <is>
          <t>บัญชียาหลักแห่งชาติ (National List of Essential Medicines: NLEM)</t>
        </is>
      </c>
      <c r="H237" s="2" t="inlineStr">
        <is>
          <t>เกณฑ์จริยธรรมว่าด้วยการส่งเสริมการขายยาของกระทรวงสาธารณสุข</t>
        </is>
      </c>
      <c r="I237" s="2" t="n">
        <v>1</v>
      </c>
      <c r="J23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2" t="n"/>
      <c r="L237" s="2" t="inlineStr">
        <is>
          <t>พ.ร.บ. ยา พ.ศ. 2510</t>
        </is>
      </c>
      <c r="M237" s="2" t="inlineStr">
        <is>
          <t>SAP</t>
        </is>
      </c>
      <c r="N237" s="2" t="inlineStr">
        <is>
          <t>ข้อ 9 (PLE_CC1_Key_Rx20_UBU.md)</t>
        </is>
      </c>
      <c r="O237" s="2" t="inlineStr">
        <is>
          <t>Mock</t>
        </is>
      </c>
      <c r="P237" s="2" t="inlineStr">
        <is>
          <t>Mock Rx20 UBU</t>
        </is>
      </c>
    </row>
    <row r="238" ht="13.2" customHeight="1" s="49">
      <c r="A238" s="2" t="n">
        <v>236</v>
      </c>
      <c r="B238" s="2"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2" t="n"/>
      <c r="D238" s="2" t="inlineStr">
        <is>
          <t>บัญชียาหลักแห่งชาติ (National List of Essential Medicines: NLEM)</t>
        </is>
      </c>
      <c r="E238" s="2" t="inlineStr">
        <is>
          <t>เกณฑ์จริยธรรมว่าด้วยการส่งเสริมการขายยาของกระทรวงสาธารณสุข</t>
        </is>
      </c>
      <c r="F238" s="2" t="inlineStr">
        <is>
          <t>พ.ร.บ. ยา พ.ศ. 2510 (การจำหน่ายยาอันตรายและยาควบคุมพิเศษ)</t>
        </is>
      </c>
      <c r="G238" s="2" t="inlineStr">
        <is>
          <t>พ.ร.บ. ยาเสพติดให้โทษ พ.ศ. 2522 (ยาเสพติดให้โทษประเภท 2 และ 3)</t>
        </is>
      </c>
      <c r="H238" s="2" t="inlineStr">
        <is>
          <t>พ.ร.บ. วัตถุที่ออกฤทธิ์ต่อจิตและประสาท พ.ศ. 2559 (ประเภท 2 และ 4)</t>
        </is>
      </c>
      <c r="I238" s="2" t="n">
        <v>1</v>
      </c>
      <c r="J23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2" t="n"/>
      <c r="L238" s="2" t="inlineStr">
        <is>
          <t>พ.ร.บ. ยา พ.ศ. 2510</t>
        </is>
      </c>
      <c r="M238" s="2" t="inlineStr">
        <is>
          <t>SAP</t>
        </is>
      </c>
      <c r="N238" s="2" t="inlineStr">
        <is>
          <t>ข้อ 5 (PLE_CC1_Key_Rx20_UBU.md)</t>
        </is>
      </c>
      <c r="O238" s="2" t="inlineStr">
        <is>
          <t>Mock</t>
        </is>
      </c>
      <c r="P238" s="2" t="inlineStr">
        <is>
          <t>Mock Rx20 UBU</t>
        </is>
      </c>
    </row>
    <row r="239" ht="13.2" customHeight="1" s="49">
      <c r="A239" s="2" t="n">
        <v>237</v>
      </c>
      <c r="B239" s="2"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2" t="n"/>
      <c r="D239" s="2" t="inlineStr">
        <is>
          <t>หากผู้ป่วยเริ่มใช้ยาไปแล้ว 2 สัปดาห์ (สูตร IRZE) เกิดอาการผื่นแดง ลอก ทั่วร่างกาย มีไข้ ควรจะจัดการอย่างไร</t>
        </is>
      </c>
      <c r="E239" s="2" t="inlineStr">
        <is>
          <t>พ.ร.บ. วัตถุที่ออกฤทธิ์ต่อจิตและประสาท พ.ศ. 2559 (ประเภท 2 และ 4)</t>
        </is>
      </c>
      <c r="F239" s="2" t="inlineStr">
        <is>
          <t>พ.ร.บ. วิชาชีพเภสัชกรรม พ.ศ. 2537 และข้อบังคับจรรยาบรรณวิชาชีพ</t>
        </is>
      </c>
      <c r="G239" s="2" t="inlineStr">
        <is>
          <t>พ.ร.บ. ผลิตภัณฑ์สมุนไพร พ.ศ. 2562</t>
        </is>
      </c>
      <c r="H239" s="2" t="inlineStr">
        <is>
          <t>พ.ร.บ. เครื่องสำอาง พ.ศ. 2558</t>
        </is>
      </c>
      <c r="I239" s="2" t="n">
        <v>1</v>
      </c>
      <c r="J239" s="2"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2" t="n"/>
      <c r="L239" s="2" t="inlineStr">
        <is>
          <t>พ.ร.บ. ยา พ.ศ. 2510</t>
        </is>
      </c>
      <c r="M239" s="2" t="inlineStr">
        <is>
          <t>SAP</t>
        </is>
      </c>
      <c r="N239" s="2" t="inlineStr">
        <is>
          <t>ข้อ 5 (PLE_CC1_Key_Rx20_UBU.md)</t>
        </is>
      </c>
      <c r="O239" s="2" t="inlineStr">
        <is>
          <t>Mock</t>
        </is>
      </c>
      <c r="P239" s="2" t="inlineStr">
        <is>
          <t>Mock Rx20 UBU</t>
        </is>
      </c>
    </row>
    <row r="240" ht="13.2" customHeight="1" s="49">
      <c r="A240" s="2" t="n">
        <v>238</v>
      </c>
      <c r="B240" s="2" t="inlineStr">
        <is>
          <t>ยาหยอดตา Sulfacetamide eye drops 10% แต่เมื่อนำไปตรวจสอบ พบว่ามีตัวยาเพียง 5% ยาดังกล่าวจัดเป็นยาใดตามกฎหมาย</t>
        </is>
      </c>
      <c r="C240" s="2" t="n"/>
      <c r="D240" s="2" t="inlineStr">
        <is>
          <t>ยาปลอม</t>
        </is>
      </c>
      <c r="E240" s="2" t="inlineStr">
        <is>
          <t>ยาไม่ได้มาตรฐาน</t>
        </is>
      </c>
      <c r="F240" s="2" t="inlineStr">
        <is>
          <t>ยาผิดมาตรฐาน</t>
        </is>
      </c>
      <c r="G240" s="2" t="inlineStr">
        <is>
          <t>ยาเสื่อมคุณภาพ</t>
        </is>
      </c>
      <c r="H240" s="2"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t>
        </is>
      </c>
      <c r="I240" s="2" t="n">
        <v>1</v>
      </c>
      <c r="J24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2" t="n"/>
      <c r="L240" s="2" t="inlineStr">
        <is>
          <t>พ.ร.บ. ยา พ.ศ. 2510</t>
        </is>
      </c>
      <c r="M240" s="2" t="inlineStr">
        <is>
          <t>SAP</t>
        </is>
      </c>
      <c r="N240" s="2" t="inlineStr">
        <is>
          <t>ข้อ 8 (PLE_CC1_Key_Rx20_UBU.md)</t>
        </is>
      </c>
      <c r="O240" s="2" t="inlineStr">
        <is>
          <t>Mock</t>
        </is>
      </c>
      <c r="P240" s="2" t="inlineStr">
        <is>
          <t>Mock Rx20 UBU</t>
        </is>
      </c>
    </row>
    <row r="241" ht="13.2" customHeight="1" s="49">
      <c r="A241" s="2" t="n">
        <v>239</v>
      </c>
      <c r="B241" s="2"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2" t="n"/>
      <c r="D241" s="2" t="inlineStr">
        <is>
          <t>การปฏิบัติทางเภสัชกรรมชุมชน (Good Pharmacy Practice: GPP)</t>
        </is>
      </c>
      <c r="E241" s="2" t="inlineStr">
        <is>
          <t>บัญชียาหลักแห่งชาติ (National List of Essential Medicines: NLEM)</t>
        </is>
      </c>
      <c r="F241" s="2" t="inlineStr">
        <is>
          <t>เกณฑ์จริยธรรมว่าด้วยการส่งเสริมการขายยาของกระทรวงสาธารณสุข</t>
        </is>
      </c>
      <c r="G241" s="2" t="inlineStr">
        <is>
          <t>พ.ร.บ. ยา พ.ศ. 2510 (การจำหน่ายยาอันตรายและยาควบคุมพิเศษ)</t>
        </is>
      </c>
      <c r="H241" s="2" t="inlineStr">
        <is>
          <t>พ.ร.บ. ยาเสพติดให้โทษ พ.ศ. 2522 (ยาเสพติดให้โทษประเภท 2 และ 3)</t>
        </is>
      </c>
      <c r="I241" s="2" t="n">
        <v>1</v>
      </c>
      <c r="J24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2" t="n"/>
      <c r="L241" s="2" t="inlineStr">
        <is>
          <t>พ.ร.บ. ยา พ.ศ. 2510</t>
        </is>
      </c>
      <c r="M241" s="2" t="inlineStr">
        <is>
          <t>SAP</t>
        </is>
      </c>
      <c r="N241" s="2" t="inlineStr">
        <is>
          <t>ข้อ 29 (PLE_CC1_Key_Rx20_UBU.md)</t>
        </is>
      </c>
      <c r="O241" s="2" t="inlineStr">
        <is>
          <t>Mock</t>
        </is>
      </c>
      <c r="P241" s="2" t="inlineStr">
        <is>
          <t>Mock Rx20 UBU</t>
        </is>
      </c>
    </row>
    <row r="242" ht="13.2" customHeight="1" s="49">
      <c r="A242" s="2" t="n">
        <v>240</v>
      </c>
      <c r="B242" s="2" t="inlineStr">
        <is>
          <t>องค์กรใดในประเทศไทยที่ทำหน้าที่ควบคุมค่าใช้จ่ายด้านยาของผู้ใช้สิทธิบัตรทองในหลักประกันสุขภาพแห่งชา ติ</t>
        </is>
      </c>
      <c r="C242" s="2" t="n"/>
      <c r="D242" s="2" t="inlineStr">
        <is>
          <t>พ.ร.บ. ยา พ.ศ. 2510 (การจำหน่ายยาอันตรายและยาควบคุมพิเศษ)</t>
        </is>
      </c>
      <c r="E242" s="2" t="inlineStr">
        <is>
          <t>พ.ร.บ. ยาเสพติดให้โทษ พ.ศ. 2522 (ยาเสพติดให้โทษประเภท 2 และ 3)</t>
        </is>
      </c>
      <c r="F242" s="2" t="inlineStr">
        <is>
          <t>พ.ร.บ. วัตถุที่ออกฤทธิ์ต่อจิตและประสาท พ.ศ. 2559 (ประเภท 2 และ 4)</t>
        </is>
      </c>
      <c r="G242" s="2" t="inlineStr">
        <is>
          <t>พ.ร.บ. วิชาชีพเภสัชกรรม พ.ศ. 2537 และข้อบังคับจรรยาบรรณวิชาชีพ</t>
        </is>
      </c>
      <c r="H242" s="2" t="inlineStr">
        <is>
          <t>พ.ร.บ. ผลิตภัณฑ์สมุนไพร พ.ศ. 2562</t>
        </is>
      </c>
      <c r="I242" s="2" t="n">
        <v>1</v>
      </c>
      <c r="J24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2" t="n"/>
      <c r="L242" s="2" t="inlineStr">
        <is>
          <t>พ.ร.บ. ยา พ.ศ. 2510</t>
        </is>
      </c>
      <c r="M242" s="2" t="inlineStr">
        <is>
          <t>SAP</t>
        </is>
      </c>
      <c r="N242" s="2" t="inlineStr">
        <is>
          <t>ข้อ 37 (PLE_CC1_Key_Rx20_UBU.md)</t>
        </is>
      </c>
      <c r="O242" s="2" t="inlineStr">
        <is>
          <t>Mock</t>
        </is>
      </c>
      <c r="P242" s="2" t="inlineStr">
        <is>
          <t>Mock Rx20 UBU</t>
        </is>
      </c>
    </row>
    <row r="243" ht="13.2" customHeight="1" s="49">
      <c r="A243" s="2" t="n">
        <v>241</v>
      </c>
      <c r="B243" s="2" t="inlineStr">
        <is>
          <t>สำนักงานประกันสังคม (สปส.)</t>
        </is>
      </c>
      <c r="C243" s="2" t="n"/>
      <c r="D243" s="2" t="inlineStr">
        <is>
          <t>พ.ร.บ. วิชาชีพเภสัชกรรม พ.ศ. 2537 และข้อบังคับจรรยาบรรณวิชาชีพ</t>
        </is>
      </c>
      <c r="E243" s="2" t="inlineStr">
        <is>
          <t>พ.ร.บ. ผลิตภัณฑ์สมุนไพร พ.ศ. 2562</t>
        </is>
      </c>
      <c r="F243" s="2" t="inlineStr">
        <is>
          <t>พ.ร.บ. เครื่องสำอาง พ.ศ. 2558</t>
        </is>
      </c>
      <c r="G243" s="2" t="inlineStr">
        <is>
          <t>พ.ร.บ. หลักประกันสุขภาพแห่งชาติ พ.ศ. 2545</t>
        </is>
      </c>
      <c r="H243" s="2" t="inlineStr">
        <is>
          <t>การปฏิบัติทางเภสัชกรรมชุมชน (Good Pharmacy Practice: GPP)</t>
        </is>
      </c>
      <c r="I243" s="2" t="n">
        <v>1</v>
      </c>
      <c r="J24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2" t="n"/>
      <c r="L243" s="2" t="inlineStr">
        <is>
          <t>พ.ร.บ. ยา พ.ศ. 2510</t>
        </is>
      </c>
      <c r="M243" s="2" t="inlineStr">
        <is>
          <t>SAP</t>
        </is>
      </c>
      <c r="N243" s="2" t="inlineStr">
        <is>
          <t>ข้อ 2 (PLE_CC1_Key_Rx20_UBU.md)</t>
        </is>
      </c>
      <c r="O243" s="2" t="inlineStr">
        <is>
          <t>Mock</t>
        </is>
      </c>
      <c r="P243" s="2" t="inlineStr">
        <is>
          <t>Mock Rx20 UBU</t>
        </is>
      </c>
    </row>
    <row r="244" ht="13.2" customHeight="1" s="49">
      <c r="A244" s="2" t="n">
        <v>242</v>
      </c>
      <c r="B244" s="2" t="inlineStr">
        <is>
          <t>สำนักงานหลักประกันสุขภาพแห่งชาติ (สปสช.)</t>
        </is>
      </c>
      <c r="C244" s="2" t="n"/>
      <c r="D244" s="2" t="inlineStr">
        <is>
          <t>พ.ร.บ. หลักประกันสุขภาพแห่งชาติ พ.ศ. 2545</t>
        </is>
      </c>
      <c r="E244" s="2" t="inlineStr">
        <is>
          <t>การปฏิบัติทางเภสัชกรรมชุมชน (Good Pharmacy Practice: GPP)</t>
        </is>
      </c>
      <c r="F244" s="2" t="inlineStr">
        <is>
          <t>บัญชียาหลักแห่งชาติ (National List of Essential Medicines: NLEM)</t>
        </is>
      </c>
      <c r="G244" s="2" t="inlineStr">
        <is>
          <t>เกณฑ์จริยธรรมว่าด้วยการส่งเสริมการขายยาของกระทรวงสาธารณสุข</t>
        </is>
      </c>
      <c r="H244" s="2" t="inlineStr">
        <is>
          <t>พ.ร.บ. ยา พ.ศ. 2510 (การจำหน่ายยาอันตรายและยาควบคุมพิเศษ)</t>
        </is>
      </c>
      <c r="I244" s="2" t="n">
        <v>1</v>
      </c>
      <c r="J24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พ.ร.บ. ยา พ.ศ. 2510</t>
        </is>
      </c>
      <c r="M244" s="2" t="inlineStr">
        <is>
          <t>SAP</t>
        </is>
      </c>
      <c r="N244" s="2" t="inlineStr">
        <is>
          <t>ข้อ 3 (PLE_CC1_Key_Rx20_UBU.md)</t>
        </is>
      </c>
      <c r="O244" s="2" t="inlineStr">
        <is>
          <t>Mock</t>
        </is>
      </c>
      <c r="P244" s="2" t="inlineStr">
        <is>
          <t>Mock Rx20 UBU</t>
        </is>
      </c>
    </row>
    <row r="245" ht="13.2" customHeight="1" s="49">
      <c r="A245" s="2" t="n">
        <v>243</v>
      </c>
      <c r="B245" s="2"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2" t="n"/>
      <c r="D245" s="2" t="inlineStr">
        <is>
          <t>เกณฑ์จริยธรรมว่าด้วยการส่งเสริมการขายยาของกระทรวงสาธารณสุข</t>
        </is>
      </c>
      <c r="E245" s="2" t="inlineStr">
        <is>
          <t>พ.ร.บ. ยา พ.ศ. 2510 (การจำหน่ายยาอันตรายและยาควบคุมพิเศษ)</t>
        </is>
      </c>
      <c r="F245" s="2" t="inlineStr">
        <is>
          <t>พ.ร.บ. ยาเสพติดให้โทษ พ.ศ. 2522 (ยาเสพติดให้โทษประเภท 2 และ 3)</t>
        </is>
      </c>
      <c r="G245" s="2" t="inlineStr">
        <is>
          <t>พ.ร.บ. วัตถุที่ออกฤทธิ์ต่อจิตและประสาท พ.ศ. 2559 (ประเภท 2 และ 4)</t>
        </is>
      </c>
      <c r="H245" s="2" t="inlineStr">
        <is>
          <t>พ.ร.บ. วิชาชีพเภสัชกรรม พ.ศ. 2537 และข้อบังคับจรรยาบรรณวิชาชีพ</t>
        </is>
      </c>
      <c r="I245" s="2" t="n">
        <v>1</v>
      </c>
      <c r="J24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2" t="n"/>
      <c r="L245" s="2" t="inlineStr">
        <is>
          <t>พ.ร.บ. ยา พ.ศ. 2510</t>
        </is>
      </c>
      <c r="M245" s="2" t="inlineStr">
        <is>
          <t>SAP</t>
        </is>
      </c>
      <c r="N245" s="2" t="inlineStr">
        <is>
          <t>ข้อ 52 (PLE_CC1_Key_Rx20_UBU.md)</t>
        </is>
      </c>
      <c r="O245" s="2" t="inlineStr">
        <is>
          <t>Mock</t>
        </is>
      </c>
      <c r="P245" s="2" t="inlineStr">
        <is>
          <t>Mock Rx20 UBU</t>
        </is>
      </c>
    </row>
    <row r="246" ht="13.2" customHeight="1" s="49">
      <c r="A246" s="2" t="n">
        <v>244</v>
      </c>
      <c r="B246" s="2" t="inlineStr">
        <is>
          <t>เภสัชกรสุอาภา สายสะอาด จบจาก</t>
        </is>
      </c>
      <c r="C246" s="2" t="n"/>
      <c r="D246" s="2" t="inlineStr">
        <is>
          <t>พ.ร.บ. วัตถุที่ออกฤทธิ์ต่อจิตและประสาท พ.ศ. 2559 (ประเภท 2 และ 4)</t>
        </is>
      </c>
      <c r="E246" s="2" t="inlineStr">
        <is>
          <t>พ.ร.บ. วิชาชีพเภสัชกรรม พ.ศ. 2537 และข้อบังคับจรรยาบรรณวิชาชีพ</t>
        </is>
      </c>
      <c r="F246" s="2" t="inlineStr">
        <is>
          <t>พ.ร.บ. ผลิตภัณฑ์สมุนไพร พ.ศ. 2562</t>
        </is>
      </c>
      <c r="G246" s="2" t="inlineStr">
        <is>
          <t>พ.ร.บ. เครื่องสำอาง พ.ศ. 2558</t>
        </is>
      </c>
      <c r="H246" s="2" t="inlineStr">
        <is>
          <t>พ.ร.บ. หลักประกันสุขภาพแห่งชาติ พ.ศ. 2545</t>
        </is>
      </c>
      <c r="I246" s="2" t="n">
        <v>1</v>
      </c>
      <c r="J24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2" t="n"/>
      <c r="L246" s="2" t="inlineStr">
        <is>
          <t>พ.ร.บ. ยา พ.ศ. 2510</t>
        </is>
      </c>
      <c r="M246" s="2" t="inlineStr">
        <is>
          <t>SAP</t>
        </is>
      </c>
      <c r="N246" s="2" t="inlineStr">
        <is>
          <t>ข้อ 62 (PLE_CC1_Key_Rx20_UBU.md)</t>
        </is>
      </c>
      <c r="O246" s="2" t="inlineStr">
        <is>
          <t>Mock</t>
        </is>
      </c>
      <c r="P246" s="2" t="inlineStr">
        <is>
          <t>Mock Rx20 UBU</t>
        </is>
      </c>
    </row>
    <row r="247" ht="13.2" customHeight="1" s="49">
      <c r="A247" s="2" t="n">
        <v>245</v>
      </c>
      <c r="B247" s="2" t="inlineStr">
        <is>
          <t>ยา Pioglitazone เป็นยาประเภทใดตามกฎหมาย</t>
        </is>
      </c>
      <c r="C247" s="2" t="n"/>
      <c r="D247" s="2" t="inlineStr">
        <is>
          <t>พ.ร.บ. เครื่องสำอาง พ.ศ. 2558</t>
        </is>
      </c>
      <c r="E247" s="2" t="inlineStr">
        <is>
          <t>พ.ร.บ. หลักประกันสุขภาพแห่งชาติ พ.ศ. 2545</t>
        </is>
      </c>
      <c r="F247" s="2" t="inlineStr">
        <is>
          <t>การปฏิบัติทางเภสัชกรรมชุมชน (Good Pharmacy Practice: GPP)</t>
        </is>
      </c>
      <c r="G247" s="2" t="inlineStr">
        <is>
          <t>บัญชียาหลักแห่งชาติ (National List of Essential Medicines: NLEM)</t>
        </is>
      </c>
      <c r="H247" s="2" t="inlineStr">
        <is>
          <t>เกณฑ์จริยธรรมว่าด้วยการส่งเสริมการขายยาของกระทรวงสาธารณสุข</t>
        </is>
      </c>
      <c r="I247" s="2" t="n">
        <v>1</v>
      </c>
      <c r="J24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2" t="n"/>
      <c r="L247" s="2" t="inlineStr">
        <is>
          <t>พ.ร.บ. ยา พ.ศ. 2510</t>
        </is>
      </c>
      <c r="M247" s="2" t="inlineStr">
        <is>
          <t>SAP</t>
        </is>
      </c>
      <c r="N247" s="2" t="inlineStr">
        <is>
          <t>ข้อ 69 (PLE_CC1_Key_Rx20_UBU.md)</t>
        </is>
      </c>
      <c r="O247" s="2" t="inlineStr">
        <is>
          <t>Mock</t>
        </is>
      </c>
      <c r="P247" s="2" t="inlineStr">
        <is>
          <t>Mock Rx20 UBU</t>
        </is>
      </c>
    </row>
    <row r="248" ht="13.2" customHeight="1" s="49">
      <c r="A248" s="2" t="n">
        <v>246</v>
      </c>
      <c r="B248" s="2" t="inlineStr">
        <is>
          <t>หากเภสัชกรตัดสินใจจ่ายยา Misoprostal ให้แก่ผู้หญิงที่ตั้งครรภ์ไม่พึงประสงค์จะผิดจรรยาบรรณวิชาชีพข้อใด</t>
        </is>
      </c>
      <c r="C248" s="2" t="n"/>
      <c r="D248" s="2" t="inlineStr">
        <is>
          <t>บัญชียาหลักแห่งชาติ (National List of Essential Medicines: NLEM)</t>
        </is>
      </c>
      <c r="E248" s="2" t="inlineStr">
        <is>
          <t>เกณฑ์จริยธรรมว่าด้วยการส่งเสริมการขายยาของกระทรวงสาธารณสุข</t>
        </is>
      </c>
      <c r="F248" s="2" t="inlineStr">
        <is>
          <t>พ.ร.บ. ยา พ.ศ. 2510 (การจำหน่ายยาอันตรายและยาควบคุมพิเศษ)</t>
        </is>
      </c>
      <c r="G248" s="2" t="inlineStr">
        <is>
          <t>พ.ร.บ. ยาเสพติดให้โทษ พ.ศ. 2522 (ยาเสพติดให้โทษประเภท 2 และ 3)</t>
        </is>
      </c>
      <c r="H248" s="2" t="inlineStr">
        <is>
          <t>พ.ร.บ. วัตถุที่ออกฤทธิ์ต่อจิตและประสาท พ.ศ. 2559 (ประเภท 2 และ 4)</t>
        </is>
      </c>
      <c r="I248" s="2" t="n">
        <v>1</v>
      </c>
      <c r="J24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2" t="n"/>
      <c r="L248" s="2" t="inlineStr">
        <is>
          <t>พ.ร.บ. วิชาชีพเภสัชกรรม 2537</t>
        </is>
      </c>
      <c r="M248" s="2" t="inlineStr">
        <is>
          <t>SAP</t>
        </is>
      </c>
      <c r="N248" s="2" t="inlineStr">
        <is>
          <t>ข้อ 85 (PLE_CC1_Key_Rx20_UBU.md)</t>
        </is>
      </c>
      <c r="O248" s="2" t="inlineStr">
        <is>
          <t>Mock</t>
        </is>
      </c>
      <c r="P248" s="2" t="inlineStr">
        <is>
          <t>Mock Rx20 UBU</t>
        </is>
      </c>
    </row>
    <row r="249" ht="13.2" customHeight="1" s="49">
      <c r="A249" s="2" t="n">
        <v>247</v>
      </c>
      <c r="B249" s="2" t="inlineStr">
        <is>
          <t>จรรยาบรรณวิชาชีพที่เกี่ยวข้องกับความปลอดภัยของผู้ป่วย</t>
        </is>
      </c>
      <c r="C249" s="2" t="n"/>
      <c r="D249" s="2" t="inlineStr">
        <is>
          <t>พ.ร.บ. ยาเสพติดให้โทษ พ.ศ. 2522 (ยาเสพติดให้โทษประเภท 2 และ 3)</t>
        </is>
      </c>
      <c r="E249" s="2" t="inlineStr">
        <is>
          <t>พ.ร.บ. วัตถุที่ออกฤทธิ์ต่อจิตและประสาท พ.ศ. 2559 (ประเภท 2 และ 4)</t>
        </is>
      </c>
      <c r="F249" s="2" t="inlineStr">
        <is>
          <t>พ.ร.บ. วิชาชีพเภสัชกรรม พ.ศ. 2537 และข้อบังคับจรรยาบรรณวิชาชีพ</t>
        </is>
      </c>
      <c r="G249" s="2" t="inlineStr">
        <is>
          <t>พ.ร.บ. ผลิตภัณฑ์สมุนไพร พ.ศ. 2562</t>
        </is>
      </c>
      <c r="H249" s="2" t="inlineStr">
        <is>
          <t>พ.ร.บ. เครื่องสำอาง พ.ศ. 2558</t>
        </is>
      </c>
      <c r="I249" s="2" t="n">
        <v>1</v>
      </c>
      <c r="J24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2" t="n"/>
      <c r="L249" s="2" t="inlineStr">
        <is>
          <t>พ.ร.บ. วิชาชีพเภสัชกรรม 2537</t>
        </is>
      </c>
      <c r="M249" s="2" t="inlineStr">
        <is>
          <t>SAP</t>
        </is>
      </c>
      <c r="N249" s="2" t="inlineStr">
        <is>
          <t>ข้อ 4 (PLE_CC1_Key_Rx20_UBU.md)</t>
        </is>
      </c>
      <c r="O249" s="2" t="inlineStr">
        <is>
          <t>Mock</t>
        </is>
      </c>
      <c r="P249" s="2" t="inlineStr">
        <is>
          <t>Mock Rx20 UBU</t>
        </is>
      </c>
    </row>
    <row r="250" ht="13.2" customHeight="1" s="49">
      <c r="A250" s="2" t="n">
        <v>248</v>
      </c>
      <c r="B250" s="2"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2" t="n"/>
      <c r="D250" s="2" t="inlineStr">
        <is>
          <t>พ.ร.บ. ผลิตภัณฑ์สมุนไพร พ.ศ. 2562</t>
        </is>
      </c>
      <c r="E250" s="2" t="inlineStr">
        <is>
          <t>พ.ร.บ. เครื่องสำอาง พ.ศ. 2558</t>
        </is>
      </c>
      <c r="F250" s="2" t="inlineStr">
        <is>
          <t>พ.ร.บ. หลักประกันสุขภาพแห่งชาติ พ.ศ. 2545</t>
        </is>
      </c>
      <c r="G250" s="2" t="inlineStr">
        <is>
          <t>การปฏิบัติทางเภสัชกรรมชุมชน (Good Pharmacy Practice: GPP)</t>
        </is>
      </c>
      <c r="H250" s="2" t="inlineStr">
        <is>
          <t>บัญชียาหลักแห่งชาติ (National List of Essential Medicines: NLEM)</t>
        </is>
      </c>
      <c r="I250" s="2" t="n">
        <v>1</v>
      </c>
      <c r="J25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2" t="n"/>
      <c r="L250" s="2" t="inlineStr">
        <is>
          <t>พ.ร.บ. วิชาชีพเภสัชกรรม 2537</t>
        </is>
      </c>
      <c r="M250" s="2" t="inlineStr">
        <is>
          <t>SAP</t>
        </is>
      </c>
      <c r="N250" s="2" t="inlineStr">
        <is>
          <t>ข้อ 5 (PLE_CC1_Key_Rx20_UBU.md)</t>
        </is>
      </c>
      <c r="O250" s="2" t="inlineStr">
        <is>
          <t>Mock</t>
        </is>
      </c>
      <c r="P250" s="2" t="inlineStr">
        <is>
          <t>Mock Rx20 UBU</t>
        </is>
      </c>
    </row>
    <row r="251" ht="13.2" customHeight="1" s="49">
      <c r="A251" s="2" t="n">
        <v>249</v>
      </c>
      <c r="B251" s="2"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2" t="n"/>
      <c r="D251" s="2" t="inlineStr">
        <is>
          <t>Cost description</t>
        </is>
      </c>
      <c r="E251" s="2" t="inlineStr">
        <is>
          <t>Cost minimization analysis</t>
        </is>
      </c>
      <c r="F251" s="2" t="inlineStr">
        <is>
          <t>Cost beneﬁt analysis</t>
        </is>
      </c>
      <c r="G251" s="2" t="inlineStr">
        <is>
          <t>Cost utility analysis</t>
        </is>
      </c>
      <c r="H251" s="2"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t>
        </is>
      </c>
      <c r="I251" s="2" t="n">
        <v>2</v>
      </c>
      <c r="J251" s="2"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2" t="n"/>
      <c r="L251" s="2" t="inlineStr">
        <is>
          <t>พ.ร.บ. ยา พ.ศ. 2510</t>
        </is>
      </c>
      <c r="M251" s="2" t="inlineStr">
        <is>
          <t>SAP</t>
        </is>
      </c>
      <c r="N251" s="2" t="inlineStr">
        <is>
          <t>ข้อ 34 (PLE_CC1_Key_Rx20_UBU.md)</t>
        </is>
      </c>
      <c r="O251" s="2" t="inlineStr">
        <is>
          <t>Mock</t>
        </is>
      </c>
      <c r="P251" s="2" t="inlineStr">
        <is>
          <t>Mock Rx20 UBU</t>
        </is>
      </c>
    </row>
    <row r="252" ht="13.2" customHeight="1" s="49">
      <c r="A252" s="2" t="n">
        <v>250</v>
      </c>
      <c r="B252" s="2"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2" t="n"/>
      <c r="D252" s="2" t="inlineStr">
        <is>
          <t>พ.ร.บ. ยา พ.ศ. 2510 (การจำหน่ายยาอันตรายและยาควบคุมพิเศษ)</t>
        </is>
      </c>
      <c r="E252" s="2" t="inlineStr">
        <is>
          <t>พ.ร.บ. ยาเสพติดให้โทษ พ.ศ. 2522 (ยาเสพติดให้โทษประเภท 2 และ 3)</t>
        </is>
      </c>
      <c r="F252" s="2" t="inlineStr">
        <is>
          <t>พ.ร.บ. วัตถุที่ออกฤทธิ์ต่อจิตและประสาท พ.ศ. 2559 (ประเภท 2 และ 4)</t>
        </is>
      </c>
      <c r="G252" s="2" t="inlineStr">
        <is>
          <t>พ.ร.บ. วิชาชีพเภสัชกรรม พ.ศ. 2537 และข้อบังคับจรรยาบรรณวิชาชีพ</t>
        </is>
      </c>
      <c r="H252" s="2" t="inlineStr">
        <is>
          <t>พ.ร.บ. ผลิตภัณฑ์สมุนไพร พ.ศ. 2562</t>
        </is>
      </c>
      <c r="I252" s="2" t="n">
        <v>1</v>
      </c>
      <c r="J25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พ.ร.บ. ยา พ.ศ. 2510</t>
        </is>
      </c>
      <c r="M252" s="2" t="inlineStr">
        <is>
          <t>SAP</t>
        </is>
      </c>
      <c r="N252" s="2" t="inlineStr">
        <is>
          <t>ข้อ 43 (PLE_CC1_Key_Rx20_UBU.md)</t>
        </is>
      </c>
      <c r="O252" s="2" t="inlineStr">
        <is>
          <t>Mock</t>
        </is>
      </c>
      <c r="P252" s="2" t="inlineStr">
        <is>
          <t>Mock Rx20 UBU</t>
        </is>
      </c>
    </row>
    <row r="253" ht="13.2" customHeight="1" s="49">
      <c r="A253" s="2" t="n">
        <v>251</v>
      </c>
      <c r="B253" s="2"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2" t="n"/>
      <c r="D253" s="2" t="inlineStr">
        <is>
          <t>พ.ร.บ. วิชาชีพเภสัชกรรม พ.ศ. 2537 และข้อบังคับจรรยาบรรณวิชาชีพ</t>
        </is>
      </c>
      <c r="E253" s="2" t="inlineStr">
        <is>
          <t>พ.ร.บ. ผลิตภัณฑ์สมุนไพร พ.ศ. 2562</t>
        </is>
      </c>
      <c r="F253" s="2" t="inlineStr">
        <is>
          <t>พ.ร.บ. เครื่องสำอาง พ.ศ. 2558</t>
        </is>
      </c>
      <c r="G253" s="2" t="inlineStr">
        <is>
          <t>พ.ร.บ. หลักประกันสุขภาพแห่งชาติ พ.ศ. 2545</t>
        </is>
      </c>
      <c r="H253" s="2" t="inlineStr">
        <is>
          <t>การปฏิบัติทางเภสัชกรรมชุมชน (Good Pharmacy Practice: GPP)</t>
        </is>
      </c>
      <c r="I253" s="2" t="n">
        <v>3</v>
      </c>
      <c r="J253" s="2"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2" t="n"/>
      <c r="L253" s="2" t="inlineStr">
        <is>
          <t>พ.ร.บ. ยา พ.ศ. 2510</t>
        </is>
      </c>
      <c r="M253" s="2" t="inlineStr">
        <is>
          <t>SAP</t>
        </is>
      </c>
      <c r="N253" s="2" t="inlineStr">
        <is>
          <t>ข้อ 55 (PLE_CC1_Key_Rx20_UBU.md)</t>
        </is>
      </c>
      <c r="O253" s="2" t="inlineStr">
        <is>
          <t>Mock</t>
        </is>
      </c>
      <c r="P253" s="2" t="inlineStr">
        <is>
          <t>Mock Rx20 UBU</t>
        </is>
      </c>
    </row>
    <row r="254" ht="13.2" customHeight="1" s="49">
      <c r="A254" s="2" t="n">
        <v>252</v>
      </c>
      <c r="B254" s="2" t="inlineStr">
        <is>
          <t>ไมGได$ เพราะ เพราะ พรบ.ยา หมวด 11 การโฆษณา มาตรา 88 ข$อ 6. ไมGแสดงยาอันตราย,ยาควบคุมพิเศษ</t>
        </is>
      </c>
      <c r="C254" s="2" t="n"/>
      <c r="D254" s="2" t="inlineStr">
        <is>
          <t>พ.ร.บ. หลักประกันสุขภาพแห่งชาติ พ.ศ. 2545</t>
        </is>
      </c>
      <c r="E254" s="2" t="inlineStr">
        <is>
          <t>การปฏิบัติทางเภสัชกรรมชุมชน (Good Pharmacy Practice: GPP)</t>
        </is>
      </c>
      <c r="F254" s="2" t="inlineStr">
        <is>
          <t>บัญชียาหลักแห่งชาติ (National List of Essential Medicines: NLEM)</t>
        </is>
      </c>
      <c r="G254" s="2" t="inlineStr">
        <is>
          <t>เกณฑ์จริยธรรมว่าด้วยการส่งเสริมการขายยาของกระทรวงสาธารณสุข</t>
        </is>
      </c>
      <c r="H254" s="2" t="inlineStr">
        <is>
          <t>พ.ร.บ. ยา พ.ศ. 2510 (การจำหน่ายยาอันตรายและยาควบคุมพิเศษ)</t>
        </is>
      </c>
      <c r="I254" s="2" t="n">
        <v>2</v>
      </c>
      <c r="J254" s="2"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2" t="n"/>
      <c r="L254" s="2" t="inlineStr">
        <is>
          <t>พ.ร.บ. ยา พ.ศ. 2510</t>
        </is>
      </c>
      <c r="M254" s="2" t="inlineStr">
        <is>
          <t>SAP</t>
        </is>
      </c>
      <c r="N254" s="2" t="inlineStr">
        <is>
          <t>ข้อ 5 (PLE_CC1_Key_Rx20_UBU.md)</t>
        </is>
      </c>
      <c r="O254" s="2" t="inlineStr">
        <is>
          <t>Mock</t>
        </is>
      </c>
      <c r="P254" s="2" t="inlineStr">
        <is>
          <t>Mock Rx20 UBU</t>
        </is>
      </c>
    </row>
    <row r="255" ht="13.2" customHeight="1" s="49">
      <c r="A255" s="2" t="n">
        <v>253</v>
      </c>
      <c r="B255" s="2" t="inlineStr">
        <is>
          <t>Isotetinoin gel กับ isotetinoin capsule จัดเปญนยาประเภทใดตามกฎหมาย</t>
        </is>
      </c>
      <c r="C255" s="2" t="n"/>
      <c r="D255" s="2" t="inlineStr">
        <is>
          <t>เกณฑ์จริยธรรมว่าด้วยการส่งเสริมการขายยาของกระทรวงสาธารณสุข</t>
        </is>
      </c>
      <c r="E255" s="2" t="inlineStr">
        <is>
          <t>พ.ร.บ. ยา พ.ศ. 2510 (การจำหน่ายยาอันตรายและยาควบคุมพิเศษ)</t>
        </is>
      </c>
      <c r="F255" s="2" t="inlineStr">
        <is>
          <t>พ.ร.บ. ยาเสพติดให้โทษ พ.ศ. 2522 (ยาเสพติดให้โทษประเภท 2 และ 3)</t>
        </is>
      </c>
      <c r="G255" s="2" t="inlineStr">
        <is>
          <t>พ.ร.บ. วัตถุที่ออกฤทธิ์ต่อจิตและประสาท พ.ศ. 2559 (ประเภท 2 และ 4)</t>
        </is>
      </c>
      <c r="H255" s="2" t="inlineStr">
        <is>
          <t>พ.ร.บ. วิชาชีพเภสัชกรรม พ.ศ. 2537 และข้อบังคับจรรยาบรรณวิชาชีพ</t>
        </is>
      </c>
      <c r="I255" s="2" t="n">
        <v>1</v>
      </c>
      <c r="J25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2" t="n"/>
      <c r="L255" s="2" t="inlineStr">
        <is>
          <t>พ.ร.บ. ยา พ.ศ. 2510</t>
        </is>
      </c>
      <c r="M255" s="2" t="inlineStr">
        <is>
          <t>SAP</t>
        </is>
      </c>
      <c r="N255" s="2" t="inlineStr">
        <is>
          <t>ข้อ 10 (PLE_CC1_Key_Rx20_UBU.md)</t>
        </is>
      </c>
      <c r="O255" s="2" t="inlineStr">
        <is>
          <t>Mock</t>
        </is>
      </c>
      <c r="P255" s="2" t="inlineStr">
        <is>
          <t>Mock Rx20 UBU</t>
        </is>
      </c>
    </row>
    <row r="256" ht="13.2" customHeight="1" s="49">
      <c r="A256" s="2" t="n">
        <v>254</v>
      </c>
      <c r="B256" s="2" t="inlineStr">
        <is>
          <t>การฉีดยาทาง IM ให$คGาชีวประสิทธิผล (Bioavailability) 100%</t>
        </is>
      </c>
      <c r="C256" s="2" t="n"/>
      <c r="D256" s="2" t="inlineStr">
        <is>
          <t>พ.ร.บ. วัตถุที่ออกฤทธิ์ต่อจิตและประสาท พ.ศ. 2559 (ประเภท 2 และ 4)</t>
        </is>
      </c>
      <c r="E256" s="2" t="inlineStr">
        <is>
          <t>พ.ร.บ. วิชาชีพเภสัชกรรม พ.ศ. 2537 และข้อบังคับจรรยาบรรณวิชาชีพ</t>
        </is>
      </c>
      <c r="F256" s="2" t="inlineStr">
        <is>
          <t>พ.ร.บ. ผลิตภัณฑ์สมุนไพร พ.ศ. 2562</t>
        </is>
      </c>
      <c r="G256" s="2" t="inlineStr">
        <is>
          <t>พ.ร.บ. เครื่องสำอาง พ.ศ. 2558</t>
        </is>
      </c>
      <c r="H256" s="2" t="inlineStr">
        <is>
          <t>พ.ร.บ. หลักประกันสุขภาพแห่งชาติ พ.ศ. 2545</t>
        </is>
      </c>
      <c r="I256" s="2" t="n">
        <v>1</v>
      </c>
      <c r="J25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2" t="n"/>
      <c r="L256" s="2" t="inlineStr">
        <is>
          <t>พ.ร.บ. ยา พ.ศ. 2510</t>
        </is>
      </c>
      <c r="M256" s="2" t="inlineStr">
        <is>
          <t>SAP</t>
        </is>
      </c>
      <c r="N256" s="2" t="inlineStr">
        <is>
          <t>ข้อ 3 (PLE_CC1_Key_Rx20_UBU.md)</t>
        </is>
      </c>
      <c r="O256" s="2" t="inlineStr">
        <is>
          <t>Mock</t>
        </is>
      </c>
      <c r="P256" s="2" t="inlineStr">
        <is>
          <t>Mock Rx20 UBU</t>
        </is>
      </c>
    </row>
    <row r="257" ht="13.2" customHeight="1" s="49">
      <c r="A257" s="2" t="n">
        <v>255</v>
      </c>
      <c r="B257" s="2"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2" t="n"/>
      <c r="D257" s="2" t="inlineStr">
        <is>
          <t>พ.ร.บ. เครื่องสำอาง พ.ศ. 2558</t>
        </is>
      </c>
      <c r="E257" s="2" t="inlineStr">
        <is>
          <t>พ.ร.บ. หลักประกันสุขภาพแห่งชาติ พ.ศ. 2545</t>
        </is>
      </c>
      <c r="F257" s="2" t="inlineStr">
        <is>
          <t>การปฏิบัติทางเภสัชกรรมชุมชน (Good Pharmacy Practice: GPP)</t>
        </is>
      </c>
      <c r="G257" s="2" t="inlineStr">
        <is>
          <t>บัญชียาหลักแห่งชาติ (National List of Essential Medicines: NLEM)</t>
        </is>
      </c>
      <c r="H257" s="2" t="inlineStr">
        <is>
          <t>เกณฑ์จริยธรรมว่าด้วยการส่งเสริมการขายยาของกระทรวงสาธารณสุข</t>
        </is>
      </c>
      <c r="I257" s="2" t="n">
        <v>1</v>
      </c>
      <c r="J25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2" t="n"/>
      <c r="L257" s="2" t="inlineStr">
        <is>
          <t>พ.ร.บ. ยา พ.ศ. 2510</t>
        </is>
      </c>
      <c r="M257" s="2" t="inlineStr">
        <is>
          <t>SAP</t>
        </is>
      </c>
      <c r="N257" s="2" t="inlineStr">
        <is>
          <t>ข้อ 77 (PLE_CC1_Key_Rx20_UBU.md)</t>
        </is>
      </c>
      <c r="O257" s="2" t="inlineStr">
        <is>
          <t>Mock</t>
        </is>
      </c>
      <c r="P257" s="2" t="inlineStr">
        <is>
          <t>Mock Rx20 UBU</t>
        </is>
      </c>
    </row>
    <row r="258" ht="13.2" customHeight="1" s="49">
      <c r="A258" s="2" t="n">
        <v>256</v>
      </c>
      <c r="B258" s="2" t="inlineStr">
        <is>
          <t>มีถามกฎหมาย เกี่ยวกับ Alprazolam P2 โจทย_ไมGสมบูรณ_</t>
        </is>
      </c>
      <c r="C258" s="2" t="n"/>
      <c r="D258" s="2" t="inlineStr">
        <is>
          <t>บัญชียาหลักแห่งชาติ (National List of Essential Medicines: NLEM)</t>
        </is>
      </c>
      <c r="E258" s="2" t="inlineStr">
        <is>
          <t>เกณฑ์จริยธรรมว่าด้วยการส่งเสริมการขายยาของกระทรวงสาธารณสุข</t>
        </is>
      </c>
      <c r="F258" s="2" t="inlineStr">
        <is>
          <t>พ.ร.บ. ยา พ.ศ. 2510 (การจำหน่ายยาอันตรายและยาควบคุมพิเศษ)</t>
        </is>
      </c>
      <c r="G258" s="2" t="inlineStr">
        <is>
          <t>พ.ร.บ. ยาเสพติดให้โทษ พ.ศ. 2522 (ยาเสพติดให้โทษประเภท 2 และ 3)</t>
        </is>
      </c>
      <c r="H258" s="2" t="inlineStr">
        <is>
          <t>พ.ร.บ. วัตถุที่ออกฤทธิ์ต่อจิตและประสาท พ.ศ. 2559 (ประเภท 2 และ 4)</t>
        </is>
      </c>
      <c r="I258" s="2" t="n">
        <v>1</v>
      </c>
      <c r="J25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2" t="n"/>
      <c r="L258" s="2" t="inlineStr">
        <is>
          <t>พ.ร.บ. ยา พ.ศ. 2510</t>
        </is>
      </c>
      <c r="M258" s="2" t="inlineStr">
        <is>
          <t>SAP</t>
        </is>
      </c>
      <c r="N258" s="2" t="inlineStr">
        <is>
          <t>ข้อ 78 (PLE_CC1_Key_Rx20_UBU.md)</t>
        </is>
      </c>
      <c r="O258" s="2" t="inlineStr">
        <is>
          <t>Mock</t>
        </is>
      </c>
      <c r="P258" s="2" t="inlineStr">
        <is>
          <t>Mock Rx20 UBU</t>
        </is>
      </c>
    </row>
    <row r="259" ht="13.2" customHeight="1" s="49">
      <c r="A259" s="2" t="n">
        <v>257</v>
      </c>
      <c r="B259" s="2"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2" t="n"/>
      <c r="D259" s="2" t="inlineStr">
        <is>
          <t>กระทำไมGได$ เนื่องจากเปญนการขายยานอกสถานที่</t>
        </is>
      </c>
      <c r="E259" s="2" t="inlineStr">
        <is>
          <t>กระทำไมGได$ เนื่องจากเปญนการขายยาโดยไมGได$รับอนุญาต</t>
        </is>
      </c>
      <c r="F259" s="2" t="inlineStr">
        <is>
          <t>กระทำได$ เนื่องจากเปญนการขายยาสามัญประจำบ$าน??? (ไมGแนGใจ)</t>
        </is>
      </c>
      <c r="G259" s="2" t="inlineStr">
        <is>
          <t>กระทำได$ เนื่องจากเปญนการขายยาสมุนไพร</t>
        </is>
      </c>
      <c r="H259" s="2" t="inlineStr">
        <is>
          <t>กระทำได$หากนายเอกเปญนผู$ประกอบวิชาชีพเวชกรรมแผนไทย</t>
        </is>
      </c>
      <c r="I259" s="2" t="n">
        <v>2</v>
      </c>
      <c r="J259" s="2"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2" t="n"/>
      <c r="L259" s="2" t="inlineStr">
        <is>
          <t>พ.ร.บ. ยา พ.ศ. 2510</t>
        </is>
      </c>
      <c r="M259" s="2" t="inlineStr">
        <is>
          <t>SAP</t>
        </is>
      </c>
      <c r="N259" s="2" t="inlineStr">
        <is>
          <t>ข้อ 88 (PLE_CC1_Key_Rx20_UBU.md)</t>
        </is>
      </c>
      <c r="O259" s="2" t="inlineStr">
        <is>
          <t>Mock</t>
        </is>
      </c>
      <c r="P259" s="2" t="inlineStr">
        <is>
          <t>Mock Rx20 UBU</t>
        </is>
      </c>
    </row>
    <row r="260" ht="13.2" customHeight="1" s="49">
      <c r="A260" s="2" t="n">
        <v>258</v>
      </c>
      <c r="B260" s="2" t="inlineStr">
        <is>
          <t>มีต$นทุน-ประสิทธิผลต่ำ</t>
        </is>
      </c>
      <c r="C260" s="2" t="n"/>
      <c r="D260" s="2" t="inlineStr">
        <is>
          <t>พ.ร.บ. ผลิตภัณฑ์สมุนไพร พ.ศ. 2562</t>
        </is>
      </c>
      <c r="E260" s="2" t="inlineStr">
        <is>
          <t>พ.ร.บ. เครื่องสำอาง พ.ศ. 2558</t>
        </is>
      </c>
      <c r="F260" s="2" t="inlineStr">
        <is>
          <t>พ.ร.บ. หลักประกันสุขภาพแห่งชาติ พ.ศ. 2545</t>
        </is>
      </c>
      <c r="G260" s="2" t="inlineStr">
        <is>
          <t>การปฏิบัติทางเภสัชกรรมชุมชน (Good Pharmacy Practice: GPP)</t>
        </is>
      </c>
      <c r="H260" s="2" t="inlineStr">
        <is>
          <t>บัญชียาหลักแห่งชาติ (National List of Essential Medicines: NLEM)</t>
        </is>
      </c>
      <c r="I260" s="2" t="n">
        <v>1</v>
      </c>
      <c r="J26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2" t="n"/>
      <c r="L260" s="2" t="inlineStr">
        <is>
          <t>พ.ร.บ. ยา พ.ศ. 2510</t>
        </is>
      </c>
      <c r="M260" s="2" t="inlineStr">
        <is>
          <t>SAP</t>
        </is>
      </c>
      <c r="N260" s="2" t="inlineStr">
        <is>
          <t>ข้อ 3 (PLE_CC1_Key_Rx20_UBU.md)</t>
        </is>
      </c>
      <c r="O260" s="2" t="inlineStr">
        <is>
          <t>Mock</t>
        </is>
      </c>
      <c r="P260" s="2" t="inlineStr">
        <is>
          <t>Mock Rx20 UBU</t>
        </is>
      </c>
    </row>
    <row r="261" ht="13.2" customHeight="1" s="49">
      <c r="A261" s="2" t="n">
        <v>259</v>
      </c>
      <c r="B261" s="2" t="inlineStr">
        <is>
          <t>มีต$นทุน-ประสิทธิภาพไมGดี</t>
        </is>
      </c>
      <c r="C261" s="2" t="n"/>
      <c r="D261" s="2" t="inlineStr">
        <is>
          <t>การปฏิบัติทางเภสัชกรรมชุมชน (Good Pharmacy Practice: GPP)</t>
        </is>
      </c>
      <c r="E261" s="2" t="inlineStr">
        <is>
          <t>บัญชียาหลักแห่งชาติ (National List of Essential Medicines: NLEM)</t>
        </is>
      </c>
      <c r="F261" s="2" t="inlineStr">
        <is>
          <t>เกณฑ์จริยธรรมว่าด้วยการส่งเสริมการขายยาของกระทรวงสาธารณสุข</t>
        </is>
      </c>
      <c r="G261" s="2" t="inlineStr">
        <is>
          <t>พ.ร.บ. ยา พ.ศ. 2510 (การจำหน่ายยาอันตรายและยาควบคุมพิเศษ)</t>
        </is>
      </c>
      <c r="H261" s="2" t="inlineStr">
        <is>
          <t>พ.ร.บ. ยาเสพติดให้โทษ พ.ศ. 2522 (ยาเสพติดให้โทษประเภท 2 และ 3)</t>
        </is>
      </c>
      <c r="I261" s="2" t="n">
        <v>1</v>
      </c>
      <c r="J26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2" t="n"/>
      <c r="L261" s="2" t="inlineStr">
        <is>
          <t>พ.ร.บ. ยา พ.ศ. 2510</t>
        </is>
      </c>
      <c r="M261" s="2" t="inlineStr">
        <is>
          <t>SAP</t>
        </is>
      </c>
      <c r="N261" s="2" t="inlineStr">
        <is>
          <t>ข้อ 4 (PLE_CC1_Key_Rx20_UBU.md)</t>
        </is>
      </c>
      <c r="O261" s="2" t="inlineStr">
        <is>
          <t>Mock</t>
        </is>
      </c>
      <c r="P261" s="2" t="inlineStr">
        <is>
          <t>Mock Rx20 UBU</t>
        </is>
      </c>
    </row>
    <row r="262" ht="13.2" customHeight="1" s="49">
      <c r="A262" s="2" t="n">
        <v>260</v>
      </c>
      <c r="B262" s="2"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2" t="n"/>
      <c r="D262" s="2" t="inlineStr">
        <is>
          <t>พ.ร.บ. ยา พ.ศ. 2510 (การจำหน่ายยาอันตรายและยาควบคุมพิเศษ)</t>
        </is>
      </c>
      <c r="E262" s="2" t="inlineStr">
        <is>
          <t>พ.ร.บ. ยาเสพติดให้โทษ พ.ศ. 2522 (ยาเสพติดให้โทษประเภท 2 และ 3)</t>
        </is>
      </c>
      <c r="F262" s="2" t="inlineStr">
        <is>
          <t>พ.ร.บ. วัตถุที่ออกฤทธิ์ต่อจิตและประสาท พ.ศ. 2559 (ประเภท 2 และ 4)</t>
        </is>
      </c>
      <c r="G262" s="2" t="inlineStr">
        <is>
          <t>พ.ร.บ. วิชาชีพเภสัชกรรม พ.ศ. 2537 และข้อบังคับจรรยาบรรณวิชาชีพ</t>
        </is>
      </c>
      <c r="H262" s="2" t="inlineStr">
        <is>
          <t>พ.ร.บ. ผลิตภัณฑ์สมุนไพร พ.ศ. 2562</t>
        </is>
      </c>
      <c r="I262" s="2" t="n">
        <v>1</v>
      </c>
      <c r="J262" s="2"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2" t="n"/>
      <c r="L262" s="2" t="inlineStr">
        <is>
          <t>พ.ร.บ. ยา พ.ศ. 2510</t>
        </is>
      </c>
      <c r="M262" s="2" t="inlineStr">
        <is>
          <t>SAP</t>
        </is>
      </c>
      <c r="N262" s="2" t="inlineStr">
        <is>
          <t>ข้อ 103 (PLE_CC1_Key_Rx20_UBU.md)</t>
        </is>
      </c>
      <c r="O262" s="2" t="inlineStr">
        <is>
          <t>Mock</t>
        </is>
      </c>
      <c r="P262" s="2" t="inlineStr">
        <is>
          <t>Mock Rx20 UBU</t>
        </is>
      </c>
    </row>
    <row r="263" ht="13.2" customHeight="1" s="49">
      <c r="A263" s="2" t="n">
        <v>261</v>
      </c>
      <c r="B263" s="2" t="inlineStr">
        <is>
          <t>แนะนำให$ใช$ยาใหมG เนื่องจากยาใหมGมีประสิทธิภาพดีกวGาอยGางมีนัยสำคัญทางสถิติ</t>
        </is>
      </c>
      <c r="C263" s="2" t="n"/>
      <c r="D263" s="2" t="inlineStr">
        <is>
          <t>พ.ร.บ. วิชาชีพเภสัชกรรม พ.ศ. 2537 และข้อบังคับจรรยาบรรณวิชาชีพ</t>
        </is>
      </c>
      <c r="E263" s="2" t="inlineStr">
        <is>
          <t>พ.ร.บ. ผลิตภัณฑ์สมุนไพร พ.ศ. 2562</t>
        </is>
      </c>
      <c r="F263" s="2" t="inlineStr">
        <is>
          <t>พ.ร.บ. เครื่องสำอาง พ.ศ. 2558</t>
        </is>
      </c>
      <c r="G263" s="2" t="inlineStr">
        <is>
          <t>พ.ร.บ. หลักประกันสุขภาพแห่งชาติ พ.ศ. 2545</t>
        </is>
      </c>
      <c r="H263" s="2" t="inlineStr">
        <is>
          <t>การปฏิบัติทางเภสัชกรรมชุมชน (Good Pharmacy Practice: GPP)</t>
        </is>
      </c>
      <c r="I263" s="2" t="n">
        <v>1</v>
      </c>
      <c r="J26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2" t="n"/>
      <c r="L263" s="2" t="inlineStr">
        <is>
          <t>พ.ร.บ. ยา พ.ศ. 2510</t>
        </is>
      </c>
      <c r="M263" s="2" t="inlineStr">
        <is>
          <t>SAP</t>
        </is>
      </c>
      <c r="N263" s="2" t="inlineStr">
        <is>
          <t>ข้อ 1 (PLE_CC1_Key_Rx20_UBU.md)</t>
        </is>
      </c>
      <c r="O263" s="2" t="inlineStr">
        <is>
          <t>Mock</t>
        </is>
      </c>
      <c r="P263" s="2" t="inlineStr">
        <is>
          <t>Mock Rx20 UBU</t>
        </is>
      </c>
    </row>
    <row r="264" ht="13.2" customHeight="1" s="49">
      <c r="A264" s="2" t="n">
        <v>262</v>
      </c>
      <c r="B264" s="2" t="inlineStr">
        <is>
          <t>แนะนำให$ใช$ยาใหมG เนื่องจากยาใหมGมีประสิทธิภาพดีกวGาอยGางไมGมีนัยสำคัญทางสถิติ</t>
        </is>
      </c>
      <c r="C264" s="2" t="n"/>
      <c r="D264" s="2" t="inlineStr">
        <is>
          <t>พ.ร.บ. หลักประกันสุขภาพแห่งชาติ พ.ศ. 2545</t>
        </is>
      </c>
      <c r="E264" s="2" t="inlineStr">
        <is>
          <t>การปฏิบัติทางเภสัชกรรมชุมชน (Good Pharmacy Practice: GPP)</t>
        </is>
      </c>
      <c r="F264" s="2" t="inlineStr">
        <is>
          <t>บัญชียาหลักแห่งชาติ (National List of Essential Medicines: NLEM)</t>
        </is>
      </c>
      <c r="G264" s="2" t="inlineStr">
        <is>
          <t>เกณฑ์จริยธรรมว่าด้วยการส่งเสริมการขายยาของกระทรวงสาธารณสุข</t>
        </is>
      </c>
      <c r="H264" s="2" t="inlineStr">
        <is>
          <t>พ.ร.บ. ยา พ.ศ. 2510 (การจำหน่ายยาอันตรายและยาควบคุมพิเศษ)</t>
        </is>
      </c>
      <c r="I264" s="2" t="n">
        <v>1</v>
      </c>
      <c r="J264" s="2"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2" t="n"/>
      <c r="L264" s="2" t="inlineStr">
        <is>
          <t>พ.ร.บ. ยา พ.ศ. 2510</t>
        </is>
      </c>
      <c r="M264" s="2" t="inlineStr">
        <is>
          <t>SAP</t>
        </is>
      </c>
      <c r="N264" s="2" t="inlineStr">
        <is>
          <t>ข้อ 2 (PLE_CC1_Key_Rx20_UBU.md)</t>
        </is>
      </c>
      <c r="O264" s="2" t="inlineStr">
        <is>
          <t>Mock</t>
        </is>
      </c>
      <c r="P264" s="2" t="inlineStr">
        <is>
          <t>Mock Rx20 UBU</t>
        </is>
      </c>
    </row>
    <row r="265" ht="13.2" customHeight="1" s="49">
      <c r="A265" s="2" t="n">
        <v>263</v>
      </c>
      <c r="B265" s="2" t="inlineStr">
        <is>
          <t>ไมGแนะนำให$ใช$ยาใหมG เนื่องจากยาใหมGมีประสิทธิภาพด$อยกวGายาเดิมอยGางมีนัยสำคัญทางสถิติ</t>
        </is>
      </c>
      <c r="C265" s="2" t="n"/>
      <c r="D265" s="2" t="inlineStr">
        <is>
          <t>เกณฑ์จริยธรรมว่าด้วยการส่งเสริมการขายยาของกระทรวงสาธารณสุข</t>
        </is>
      </c>
      <c r="E265" s="2" t="inlineStr">
        <is>
          <t>พ.ร.บ. ยา พ.ศ. 2510 (การจำหน่ายยาอันตรายและยาควบคุมพิเศษ)</t>
        </is>
      </c>
      <c r="F265" s="2" t="inlineStr">
        <is>
          <t>พ.ร.บ. ยาเสพติดให้โทษ พ.ศ. 2522 (ยาเสพติดให้โทษประเภท 2 และ 3)</t>
        </is>
      </c>
      <c r="G265" s="2" t="inlineStr">
        <is>
          <t>พ.ร.บ. วัตถุที่ออกฤทธิ์ต่อจิตและประสาท พ.ศ. 2559 (ประเภท 2 และ 4)</t>
        </is>
      </c>
      <c r="H265" s="2" t="inlineStr">
        <is>
          <t>พ.ร.บ. วิชาชีพเภสัชกรรม พ.ศ. 2537 และข้อบังคับจรรยาบรรณวิชาชีพ</t>
        </is>
      </c>
      <c r="I265" s="2" t="n">
        <v>1</v>
      </c>
      <c r="J265" s="2"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2" t="n"/>
      <c r="L265" s="2" t="inlineStr">
        <is>
          <t>พ.ร.บ. ยา พ.ศ. 2510</t>
        </is>
      </c>
      <c r="M265" s="2" t="inlineStr">
        <is>
          <t>SAP</t>
        </is>
      </c>
      <c r="N265" s="2" t="inlineStr">
        <is>
          <t>ข้อ 3 (PLE_CC1_Key_Rx20_UBU.md)</t>
        </is>
      </c>
      <c r="O265" s="2" t="inlineStr">
        <is>
          <t>Mock</t>
        </is>
      </c>
      <c r="P265" s="2" t="inlineStr">
        <is>
          <t>Mock Rx20 UBU</t>
        </is>
      </c>
    </row>
    <row r="266" ht="13.2" customHeight="1" s="49">
      <c r="A266" s="2" t="n">
        <v>264</v>
      </c>
      <c r="B266" s="2" t="inlineStr">
        <is>
          <t>ไมGแนะนำให$ใช$ยาใหมG เนื่องจากยาใหมGมีประสิทธิภาพดีกวGายาเดิมอยGางไมGมีนัยสำคัญทางสถิติ</t>
        </is>
      </c>
      <c r="C266" s="2" t="n"/>
      <c r="D266" s="2" t="inlineStr">
        <is>
          <t>พ.ร.บ. วัตถุที่ออกฤทธิ์ต่อจิตและประสาท พ.ศ. 2559 (ประเภท 2 และ 4)</t>
        </is>
      </c>
      <c r="E266" s="2" t="inlineStr">
        <is>
          <t>พ.ร.บ. วิชาชีพเภสัชกรรม พ.ศ. 2537 และข้อบังคับจรรยาบรรณวิชาชีพ</t>
        </is>
      </c>
      <c r="F266" s="2" t="inlineStr">
        <is>
          <t>พ.ร.บ. ผลิตภัณฑ์สมุนไพร พ.ศ. 2562</t>
        </is>
      </c>
      <c r="G266" s="2" t="inlineStr">
        <is>
          <t>พ.ร.บ. เครื่องสำอาง พ.ศ. 2558</t>
        </is>
      </c>
      <c r="H266" s="2" t="inlineStr">
        <is>
          <t>พ.ร.บ. หลักประกันสุขภาพแห่งชาติ พ.ศ. 2545</t>
        </is>
      </c>
      <c r="I266" s="2" t="n">
        <v>1</v>
      </c>
      <c r="J266" s="2"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2" t="n"/>
      <c r="L266" s="2" t="inlineStr">
        <is>
          <t>พ.ร.บ. ยา พ.ศ. 2510</t>
        </is>
      </c>
      <c r="M266" s="2" t="inlineStr">
        <is>
          <t>SAP</t>
        </is>
      </c>
      <c r="N266" s="2" t="inlineStr">
        <is>
          <t>ข้อ 4 (PLE_CC1_Key_Rx20_UBU.md)</t>
        </is>
      </c>
      <c r="O266" s="2" t="inlineStr">
        <is>
          <t>Mock</t>
        </is>
      </c>
      <c r="P266" s="2" t="inlineStr">
        <is>
          <t>Mock Rx20 UBU</t>
        </is>
      </c>
    </row>
    <row r="267" ht="13.2" customHeight="1" s="49">
      <c r="A267" s="2" t="n">
        <v>265</v>
      </c>
      <c r="B267" s="2"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2" t="n"/>
      <c r="D267" s="2" t="inlineStr">
        <is>
          <t>พ.ร.บ. เครื่องสำอาง พ.ศ. 2558</t>
        </is>
      </c>
      <c r="E267" s="2" t="inlineStr">
        <is>
          <t>พ.ร.บ. หลักประกันสุขภาพแห่งชาติ พ.ศ. 2545</t>
        </is>
      </c>
      <c r="F267" s="2" t="inlineStr">
        <is>
          <t>การปฏิบัติทางเภสัชกรรมชุมชน (Good Pharmacy Practice: GPP)</t>
        </is>
      </c>
      <c r="G267" s="2" t="inlineStr">
        <is>
          <t>บัญชียาหลักแห่งชาติ (National List of Essential Medicines: NLEM)</t>
        </is>
      </c>
      <c r="H267" s="2" t="inlineStr">
        <is>
          <t>เกณฑ์จริยธรรมว่าด้วยการส่งเสริมการขายยาของกระทรวงสาธารณสุข</t>
        </is>
      </c>
      <c r="I267" s="2" t="n">
        <v>1</v>
      </c>
      <c r="J26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2" t="n"/>
      <c r="L267" s="2" t="inlineStr">
        <is>
          <t>พ.ร.บ. ยา พ.ศ. 2510</t>
        </is>
      </c>
      <c r="M267" s="2" t="inlineStr">
        <is>
          <t>SAP</t>
        </is>
      </c>
      <c r="N267" s="2" t="inlineStr">
        <is>
          <t>ข้อ 9 (PLE_CC1_Key_Rx20_UBU.md)</t>
        </is>
      </c>
      <c r="O267" s="2" t="inlineStr">
        <is>
          <t>Mock</t>
        </is>
      </c>
      <c r="P267" s="2" t="inlineStr">
        <is>
          <t>Mock Rx20 UBU</t>
        </is>
      </c>
    </row>
    <row r="268" ht="13.2" customHeight="1" s="49">
      <c r="A268" s="2" t="n">
        <v>266</v>
      </c>
      <c r="B268" s="2"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2" t="n"/>
      <c r="D268" s="2" t="inlineStr">
        <is>
          <t>บัญชียาหลักแห่งชาติ (National List of Essential Medicines: NLEM)</t>
        </is>
      </c>
      <c r="E268" s="2" t="inlineStr">
        <is>
          <t>เกณฑ์จริยธรรมว่าด้วยการส่งเสริมการขายยาของกระทรวงสาธารณสุข</t>
        </is>
      </c>
      <c r="F268" s="2" t="inlineStr">
        <is>
          <t>พ.ร.บ. ยา พ.ศ. 2510 (การจำหน่ายยาอันตรายและยาควบคุมพิเศษ)</t>
        </is>
      </c>
      <c r="G268" s="2" t="inlineStr">
        <is>
          <t>พ.ร.บ. ยาเสพติดให้โทษ พ.ศ. 2522 (ยาเสพติดให้โทษประเภท 2 และ 3)</t>
        </is>
      </c>
      <c r="H268" s="2" t="inlineStr">
        <is>
          <t>พ.ร.บ. วัตถุที่ออกฤทธิ์ต่อจิตและประสาท พ.ศ. 2559 (ประเภท 2 และ 4)</t>
        </is>
      </c>
      <c r="I268" s="2" t="n">
        <v>3</v>
      </c>
      <c r="J268" s="2"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2" t="n"/>
      <c r="L268" s="2" t="inlineStr">
        <is>
          <t>พ.ร.บ. ยาเสพติดให้โทษ &amp; วัตถุออกฤทธิ์</t>
        </is>
      </c>
      <c r="M268" s="2" t="inlineStr">
        <is>
          <t>SAP</t>
        </is>
      </c>
      <c r="N268" s="2" t="inlineStr">
        <is>
          <t>ข้อ 4 (PLE_CC1_Key_Rx20_UBU.md)</t>
        </is>
      </c>
      <c r="O268" s="2" t="inlineStr">
        <is>
          <t>Mock</t>
        </is>
      </c>
      <c r="P268" s="2" t="inlineStr">
        <is>
          <t>Mock Rx20 UBU</t>
        </is>
      </c>
    </row>
    <row r="269" ht="13.2" customHeight="1" s="49">
      <c r="A269" s="2" t="n">
        <v>267</v>
      </c>
      <c r="B269" s="2" t="inlineStr">
        <is>
          <t>Midazolam เป็นยาประเภทใดตามกฎหมาย</t>
        </is>
      </c>
      <c r="C269" s="2" t="n"/>
      <c r="D269" s="2" t="inlineStr">
        <is>
          <t>ยาอันตราย</t>
        </is>
      </c>
      <c r="E269" s="2" t="inlineStr">
        <is>
          <t>ยาควบคุมพิเศษ</t>
        </is>
      </c>
      <c r="F269" s="2" t="inlineStr">
        <is>
          <t>ยาเสพติดให้โทษประเภท 3</t>
        </is>
      </c>
      <c r="G269" s="2" t="inlineStr">
        <is>
          <t>วัตถุออกฤทธิ์ต่อจิตและประสาทประเภท 2</t>
        </is>
      </c>
      <c r="H269" s="2" t="inlineStr">
        <is>
          <t>วัตถุออกฤทธิ์ต่อจิตและประสาทประเภท 4</t>
        </is>
      </c>
      <c r="I269" s="2" t="n">
        <v>4</v>
      </c>
      <c r="J269" s="2"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พ.ร.บ. ยา พ.ศ. 2510</t>
        </is>
      </c>
      <c r="M269" s="2" t="inlineStr">
        <is>
          <t>SAP</t>
        </is>
      </c>
      <c r="N269" s="2" t="inlineStr">
        <is>
          <t>ข้อ 5 (PLE_CC1_Key_Rx20_UBU.md)</t>
        </is>
      </c>
      <c r="O269" s="2" t="inlineStr">
        <is>
          <t>Mock</t>
        </is>
      </c>
      <c r="P269" s="2" t="inlineStr">
        <is>
          <t>Mock Rx20 UBU</t>
        </is>
      </c>
    </row>
    <row r="270" ht="13.2" customHeight="1" s="49">
      <c r="A270" s="2" t="n">
        <v>268</v>
      </c>
      <c r="B270" s="2" t="inlineStr">
        <is>
          <t>จากกรณีศึกษาทั้งหมด นายข. ซึ่งเป็นเภสัชผู้มีหน้าที่ปฏิบัติการกระทำผิดตามจรรยาบรรณทุกข้อ ยกเว้นข้อใด</t>
        </is>
      </c>
      <c r="C270" s="2" t="n"/>
      <c r="D270" s="2" t="inlineStr">
        <is>
          <t>ต้องดำรงตนให้สมควรในสังคมโดยธรรมและเคารพต่อกฎหมายของบ้านเมือง</t>
        </is>
      </c>
      <c r="E270" s="2" t="inlineStr">
        <is>
          <t>ต้องประกอบวิชาชีพโดยคำนึงถึงความปลอดภัยและเศรษฐานะของผู้ป่วยหรือผู้มารับบริการ</t>
        </is>
      </c>
      <c r="F270" s="2" t="inlineStr">
        <is>
          <t>ต้องไม่ใช้หรือสนับสนุนการใช้ยาตำรับลับ</t>
        </is>
      </c>
      <c r="G270" s="2" t="inlineStr">
        <is>
          <t>ต้องไม่ใช้หรือสนับสนุนให้มีการประกอบวิชาชีพโดยผิดกฎหมาย</t>
        </is>
      </c>
      <c r="H270" s="2"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2" t="n">
        <v>3</v>
      </c>
      <c r="J270" s="2"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2" t="n"/>
      <c r="L270" s="2" t="inlineStr">
        <is>
          <t>พ.ร.บ. วิชาชีพเภสัชกรรม 2537</t>
        </is>
      </c>
      <c r="M270" s="2" t="inlineStr">
        <is>
          <t>SAP</t>
        </is>
      </c>
      <c r="N270" s="2" t="inlineStr">
        <is>
          <t>ข้อ 12 (PLE_CC1_Key_Rx20_UBU.md)</t>
        </is>
      </c>
      <c r="O270" s="2" t="inlineStr">
        <is>
          <t>Mock</t>
        </is>
      </c>
      <c r="P270" s="2" t="inlineStr">
        <is>
          <t>Mock Rx20 UBU</t>
        </is>
      </c>
    </row>
    <row r="271" ht="13.2" customHeight="1" s="49">
      <c r="A271" s="2" t="n">
        <v>269</v>
      </c>
      <c r="B271" s="2" t="inlineStr">
        <is>
          <t>Good Pharmacy Practice (GPP) ปี 2556 บังคับใช้กับที่ไหน</t>
        </is>
      </c>
      <c r="C271" s="2" t="n"/>
      <c r="D271" s="2" t="inlineStr">
        <is>
          <t>การปฏิบัติทางเภสัชกรรมชุมชน (Good Pharmacy Practice: GPP)</t>
        </is>
      </c>
      <c r="E271" s="2" t="inlineStr">
        <is>
          <t>บัญชียาหลักแห่งชาติ (National List of Essential Medicines: NLEM)</t>
        </is>
      </c>
      <c r="F271" s="2" t="inlineStr">
        <is>
          <t>เกณฑ์จริยธรรมว่าด้วยการส่งเสริมการขายยาของกระทรวงสาธารณสุข</t>
        </is>
      </c>
      <c r="G271" s="2" t="inlineStr">
        <is>
          <t>พ.ร.บ. ยา พ.ศ. 2510 (การจำหน่ายยาอันตรายและยาควบคุมพิเศษ)</t>
        </is>
      </c>
      <c r="H271" s="2" t="inlineStr">
        <is>
          <t>พ.ร.บ. ยาเสพติดให้โทษ พ.ศ. 2522 (ยาเสพติดให้โทษประเภท 2 และ 3)</t>
        </is>
      </c>
      <c r="I271" s="2" t="n">
        <v>1</v>
      </c>
      <c r="J27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2" t="n"/>
      <c r="L271" s="2" t="inlineStr">
        <is>
          <t>พ.ร.บ. ยา พ.ศ. 2510</t>
        </is>
      </c>
      <c r="M271" s="2" t="inlineStr">
        <is>
          <t>SAP</t>
        </is>
      </c>
      <c r="N271" s="2" t="inlineStr">
        <is>
          <t>ข้อ 2 (PLE_CC1_Key_Rx20_UBU.md)</t>
        </is>
      </c>
      <c r="O271" s="2" t="inlineStr">
        <is>
          <t>Mock</t>
        </is>
      </c>
      <c r="P271" s="2" t="inlineStr">
        <is>
          <t>Mock Rx20 UBU</t>
        </is>
      </c>
    </row>
    <row r="272" ht="13.2" customHeight="1" s="49">
      <c r="A272" s="2" t="n">
        <v>270</v>
      </c>
      <c r="B272" s="2"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2" t="n"/>
      <c r="D272" s="2" t="inlineStr">
        <is>
          <t>พ.ร.บ. ยา พ.ศ. 2510 (การจำหน่ายยาอันตรายและยาควบคุมพิเศษ)</t>
        </is>
      </c>
      <c r="E272" s="2" t="inlineStr">
        <is>
          <t>พ.ร.บ. ยาเสพติดให้โทษ พ.ศ. 2522 (ยาเสพติดให้โทษประเภท 2 และ 3)</t>
        </is>
      </c>
      <c r="F272" s="2" t="inlineStr">
        <is>
          <t>พ.ร.บ. วัตถุที่ออกฤทธิ์ต่อจิตและประสาท พ.ศ. 2559 (ประเภท 2 และ 4)</t>
        </is>
      </c>
      <c r="G272" s="2" t="inlineStr">
        <is>
          <t>พ.ร.บ. วิชาชีพเภสัชกรรม พ.ศ. 2537 และข้อบังคับจรรยาบรรณวิชาชีพ</t>
        </is>
      </c>
      <c r="H272" s="2" t="inlineStr">
        <is>
          <t>พ.ร.บ. ผลิตภัณฑ์สมุนไพร พ.ศ. 2562</t>
        </is>
      </c>
      <c r="I272" s="2" t="n">
        <v>1</v>
      </c>
      <c r="J272" s="2"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2" t="n"/>
      <c r="L272" s="2" t="inlineStr">
        <is>
          <t>พ.ร.บ. ยาเสพติดให้โทษ &amp; วัตถุออกฤทธิ์</t>
        </is>
      </c>
      <c r="M272" s="2" t="inlineStr">
        <is>
          <t>SAP</t>
        </is>
      </c>
      <c r="N272" s="2" t="inlineStr">
        <is>
          <t>ข้อ 2 (PLE_CC1_Key_Rx20_UBU.md)</t>
        </is>
      </c>
      <c r="O272" s="2" t="inlineStr">
        <is>
          <t>Mock</t>
        </is>
      </c>
      <c r="P272" s="2" t="inlineStr">
        <is>
          <t>Mock Rx20 UBU</t>
        </is>
      </c>
    </row>
    <row r="273" ht="13.2" customHeight="1" s="49">
      <c r="A273" s="2" t="n">
        <v>271</v>
      </c>
      <c r="B273" s="2" t="inlineStr">
        <is>
          <t>Midazolam เปนยาประเภทใดตามกฎหมาย</t>
        </is>
      </c>
      <c r="C273" s="2" t="n"/>
      <c r="D273" s="2" t="inlineStr">
        <is>
          <t>พ.ร.บ. วิชาชีพเภสัชกรรม พ.ศ. 2537 และข้อบังคับจรรยาบรรณวิชาชีพ</t>
        </is>
      </c>
      <c r="E273" s="2" t="inlineStr">
        <is>
          <t>พ.ร.บ. ผลิตภัณฑ์สมุนไพร พ.ศ. 2562</t>
        </is>
      </c>
      <c r="F273" s="2" t="inlineStr">
        <is>
          <t>พ.ร.บ. เครื่องสำอาง พ.ศ. 2558</t>
        </is>
      </c>
      <c r="G273" s="2" t="inlineStr">
        <is>
          <t>พ.ร.บ. หลักประกันสุขภาพแห่งชาติ พ.ศ. 2545</t>
        </is>
      </c>
      <c r="H273" s="2" t="inlineStr">
        <is>
          <t>การปฏิบัติทางเภสัชกรรมชุมชน (Good Pharmacy Practice: GPP)</t>
        </is>
      </c>
      <c r="I273" s="2" t="n">
        <v>1</v>
      </c>
      <c r="J2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2" t="n"/>
      <c r="L273" s="2" t="inlineStr">
        <is>
          <t>พ.ร.บ. ยา พ.ศ. 2510</t>
        </is>
      </c>
      <c r="M273" s="2" t="inlineStr">
        <is>
          <t>SAP</t>
        </is>
      </c>
      <c r="N273" s="2" t="inlineStr">
        <is>
          <t>ข้อ 5 (PLE_CC1_Key_Rx20_UBU.md)</t>
        </is>
      </c>
      <c r="O273" s="2" t="inlineStr">
        <is>
          <t>Mock</t>
        </is>
      </c>
      <c r="P273" s="2" t="inlineStr">
        <is>
          <t>Mock Rx20 UBU</t>
        </is>
      </c>
    </row>
    <row r="274" ht="13.2" customHeight="1" s="49">
      <c r="A274" s="2" t="n">
        <v>272</v>
      </c>
      <c r="B274" s="2" t="inlineStr">
        <is>
          <t>มีความผิดฐานขายยาผิดกฎหมาย</t>
        </is>
      </c>
      <c r="C274" s="2" t="n"/>
      <c r="D274" s="2" t="inlineStr">
        <is>
          <t>พ.ร.บ. หลักประกันสุขภาพแห่งชาติ พ.ศ. 2545</t>
        </is>
      </c>
      <c r="E274" s="2" t="inlineStr">
        <is>
          <t>การปฏิบัติทางเภสัชกรรมชุมชน (Good Pharmacy Practice: GPP)</t>
        </is>
      </c>
      <c r="F274" s="2" t="inlineStr">
        <is>
          <t>บัญชียาหลักแห่งชาติ (National List of Essential Medicines: NLEM)</t>
        </is>
      </c>
      <c r="G274" s="2" t="inlineStr">
        <is>
          <t>เกณฑ์จริยธรรมว่าด้วยการส่งเสริมการขายยาของกระทรวงสาธารณสุข</t>
        </is>
      </c>
      <c r="H274" s="2" t="inlineStr">
        <is>
          <t>พ.ร.บ. ยา พ.ศ. 2510 (การจำหน่ายยาอันตรายและยาควบคุมพิเศษ)</t>
        </is>
      </c>
      <c r="I274" s="2" t="n">
        <v>1</v>
      </c>
      <c r="J2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2" t="n"/>
      <c r="L274" s="2" t="inlineStr">
        <is>
          <t>พ.ร.บ. ยา พ.ศ. 2510</t>
        </is>
      </c>
      <c r="M274" s="2" t="inlineStr">
        <is>
          <t>SAP</t>
        </is>
      </c>
      <c r="N274" s="2" t="inlineStr">
        <is>
          <t>ข้อ 2 (PLE_CC1_Key_Rx20_UBU.md)</t>
        </is>
      </c>
      <c r="O274" s="2" t="inlineStr">
        <is>
          <t>Mock</t>
        </is>
      </c>
      <c r="P274" s="2" t="inlineStr">
        <is>
          <t>Mock Rx20 UBU</t>
        </is>
      </c>
    </row>
    <row r="275" ht="13.2" customHeight="1" s="49">
      <c r="A275" s="2" t="n">
        <v>273</v>
      </c>
      <c r="B275" s="2" t="inlineStr">
        <is>
          <t>มีความผิดฐานไม่ควบคุมการขายยาให้เป็นไปตามพรบ</t>
        </is>
      </c>
      <c r="C275" s="2" t="n"/>
      <c r="D275" s="2" t="inlineStr">
        <is>
          <t>เกณฑ์จริยธรรมว่าด้วยการส่งเสริมการขายยาของกระทรวงสาธารณสุข</t>
        </is>
      </c>
      <c r="E275" s="2" t="inlineStr">
        <is>
          <t>พ.ร.บ. ยา พ.ศ. 2510 (การจำหน่ายยาอันตรายและยาควบคุมพิเศษ)</t>
        </is>
      </c>
      <c r="F275" s="2" t="inlineStr">
        <is>
          <t>พ.ร.บ. ยาเสพติดให้โทษ พ.ศ. 2522 (ยาเสพติดให้โทษประเภท 2 และ 3)</t>
        </is>
      </c>
      <c r="G275" s="2" t="inlineStr">
        <is>
          <t>พ.ร.บ. วัตถุที่ออกฤทธิ์ต่อจิตและประสาท พ.ศ. 2559 (ประเภท 2 และ 4)</t>
        </is>
      </c>
      <c r="H275" s="2" t="inlineStr">
        <is>
          <t>พ.ร.บ. วิชาชีพเภสัชกรรม พ.ศ. 2537 และข้อบังคับจรรยาบรรณวิชาชีพ</t>
        </is>
      </c>
      <c r="I275" s="2" t="n">
        <v>1</v>
      </c>
      <c r="J2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2" t="n"/>
      <c r="L275" s="2" t="inlineStr">
        <is>
          <t>พ.ร.บ. ยา พ.ศ. 2510</t>
        </is>
      </c>
      <c r="M275" s="2" t="inlineStr">
        <is>
          <t>SAP</t>
        </is>
      </c>
      <c r="N275" s="2" t="inlineStr">
        <is>
          <t>ข้อ 4 (PLE_CC1_Key_Rx20_UBU.md)</t>
        </is>
      </c>
      <c r="O275" s="2" t="inlineStr">
        <is>
          <t>Mock</t>
        </is>
      </c>
      <c r="P275" s="2" t="inlineStr">
        <is>
          <t>Mock Rx20 UBU</t>
        </is>
      </c>
    </row>
    <row r="276" ht="13.2" customHeight="1" s="49">
      <c r="A276" s="2" t="n">
        <v>274</v>
      </c>
      <c r="B276" s="2" t="inlineStr">
        <is>
          <t>นาย ค. ซึงเปนบิดาของผูรับอนุญาตผิด เนื่องจากไม่มีสิทธิอยู่ประจำร้าน</t>
        </is>
      </c>
      <c r="C276" s="2" t="n"/>
      <c r="D276" s="2" t="inlineStr">
        <is>
          <t>พ.ร.บ. วัตถุที่ออกฤทธิ์ต่อจิตและประสาท พ.ศ. 2559 (ประเภท 2 และ 4)</t>
        </is>
      </c>
      <c r="E276" s="2" t="inlineStr">
        <is>
          <t>พ.ร.บ. วิชาชีพเภสัชกรรม พ.ศ. 2537 และข้อบังคับจรรยาบรรณวิชาชีพ</t>
        </is>
      </c>
      <c r="F276" s="2" t="inlineStr">
        <is>
          <t>พ.ร.บ. ผลิตภัณฑ์สมุนไพร พ.ศ. 2562</t>
        </is>
      </c>
      <c r="G276" s="2" t="inlineStr">
        <is>
          <t>พ.ร.บ. เครื่องสำอาง พ.ศ. 2558</t>
        </is>
      </c>
      <c r="H276" s="2" t="inlineStr">
        <is>
          <t>พ.ร.บ. หลักประกันสุขภาพแห่งชาติ พ.ศ. 2545</t>
        </is>
      </c>
      <c r="I276" s="2" t="n">
        <v>1</v>
      </c>
      <c r="J2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2" t="n"/>
      <c r="L276" s="2" t="inlineStr">
        <is>
          <t>พ.ร.บ. ยา พ.ศ. 2510</t>
        </is>
      </c>
      <c r="M276" s="2" t="inlineStr">
        <is>
          <t>SAP</t>
        </is>
      </c>
      <c r="N276" s="2" t="inlineStr">
        <is>
          <t>ข้อ 4 (PLE_CC1_Key_Rx20_UBU.md)</t>
        </is>
      </c>
      <c r="O276" s="2" t="inlineStr">
        <is>
          <t>Mock</t>
        </is>
      </c>
      <c r="P276" s="2" t="inlineStr">
        <is>
          <t>Mock Rx20 UBU</t>
        </is>
      </c>
    </row>
    <row r="277" ht="13.2" customHeight="1" s="49">
      <c r="A277" s="2" t="n">
        <v>275</v>
      </c>
      <c r="B277" s="2" t="inlineStr">
        <is>
          <t>จากกรณีศึกษาทั้งหมด นายข. ซึ่งเป็นเภสัชผู้มีหน้าที่ปฏิบัติการกระทำผิดตามจรรยาบรรณทุกข้อ ยกเว้นข้อใด</t>
        </is>
      </c>
      <c r="C277" s="2" t="n"/>
      <c r="D277" s="2" t="inlineStr">
        <is>
          <t>พ.ร.บ. เครื่องสำอาง พ.ศ. 2558</t>
        </is>
      </c>
      <c r="E277" s="2" t="inlineStr">
        <is>
          <t>พ.ร.บ. หลักประกันสุขภาพแห่งชาติ พ.ศ. 2545</t>
        </is>
      </c>
      <c r="F277" s="2" t="inlineStr">
        <is>
          <t>การปฏิบัติทางเภสัชกรรมชุมชน (Good Pharmacy Practice: GPP)</t>
        </is>
      </c>
      <c r="G277" s="2" t="inlineStr">
        <is>
          <t>บัญชียาหลักแห่งชาติ (National List of Essential Medicines: NLEM)</t>
        </is>
      </c>
      <c r="H277" s="2" t="inlineStr">
        <is>
          <t>เกณฑ์จริยธรรมว่าด้วยการส่งเสริมการขายยาของกระทรวงสาธารณสุข</t>
        </is>
      </c>
      <c r="I277" s="2" t="n">
        <v>1</v>
      </c>
      <c r="J27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2" t="n"/>
      <c r="L277" s="2" t="inlineStr">
        <is>
          <t>พ.ร.บ. วิชาชีพเภสัชกรรม 2537</t>
        </is>
      </c>
      <c r="M277" s="2" t="inlineStr">
        <is>
          <t>SAP</t>
        </is>
      </c>
      <c r="N277" s="2" t="inlineStr">
        <is>
          <t>ข้อ 12 (PLE_CC1_Key_Rx20_UBU.md)</t>
        </is>
      </c>
      <c r="O277" s="2" t="inlineStr">
        <is>
          <t>Mock</t>
        </is>
      </c>
      <c r="P277" s="2" t="inlineStr">
        <is>
          <t>Mock Rx20 UBU</t>
        </is>
      </c>
    </row>
    <row r="278" ht="13.2" customHeight="1" s="49">
      <c r="A278" s="2" t="n">
        <v>276</v>
      </c>
      <c r="B278" s="2"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2" t="n"/>
      <c r="D278" s="2" t="inlineStr">
        <is>
          <t>บัญชียาหลักแห่งชาติ (National List of Essential Medicines: NLEM)</t>
        </is>
      </c>
      <c r="E278" s="2" t="inlineStr">
        <is>
          <t>เกณฑ์จริยธรรมว่าด้วยการส่งเสริมการขายยาของกระทรวงสาธารณสุข</t>
        </is>
      </c>
      <c r="F278" s="2" t="inlineStr">
        <is>
          <t>พ.ร.บ. ยา พ.ศ. 2510 (การจำหน่ายยาอันตรายและยาควบคุมพิเศษ)</t>
        </is>
      </c>
      <c r="G278" s="2" t="inlineStr">
        <is>
          <t>พ.ร.บ. ยาเสพติดให้โทษ พ.ศ. 2522 (ยาเสพติดให้โทษประเภท 2 และ 3)</t>
        </is>
      </c>
      <c r="H278" s="2" t="inlineStr">
        <is>
          <t>พ.ร.บ. วัตถุที่ออกฤทธิ์ต่อจิตและประสาท พ.ศ. 2559 (ประเภท 2 และ 4)</t>
        </is>
      </c>
      <c r="I278" s="2" t="n">
        <v>1</v>
      </c>
      <c r="J27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2" t="n"/>
      <c r="L278" s="2" t="inlineStr">
        <is>
          <t>พ.ร.บ. ยา พ.ศ. 2510</t>
        </is>
      </c>
      <c r="M278" s="2" t="inlineStr">
        <is>
          <t>SAP</t>
        </is>
      </c>
      <c r="N278" s="2" t="inlineStr">
        <is>
          <t>ข้อ 5 (PLE_CC1_Key_Rx20_UBU.md)</t>
        </is>
      </c>
      <c r="O278" s="2" t="inlineStr">
        <is>
          <t>Mock</t>
        </is>
      </c>
      <c r="P278" s="2" t="inlineStr">
        <is>
          <t>Mock Rx20 UBU</t>
        </is>
      </c>
    </row>
    <row r="279" ht="13.2" customHeight="1" s="49">
      <c r="A279" s="2" t="n">
        <v>277</v>
      </c>
      <c r="B279" s="2"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2" t="n"/>
      <c r="D279" s="2" t="inlineStr">
        <is>
          <t>พ.ร.บ. ยาเสพติดให้โทษ พ.ศ. 2522 (ยาเสพติดให้โทษประเภท 2 และ 3)</t>
        </is>
      </c>
      <c r="E279" s="2" t="inlineStr">
        <is>
          <t>พ.ร.บ. วัตถุที่ออกฤทธิ์ต่อจิตและประสาท พ.ศ. 2559 (ประเภท 2 และ 4)</t>
        </is>
      </c>
      <c r="F279" s="2" t="inlineStr">
        <is>
          <t>พ.ร.บ. วิชาชีพเภสัชกรรม พ.ศ. 2537 และข้อบังคับจรรยาบรรณวิชาชีพ</t>
        </is>
      </c>
      <c r="G279" s="2" t="inlineStr">
        <is>
          <t>พ.ร.บ. ผลิตภัณฑ์สมุนไพร พ.ศ. 2562</t>
        </is>
      </c>
      <c r="H279" s="2" t="inlineStr">
        <is>
          <t>พ.ร.บ. เครื่องสำอาง พ.ศ. 2558</t>
        </is>
      </c>
      <c r="I279" s="2" t="n">
        <v>2</v>
      </c>
      <c r="J279" s="2"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2" t="n"/>
      <c r="L279" s="2" t="inlineStr">
        <is>
          <t>พ.ร.บ. ยา พ.ศ. 2510</t>
        </is>
      </c>
      <c r="M279" s="2" t="inlineStr">
        <is>
          <t>SAP</t>
        </is>
      </c>
      <c r="N279" s="2" t="inlineStr">
        <is>
          <t>ข้อ 4 (PLE_CC1_Key_Rx20_UBU.md)</t>
        </is>
      </c>
      <c r="O279" s="2" t="inlineStr">
        <is>
          <t>Mock</t>
        </is>
      </c>
      <c r="P279" s="2" t="inlineStr">
        <is>
          <t>Mock Rx20 UBU</t>
        </is>
      </c>
    </row>
    <row r="280" ht="13.2" customHeight="1" s="49">
      <c r="A280" s="2" t="n">
        <v>278</v>
      </c>
      <c r="B280" s="2" t="inlineStr">
        <is>
          <t>ใครผิดจรรยาบรรณบ้าง</t>
        </is>
      </c>
      <c r="C280" s="2" t="n"/>
      <c r="D280" s="2" t="inlineStr">
        <is>
          <t>พ.ร.บ. ผลิตภัณฑ์สมุนไพร พ.ศ. 2562</t>
        </is>
      </c>
      <c r="E280" s="2" t="inlineStr">
        <is>
          <t>พ.ร.บ. เครื่องสำอาง พ.ศ. 2558</t>
        </is>
      </c>
      <c r="F280" s="2" t="inlineStr">
        <is>
          <t>พ.ร.บ. หลักประกันสุขภาพแห่งชาติ พ.ศ. 2545</t>
        </is>
      </c>
      <c r="G280" s="2" t="inlineStr">
        <is>
          <t>การปฏิบัติทางเภสัชกรรมชุมชน (Good Pharmacy Practice: GPP)</t>
        </is>
      </c>
      <c r="H280" s="2" t="inlineStr">
        <is>
          <t>บัญชียาหลักแห่งชาติ (National List of Essential Medicines: NLEM)</t>
        </is>
      </c>
      <c r="I280" s="2" t="n">
        <v>1</v>
      </c>
      <c r="J2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2" t="n"/>
      <c r="L280" s="2" t="inlineStr">
        <is>
          <t>พ.ร.บ. วิชาชีพเภสัชกรรม 2537</t>
        </is>
      </c>
      <c r="M280" s="2" t="inlineStr">
        <is>
          <t>SAP</t>
        </is>
      </c>
      <c r="N280" s="2" t="inlineStr">
        <is>
          <t>ข้อ 12 (PLE_CC1_Key_Rx20_UBU.md)</t>
        </is>
      </c>
      <c r="O280" s="2" t="inlineStr">
        <is>
          <t>Mock</t>
        </is>
      </c>
      <c r="P280" s="2" t="inlineStr">
        <is>
          <t>Mock Rx20 UBU</t>
        </is>
      </c>
    </row>
    <row r="281" ht="13.2" customHeight="1" s="49">
      <c r="A281" s="2" t="n">
        <v>279</v>
      </c>
      <c r="B281" s="2"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2" t="n"/>
      <c r="D281" s="2" t="inlineStr">
        <is>
          <t>Pneumonia ทำให้เกิด exacerbation ได้ ถูกต้อง ปัจจัยเสี่ยงของการเกิด COPD → การติดเชื้อในปอด , มลภาวะทางอากาศ , สูบบุหรี่</t>
        </is>
      </c>
      <c r="E281" s="2" t="inlineStr">
        <is>
          <t>FEV1 80% mild 50-80 moderate 30-50 Severe &lt;30% Very severe</t>
        </is>
      </c>
      <c r="F281" s="2"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2" t="inlineStr">
        <is>
          <t>พ.ร.บ. ยา พ.ศ. 2510 (การจำหน่ายยาอันตรายและยาควบคุมพิเศษ)</t>
        </is>
      </c>
      <c r="H281" s="2" t="inlineStr">
        <is>
          <t>พ.ร.บ. ยาเสพติดให้โทษ พ.ศ. 2522 (ยาเสพติดให้โทษประเภท 2 และ 3)</t>
        </is>
      </c>
      <c r="I281" s="2" t="n">
        <v>5</v>
      </c>
      <c r="J28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2" t="n"/>
      <c r="L281" s="2" t="inlineStr">
        <is>
          <t>พ.ร.บ. ยา พ.ศ. 2510</t>
        </is>
      </c>
      <c r="M281" s="2" t="inlineStr">
        <is>
          <t>SAP</t>
        </is>
      </c>
      <c r="N281" s="2" t="inlineStr">
        <is>
          <t>ข้อ 5 (PLE_CC1_Key_Rx20_UBU.md)</t>
        </is>
      </c>
      <c r="O281" s="2" t="inlineStr">
        <is>
          <t>Mock</t>
        </is>
      </c>
      <c r="P281" s="2" t="inlineStr">
        <is>
          <t>Mock Rx20 UBU</t>
        </is>
      </c>
    </row>
    <row r="282" ht="13.2" customHeight="1" s="49">
      <c r="A282" s="2" t="n">
        <v>280</v>
      </c>
      <c r="B282" s="2" t="inlineStr">
        <is>
          <t>ยา PPI มีประสิทธิภาพเหนือกวา H2 blockers ในการรักษา GERD</t>
        </is>
      </c>
      <c r="C282" s="2" t="n"/>
      <c r="D282" s="2" t="inlineStr">
        <is>
          <t>พ.ร.บ. ยา พ.ศ. 2510 (การจำหน่ายยาอันตรายและยาควบคุมพิเศษ)</t>
        </is>
      </c>
      <c r="E282" s="2" t="inlineStr">
        <is>
          <t>พ.ร.บ. ยาเสพติดให้โทษ พ.ศ. 2522 (ยาเสพติดให้โทษประเภท 2 และ 3)</t>
        </is>
      </c>
      <c r="F282" s="2" t="inlineStr">
        <is>
          <t>พ.ร.บ. วัตถุที่ออกฤทธิ์ต่อจิตและประสาท พ.ศ. 2559 (ประเภท 2 และ 4)</t>
        </is>
      </c>
      <c r="G282" s="2" t="inlineStr">
        <is>
          <t>พ.ร.บ. วิชาชีพเภสัชกรรม พ.ศ. 2537 และข้อบังคับจรรยาบรรณวิชาชีพ</t>
        </is>
      </c>
      <c r="H282" s="2" t="inlineStr">
        <is>
          <t>พ.ร.บ. ผลิตภัณฑ์สมุนไพร พ.ศ. 2562</t>
        </is>
      </c>
      <c r="I282" s="2" t="n">
        <v>1</v>
      </c>
      <c r="J2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2" t="n"/>
      <c r="L282" s="2" t="inlineStr">
        <is>
          <t>พ.ร.บ. ยา พ.ศ. 2510</t>
        </is>
      </c>
      <c r="M282" s="2" t="inlineStr">
        <is>
          <t>SAP</t>
        </is>
      </c>
      <c r="N282" s="2" t="inlineStr">
        <is>
          <t>ข้อ 3 (PLE_CC1_Key_Rx20_UBU.md)</t>
        </is>
      </c>
      <c r="O282" s="2" t="inlineStr">
        <is>
          <t>Mock</t>
        </is>
      </c>
      <c r="P282" s="2" t="inlineStr">
        <is>
          <t>Mock Rx20 UBU</t>
        </is>
      </c>
    </row>
    <row r="283" ht="13.2" customHeight="1" s="49">
      <c r="A283" s="2" t="n">
        <v>281</v>
      </c>
      <c r="B283" s="2" t="inlineStr">
        <is>
          <t>ผู้ป่วยมีสิทธิได้รับทราบชื่อ สกุล และวิชาชีพของผู้ให้การรักษาพยาบาลแก่ตน</t>
        </is>
      </c>
      <c r="C283" s="2" t="n"/>
      <c r="D283" s="2"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t>
        </is>
      </c>
      <c r="E283" s="2" t="inlineStr">
        <is>
          <t>พ.ร.บ. ผลิตภัณฑ์สมุนไพร พ.ศ. 2562</t>
        </is>
      </c>
      <c r="F283" s="2" t="inlineStr">
        <is>
          <t>พ.ร.บ. เครื่องสำอาง พ.ศ. 2558</t>
        </is>
      </c>
      <c r="G283" s="2" t="inlineStr">
        <is>
          <t>พ.ร.บ. หลักประกันสุขภาพแห่งชาติ พ.ศ. 2545</t>
        </is>
      </c>
      <c r="H283" s="2" t="inlineStr">
        <is>
          <t>การปฏิบัติทางเภสัชกรรมชุมชน (Good Pharmacy Practice: GPP)</t>
        </is>
      </c>
      <c r="I283" s="2" t="n">
        <v>1</v>
      </c>
      <c r="J283" s="2"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2" t="n"/>
      <c r="L283" s="2" t="inlineStr">
        <is>
          <t>พ.ร.บ. ยา พ.ศ. 2510</t>
        </is>
      </c>
      <c r="M283" s="2" t="inlineStr">
        <is>
          <t>SAP</t>
        </is>
      </c>
      <c r="N283" s="2" t="inlineStr">
        <is>
          <t>ข้อ 1 (PLE_CC1_Key_Rx20_UBU.md)</t>
        </is>
      </c>
      <c r="O283" s="2" t="inlineStr">
        <is>
          <t>Mock</t>
        </is>
      </c>
      <c r="P283" s="2" t="inlineStr">
        <is>
          <t>Mock Rx20 UBU</t>
        </is>
      </c>
    </row>
    <row r="284" ht="13.2" customHeight="1" s="49">
      <c r="A284" s="2" t="n">
        <v>282</v>
      </c>
      <c r="B284" s="2" t="inlineStr">
        <is>
          <t>ผู้ป่วยมีสิทธิได้รับการปกปิดข้อมูลของตนเอง</t>
        </is>
      </c>
      <c r="C284" s="2" t="n"/>
      <c r="D284" s="2" t="inlineStr">
        <is>
          <t>ผู้ป่วยมีสิทธิขอความเห็นจากผู้ประกอบวิชาชีพด้านสุขภาพอื่นที่มิได้เป็นผู้ให้การรักษาพยาบาลแก่ตน</t>
        </is>
      </c>
      <c r="E284" s="2"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2" t="inlineStr">
        <is>
          <t>บัญชียาหลักแห่งชาติ (National List of Essential Medicines: NLEM)</t>
        </is>
      </c>
      <c r="G284" s="2" t="inlineStr">
        <is>
          <t>เกณฑ์จริยธรรมว่าด้วยการส่งเสริมการขายยาของกระทรวงสาธารณสุข</t>
        </is>
      </c>
      <c r="H284" s="2" t="inlineStr">
        <is>
          <t>พ.ร.บ. ยา พ.ศ. 2510 (การจำหน่ายยาอันตรายและยาควบคุมพิเศษ)</t>
        </is>
      </c>
      <c r="I284" s="2" t="n">
        <v>1</v>
      </c>
      <c r="J284" s="2"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2" t="n"/>
      <c r="L284" s="2" t="inlineStr">
        <is>
          <t>พ.ร.บ. ยา พ.ศ. 2510</t>
        </is>
      </c>
      <c r="M284" s="2" t="inlineStr">
        <is>
          <t>SAP</t>
        </is>
      </c>
      <c r="N284" s="2" t="inlineStr">
        <is>
          <t>ข้อ 3 (PLE_CC1_Key_Rx20_UBU.md)</t>
        </is>
      </c>
      <c r="O284" s="2" t="inlineStr">
        <is>
          <t>Mock</t>
        </is>
      </c>
      <c r="P284" s="2" t="inlineStr">
        <is>
          <t>Mock Rx20 UBU</t>
        </is>
      </c>
    </row>
    <row r="285" ht="13.2" customHeight="1" s="49">
      <c r="A285" s="2" t="n">
        <v>283</v>
      </c>
      <c r="B285" s="2" t="inlineStr">
        <is>
          <t>เปรียบเทียบประสิทธิภาพระหว่างยาจริงกับยาหลอกวัดผลโดยคะแนน 1-100 โดยมีการกระจายข้อมูลแบบ normal distribution</t>
        </is>
      </c>
      <c r="C285" s="2" t="n"/>
      <c r="D285" s="2" t="inlineStr">
        <is>
          <t>เกณฑ์จริยธรรมว่าด้วยการส่งเสริมการขายยาของกระทรวงสาธารณสุข</t>
        </is>
      </c>
      <c r="E285" s="2" t="inlineStr">
        <is>
          <t>พ.ร.บ. ยา พ.ศ. 2510 (การจำหน่ายยาอันตรายและยาควบคุมพิเศษ)</t>
        </is>
      </c>
      <c r="F285" s="2" t="inlineStr">
        <is>
          <t>พ.ร.บ. ยาเสพติดให้โทษ พ.ศ. 2522 (ยาเสพติดให้โทษประเภท 2 และ 3)</t>
        </is>
      </c>
      <c r="G285" s="2" t="inlineStr">
        <is>
          <t>พ.ร.บ. วัตถุที่ออกฤทธิ์ต่อจิตและประสาท พ.ศ. 2559 (ประเภท 2 และ 4)</t>
        </is>
      </c>
      <c r="H285" s="2" t="inlineStr">
        <is>
          <t>พ.ร.บ. วิชาชีพเภสัชกรรม พ.ศ. 2537 และข้อบังคับจรรยาบรรณวิชาชีพ</t>
        </is>
      </c>
      <c r="I285" s="2" t="n">
        <v>1</v>
      </c>
      <c r="J28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2" t="n"/>
      <c r="L285" s="2" t="inlineStr">
        <is>
          <t>พ.ร.บ. ยา พ.ศ. 2510</t>
        </is>
      </c>
      <c r="M285" s="2" t="inlineStr">
        <is>
          <t>SAP</t>
        </is>
      </c>
      <c r="N285" s="2" t="inlineStr">
        <is>
          <t>ข้อ 5 (PLE_CC1_Key_Rx20_UBU.md)</t>
        </is>
      </c>
      <c r="O285" s="2" t="inlineStr">
        <is>
          <t>Mock</t>
        </is>
      </c>
      <c r="P285" s="2" t="inlineStr">
        <is>
          <t>Mock Rx20 UBU</t>
        </is>
      </c>
    </row>
    <row r="286" ht="13.2" customHeight="1" s="49">
      <c r="A286" s="2" t="n">
        <v>284</v>
      </c>
      <c r="B286" s="2" t="inlineStr">
        <is>
          <t>เพื่อยุติการส่งเสริมการขายที่ผิดจริยธรรม</t>
        </is>
      </c>
      <c r="C286" s="2" t="n"/>
      <c r="D286" s="2" t="inlineStr">
        <is>
          <t>พ.ร.บ. วัตถุที่ออกฤทธิ์ต่อจิตและประสาท พ.ศ. 2559 (ประเภท 2 และ 4)</t>
        </is>
      </c>
      <c r="E286" s="2" t="inlineStr">
        <is>
          <t>พ.ร.บ. วิชาชีพเภสัชกรรม พ.ศ. 2537 และข้อบังคับจรรยาบรรณวิชาชีพ</t>
        </is>
      </c>
      <c r="F286" s="2" t="inlineStr">
        <is>
          <t>พ.ร.บ. ผลิตภัณฑ์สมุนไพร พ.ศ. 2562</t>
        </is>
      </c>
      <c r="G286" s="2" t="inlineStr">
        <is>
          <t>พ.ร.บ. เครื่องสำอาง พ.ศ. 2558</t>
        </is>
      </c>
      <c r="H286" s="2" t="inlineStr">
        <is>
          <t>พ.ร.บ. หลักประกันสุขภาพแห่งชาติ พ.ศ. 2545</t>
        </is>
      </c>
      <c r="I286" s="2" t="n">
        <v>1</v>
      </c>
      <c r="J28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2" t="n"/>
      <c r="L286" s="2" t="inlineStr">
        <is>
          <t>พ.ร.บ. วิชาชีพเภสัชกรรม 2537</t>
        </is>
      </c>
      <c r="M286" s="2" t="inlineStr">
        <is>
          <t>SAP</t>
        </is>
      </c>
      <c r="N286" s="2" t="inlineStr">
        <is>
          <t>ข้อ 4 (PLE_CC1_Key_Rx20_UBU.md)</t>
        </is>
      </c>
      <c r="O286" s="2" t="inlineStr">
        <is>
          <t>Mock</t>
        </is>
      </c>
      <c r="P286" s="2" t="inlineStr">
        <is>
          <t>Mock Rx20 UBU</t>
        </is>
      </c>
    </row>
    <row r="287" ht="13.2" customHeight="1" s="49">
      <c r="A287" s="2" t="n">
        <v>285</v>
      </c>
      <c r="B287" s="2"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2" t="n"/>
      <c r="D287" s="2"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2"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2" t="inlineStr">
        <is>
          <t>การปฏิบัติทางเภสัชกรรมชุมชน (Good Pharmacy Practice: GPP)</t>
        </is>
      </c>
      <c r="G287" s="2" t="inlineStr">
        <is>
          <t>บัญชียาหลักแห่งชาติ (National List of Essential Medicines: NLEM)</t>
        </is>
      </c>
      <c r="H287" s="2" t="inlineStr">
        <is>
          <t>เกณฑ์จริยธรรมว่าด้วยการส่งเสริมการขายยาของกระทรวงสาธารณสุข</t>
        </is>
      </c>
      <c r="I287" s="2" t="n">
        <v>2</v>
      </c>
      <c r="J287" s="2"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2" t="n"/>
      <c r="L287" s="2" t="inlineStr">
        <is>
          <t>พ.ร.บ. ยา พ.ศ. 2510</t>
        </is>
      </c>
      <c r="M287" s="2" t="inlineStr">
        <is>
          <t>SAP</t>
        </is>
      </c>
      <c r="N287" s="2" t="inlineStr">
        <is>
          <t>ข้อ 5 (PLE_CC1_Key_Rx20_UBU.md)</t>
        </is>
      </c>
      <c r="O287" s="2" t="inlineStr">
        <is>
          <t>Mock</t>
        </is>
      </c>
      <c r="P287" s="2" t="inlineStr">
        <is>
          <t>Mock Rx20 UBU</t>
        </is>
      </c>
    </row>
    <row r="288" ht="13.2" customHeight="1" s="49">
      <c r="A288" s="2" t="n">
        <v>286</v>
      </c>
      <c r="B288" s="2"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2" t="n"/>
      <c r="D288" s="2" t="inlineStr">
        <is>
          <t>บัญชียาหลักแห่งชาติ (National List of Essential Medicines: NLEM)</t>
        </is>
      </c>
      <c r="E288" s="2" t="inlineStr">
        <is>
          <t>เกณฑ์จริยธรรมว่าด้วยการส่งเสริมการขายยาของกระทรวงสาธารณสุข</t>
        </is>
      </c>
      <c r="F288" s="2" t="inlineStr">
        <is>
          <t>พ.ร.บ. ยา พ.ศ. 2510 (การจำหน่ายยาอันตรายและยาควบคุมพิเศษ)</t>
        </is>
      </c>
      <c r="G288" s="2" t="inlineStr">
        <is>
          <t>พ.ร.บ. ยาเสพติดให้โทษ พ.ศ. 2522 (ยาเสพติดให้โทษประเภท 2 และ 3)</t>
        </is>
      </c>
      <c r="H288" s="2" t="inlineStr">
        <is>
          <t>พ.ร.บ. วัตถุที่ออกฤทธิ์ต่อจิตและประสาท พ.ศ. 2559 (ประเภท 2 และ 4)</t>
        </is>
      </c>
      <c r="I288" s="2" t="n">
        <v>1</v>
      </c>
      <c r="J28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2" t="n"/>
      <c r="L288" s="2" t="inlineStr">
        <is>
          <t>พ.ร.บ. ยา พ.ศ. 2510</t>
        </is>
      </c>
      <c r="M288" s="2" t="inlineStr">
        <is>
          <t>SAP</t>
        </is>
      </c>
      <c r="N288" s="2" t="inlineStr">
        <is>
          <t>ข้อ 5 (PLE_CC1_Key_Rx20_UBU.md)</t>
        </is>
      </c>
      <c r="O288" s="2" t="inlineStr">
        <is>
          <t>Mock</t>
        </is>
      </c>
      <c r="P288" s="2" t="inlineStr">
        <is>
          <t>Mock Rx20 UBU</t>
        </is>
      </c>
    </row>
    <row r="289" ht="13.2" customHeight="1" s="49">
      <c r="A289" s="2" t="n">
        <v>287</v>
      </c>
      <c r="B289" s="2"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2" t="n"/>
      <c r="D289" s="2" t="inlineStr">
        <is>
          <t>ผู้ป่วยทุกคนควรได้รับยา A เป็นตัวแรก</t>
        </is>
      </c>
      <c r="E289" s="2" t="inlineStr">
        <is>
          <t>ผู้ป่วยที่ไม่สามารถใช้ยา A ได้ เช่น เกิดอาการไม่พึงประสงค์ สามารถใช้ยา B แทน แต่ต้องชำระเงินเอง</t>
        </is>
      </c>
      <c r="F289" s="2" t="inlineStr">
        <is>
          <t>ผู้ป่วยที่ได้รับยา C ไม่จำเป็นต้องจ่ายค่ารักษาพยาบาลเองหากมีความจำเป็นต้องใช้ยา</t>
        </is>
      </c>
      <c r="G289" s="2" t="inlineStr">
        <is>
          <t>ยา B สั่งใช้โดยแพทย์ผู้ชำนาญหรือผู้ที่ได้รับมอบหมายจากผู้อำนวยการของสถานพยาบาลนั้นๆ</t>
        </is>
      </c>
      <c r="H289" s="2"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t>
        </is>
      </c>
      <c r="I289" s="2" t="n">
        <v>4</v>
      </c>
      <c r="J289" s="2"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2" t="n"/>
      <c r="L289" s="2" t="inlineStr">
        <is>
          <t>พ.ร.บ. ยา พ.ศ. 2510</t>
        </is>
      </c>
      <c r="M289" s="2" t="inlineStr">
        <is>
          <t>SAP</t>
        </is>
      </c>
      <c r="N289" s="2" t="inlineStr">
        <is>
          <t>ข้อ 9 (PLE_CC1_Key_Rx20_UBU.md)</t>
        </is>
      </c>
      <c r="O289" s="2" t="inlineStr">
        <is>
          <t>Mock</t>
        </is>
      </c>
      <c r="P289" s="2" t="inlineStr">
        <is>
          <t>Mock Rx20 UBU</t>
        </is>
      </c>
    </row>
    <row r="290" ht="13.2" customHeight="1" s="49">
      <c r="A290" s="2" t="n">
        <v>288</v>
      </c>
      <c r="B290" s="2"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2" t="n"/>
      <c r="D290" s="2" t="inlineStr">
        <is>
          <t>Case series</t>
        </is>
      </c>
      <c r="E290" s="2" t="inlineStr">
        <is>
          <t>Case-control</t>
        </is>
      </c>
      <c r="F290" s="2" t="inlineStr">
        <is>
          <t>Cohort</t>
        </is>
      </c>
      <c r="G290" s="2" t="inlineStr">
        <is>
          <t>Cross-sectional study</t>
        </is>
      </c>
      <c r="H290" s="2" t="inlineStr">
        <is>
          <t>Case-report</t>
        </is>
      </c>
      <c r="I290" s="2" t="n">
        <v>3</v>
      </c>
      <c r="J290" s="2"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2" t="n"/>
      <c r="L290" s="2" t="inlineStr">
        <is>
          <t>พ.ร.บ. ยา พ.ศ. 2510</t>
        </is>
      </c>
      <c r="M290" s="2" t="inlineStr">
        <is>
          <t>SAP</t>
        </is>
      </c>
      <c r="N290" s="2" t="inlineStr">
        <is>
          <t>ข้อ 24 (PLE_CC1_Key_Rx20_UBU.md)</t>
        </is>
      </c>
      <c r="O290" s="2" t="inlineStr">
        <is>
          <t>Mock</t>
        </is>
      </c>
      <c r="P290" s="2" t="inlineStr">
        <is>
          <t>Mock Rx20 UBU</t>
        </is>
      </c>
    </row>
    <row r="291" ht="13.2" customHeight="1" s="49">
      <c r="A291" s="2" t="n">
        <v>289</v>
      </c>
      <c r="B291" s="2" t="inlineStr">
        <is>
          <t>ต้องรักษา H.pylori infection เป็นระยะเวลานานเท่าไร จึงจะได้ประสิทธิภาพการรักษาสูงสุด</t>
        </is>
      </c>
      <c r="C291" s="2" t="n"/>
      <c r="D291" s="2" t="inlineStr">
        <is>
          <t>3 วัน</t>
        </is>
      </c>
      <c r="E291" s="2" t="inlineStr">
        <is>
          <t>5 วัน</t>
        </is>
      </c>
      <c r="F291" s="2" t="inlineStr">
        <is>
          <t>2 สัปดาห์</t>
        </is>
      </c>
      <c r="G291" s="2" t="inlineStr">
        <is>
          <t>4 สัปดาห์</t>
        </is>
      </c>
      <c r="H291" s="2" t="inlineStr">
        <is>
          <t>6 สัปดาห์</t>
        </is>
      </c>
      <c r="I291" s="2" t="n">
        <v>3</v>
      </c>
      <c r="J291" s="2"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2" t="n"/>
      <c r="L291" s="2" t="inlineStr">
        <is>
          <t>พ.ร.บ. ยา พ.ศ. 2510</t>
        </is>
      </c>
      <c r="M291" s="2" t="inlineStr">
        <is>
          <t>SAP</t>
        </is>
      </c>
      <c r="N291" s="2" t="inlineStr">
        <is>
          <t>ข้อ 54 (PLE_CC1_Key_Rx20_UBU.md)</t>
        </is>
      </c>
      <c r="O291" s="2" t="inlineStr">
        <is>
          <t>Mock</t>
        </is>
      </c>
      <c r="P291" s="2" t="inlineStr">
        <is>
          <t>Mock Rx20 UBU</t>
        </is>
      </c>
    </row>
    <row r="292" ht="13.2" customHeight="1" s="49">
      <c r="A292" s="2" t="n">
        <v>290</v>
      </c>
      <c r="B292" s="2" t="inlineStr">
        <is>
          <t>ยาใดที่มีผลลดประสิทธิภาพของยาคุมกำเนิด</t>
        </is>
      </c>
      <c r="C292" s="2" t="n"/>
      <c r="D292" s="2" t="inlineStr">
        <is>
          <t>Rifampin</t>
        </is>
      </c>
      <c r="E292" s="2" t="inlineStr">
        <is>
          <t>Ketoconazole</t>
        </is>
      </c>
      <c r="F292" s="2" t="inlineStr">
        <is>
          <t>Omeprazole</t>
        </is>
      </c>
      <c r="G292" s="2" t="inlineStr">
        <is>
          <t>Griseofulvin</t>
        </is>
      </c>
      <c r="H292" s="2" t="inlineStr">
        <is>
          <t>Ranitidine</t>
        </is>
      </c>
      <c r="I292" s="2" t="n">
        <v>1</v>
      </c>
      <c r="J292" s="2"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2" t="n"/>
      <c r="L292" s="2" t="inlineStr">
        <is>
          <t>พ.ร.บ. ยา พ.ศ. 2510</t>
        </is>
      </c>
      <c r="M292" s="2" t="inlineStr">
        <is>
          <t>SAP</t>
        </is>
      </c>
      <c r="N292" s="2" t="inlineStr">
        <is>
          <t>ข้อ 87 (PLE_CC1_Key_Rx20_UBU.md)</t>
        </is>
      </c>
      <c r="O292" s="2" t="inlineStr">
        <is>
          <t>Mock</t>
        </is>
      </c>
      <c r="P292" s="2" t="inlineStr">
        <is>
          <t>Mock Rx20 UBU</t>
        </is>
      </c>
    </row>
    <row r="293" ht="13.2" customHeight="1" s="49">
      <c r="A293" s="2" t="n">
        <v>291</v>
      </c>
      <c r="B293" s="2" t="inlineStr">
        <is>
          <t>ผู้รับอนุญาต ทำผิดพรบ.วิชาชีพเภสัชกรรมหรือไม่อย่างไร</t>
        </is>
      </c>
      <c r="C293" s="2" t="n"/>
      <c r="D293" s="2" t="inlineStr">
        <is>
          <t>ผิด เพราะ เป็นผู้จ่ายยาให้นายชิดชัยโดยตรง</t>
        </is>
      </c>
      <c r="E293" s="2" t="inlineStr">
        <is>
          <t>ผิด เพราะ นายชิดชัยได้รับอันตราย</t>
        </is>
      </c>
      <c r="F293" s="2" t="inlineStr">
        <is>
          <t>ผิด เพราะ ไม่ปฏิบัติตามข้อจำกัด และเงื่อนไขการประกอบวิชาชีพ</t>
        </is>
      </c>
      <c r="G293" s="2" t="inlineStr">
        <is>
          <t>ไม่ผิด เพราะไม่ใช่เภสัชกร และ พรบ. วิชาชีพบังคับใช้สำหรับผู้ประกอบวิชาชีพเภสัชกรรม เท่านั้น</t>
        </is>
      </c>
      <c r="H293" s="2" t="inlineStr">
        <is>
          <t>ไม่ผิด เพราะสามารถพิสูจน์ได้ว่าเภสัชกรยินยอม</t>
        </is>
      </c>
      <c r="I293" s="2" t="n">
        <v>1</v>
      </c>
      <c r="J293" s="2"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พ.ร.บ. ยา พ.ศ. 2510</t>
        </is>
      </c>
      <c r="M293" s="2" t="inlineStr">
        <is>
          <t>SAP</t>
        </is>
      </c>
      <c r="N293" s="2" t="inlineStr">
        <is>
          <t>ข้อ 110 (PLE_CC1_Key_Rx20_UBU.md)</t>
        </is>
      </c>
      <c r="O293" s="2" t="inlineStr">
        <is>
          <t>Mock</t>
        </is>
      </c>
      <c r="P293" s="2" t="inlineStr">
        <is>
          <t>Mock Rx20 UBU</t>
        </is>
      </c>
    </row>
    <row r="294" ht="13.2" customHeight="1" s="49">
      <c r="A294" s="2" t="n">
        <v>292</v>
      </c>
      <c r="B294" s="2" t="inlineStr">
        <is>
          <t>เภสัชกรผิดตาม พ.ร.บ.ยา อย่างไรชัดเจนที่สุด</t>
        </is>
      </c>
      <c r="C294" s="2" t="n"/>
      <c r="D294" s="2" t="inlineStr">
        <is>
          <t>ผิด เพราะ ไม่คำนึงถึงความปลอดภัยและเศรษฐานะของผู้รับบริการ</t>
        </is>
      </c>
      <c r="E294" s="2" t="inlineStr">
        <is>
          <t>ผิด เพราะ ไม่อยู่ประจำตลอดเวลาทำการ</t>
        </is>
      </c>
      <c r="F294" s="2" t="inlineStr">
        <is>
          <t>ผิด เพราะ ไม่รักษามาตรฐานวิชาชีพ</t>
        </is>
      </c>
      <c r="G294" s="2" t="inlineStr">
        <is>
          <t>ผิด เพราะ ไม่จัดให้มีตัวแทนอยู่ประจำร้าน</t>
        </is>
      </c>
      <c r="H294" s="2" t="inlineStr">
        <is>
          <t>ผิด เพราะ ไม่ควบคุมการแยกยาอันตรายหรือยาควบคุมพิเศษ</t>
        </is>
      </c>
      <c r="I294" s="2" t="n">
        <v>2</v>
      </c>
      <c r="J294" s="2"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2" t="n"/>
      <c r="L294" s="2" t="inlineStr">
        <is>
          <t>พ.ร.บ. ยา พ.ศ. 2510</t>
        </is>
      </c>
      <c r="M294" s="2" t="inlineStr">
        <is>
          <t>SAP</t>
        </is>
      </c>
      <c r="N294" s="2" t="inlineStr">
        <is>
          <t>ข้อ 111 (PLE_CC1_Key_Rx20_UBU.md)</t>
        </is>
      </c>
      <c r="O294" s="2" t="inlineStr">
        <is>
          <t>Mock</t>
        </is>
      </c>
      <c r="P294" s="2" t="inlineStr">
        <is>
          <t>Mock Rx20 UBU</t>
        </is>
      </c>
    </row>
    <row r="295" ht="13.2" customHeight="1" s="49">
      <c r="A295" s="2" t="n">
        <v>293</v>
      </c>
      <c r="B295" s="2" t="inlineStr">
        <is>
          <t>ผู้รับอนุญาตผิดตาม พ.ร.บ.ยา อย่างไร</t>
        </is>
      </c>
      <c r="C295" s="2" t="n"/>
      <c r="D295" s="2" t="inlineStr">
        <is>
          <t>ผิด เพราะ ไม่จัดหาเภสัชกรมาปฏิบัติงานตามเวลา</t>
        </is>
      </c>
      <c r="E295" s="2" t="inlineStr">
        <is>
          <t>ผิด เพราะ จ่ายยาอันตรายและยาควบคุมพิเศษโดยที่เภสัชกรไม่อยู่</t>
        </is>
      </c>
      <c r="F295" s="2" t="inlineStr">
        <is>
          <t>ผิด เพราะ ไม่ควบคุมให้มีบัญชีซื้อขายยา</t>
        </is>
      </c>
      <c r="G295" s="2" t="inlineStr">
        <is>
          <t>ผิด เพราะ ไม่ได้รับอนุญาตขาย</t>
        </is>
      </c>
      <c r="H295" s="2" t="inlineStr">
        <is>
          <t>ผิด เพราะ ไม่รักษามาตรฐานเภสัชชุมชน</t>
        </is>
      </c>
      <c r="I295" s="2" t="n">
        <v>2</v>
      </c>
      <c r="J295" s="2"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2" t="n"/>
      <c r="L295" s="2" t="inlineStr">
        <is>
          <t>พ.ร.บ. ยา พ.ศ. 2510</t>
        </is>
      </c>
      <c r="M295" s="2" t="inlineStr">
        <is>
          <t>SAP</t>
        </is>
      </c>
      <c r="N295" s="2" t="inlineStr">
        <is>
          <t>ข้อ 112 (PLE_CC1_Key_Rx20_UBU.md)</t>
        </is>
      </c>
      <c r="O295" s="2" t="inlineStr">
        <is>
          <t>Mock</t>
        </is>
      </c>
      <c r="P295" s="2" t="inlineStr">
        <is>
          <t>Mock Rx20 UBU</t>
        </is>
      </c>
    </row>
    <row r="296" ht="13.2" customHeight="1" s="49">
      <c r="A296" s="2" t="n">
        <v>294</v>
      </c>
      <c r="B296" s="2" t="inlineStr">
        <is>
          <t>หาก สสจ. ตรวจพบว่ามียาที่หมดอายุแล้วปะปนอยู่บนชั้นวางยา ยาดังกล่าวจัดเป็นยาใดตามกฎหมาย</t>
        </is>
      </c>
      <c r="C296" s="2" t="n"/>
      <c r="D296" s="2" t="inlineStr">
        <is>
          <t>ยาผิดมาตรฐาน</t>
        </is>
      </c>
      <c r="E296" s="2" t="inlineStr">
        <is>
          <t>ยาปลอม</t>
        </is>
      </c>
      <c r="F296" s="2" t="inlineStr">
        <is>
          <t>ยาเสื่อมคุณภาพ</t>
        </is>
      </c>
      <c r="G296" s="2" t="inlineStr">
        <is>
          <t>ยาเพิกถอนทะเบียน</t>
        </is>
      </c>
      <c r="H296" s="2" t="inlineStr">
        <is>
          <t>ยาที่ไม่ได้ขึ้นทะเบียน</t>
        </is>
      </c>
      <c r="I296" s="2" t="n">
        <v>3</v>
      </c>
      <c r="J296" s="2"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2" t="n"/>
      <c r="L296" s="2" t="inlineStr">
        <is>
          <t>พ.ร.บ. ยา พ.ศ. 2510</t>
        </is>
      </c>
      <c r="M296" s="2" t="inlineStr">
        <is>
          <t>SAP</t>
        </is>
      </c>
      <c r="N296" s="2" t="inlineStr">
        <is>
          <t>ข้อ 117 (PLE_CC1_Key_Rx20_UBU.md)</t>
        </is>
      </c>
      <c r="O296" s="2" t="inlineStr">
        <is>
          <t>Mock</t>
        </is>
      </c>
      <c r="P296" s="2" t="inlineStr">
        <is>
          <t>Mock Rx20 UBU</t>
        </is>
      </c>
    </row>
    <row r="297" ht="13.2" customHeight="1" s="49">
      <c r="A297" s="2" t="n">
        <v>295</v>
      </c>
      <c r="B297" s="2"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2" t="n"/>
      <c r="D297" s="2" t="inlineStr">
        <is>
          <t>ไม่ผิด เพราะผู้รับอนุญาตขายยาสามารถขายยาบรรจุเสร็จที่ไม่ใช่ยาอันตรายและยาควบคุมพิเศษ</t>
        </is>
      </c>
      <c r="E297" s="2" t="inlineStr">
        <is>
          <t>ไม่ผิด เพราะ แชมพูคีโตโคนาโซลเป็นเครื่องสำอาง</t>
        </is>
      </c>
      <c r="F297" s="2" t="inlineStr">
        <is>
          <t>ผิด เพราะเป็นการขายยาผิดมาตรฐาน</t>
        </is>
      </c>
      <c r="G297" s="2" t="inlineStr">
        <is>
          <t>ผิด เพราะเป็นการผลิตยาโดยไม่ได้รับอนุญาต</t>
        </is>
      </c>
      <c r="H297" s="2" t="inlineStr">
        <is>
          <t>ไม่ผิด เพราะกระทำแก่ผู้ป่วยเฉพาะราย</t>
        </is>
      </c>
      <c r="I297" s="2" t="n">
        <v>4</v>
      </c>
      <c r="J297" s="2"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2" t="n"/>
      <c r="L297" s="2" t="inlineStr">
        <is>
          <t>พ.ร.บ. ยา พ.ศ. 2510</t>
        </is>
      </c>
      <c r="M297" s="2" t="inlineStr">
        <is>
          <t>SAP</t>
        </is>
      </c>
      <c r="N297" s="2" t="inlineStr">
        <is>
          <t>ข้อ 118 (PLE_CC1_Key_Rx20_UBU.md)</t>
        </is>
      </c>
      <c r="O297" s="2" t="inlineStr">
        <is>
          <t>Mock</t>
        </is>
      </c>
      <c r="P297" s="2" t="inlineStr">
        <is>
          <t>Mock Rx20 UBU</t>
        </is>
      </c>
    </row>
    <row r="298" ht="13.2" customHeight="1" s="49">
      <c r="A298" s="2" t="n">
        <v>296</v>
      </c>
      <c r="B298" s="2" t="inlineStr">
        <is>
          <t>ตาม GPP ฉลากบนซองบรรจุยาจะต้องแสดงข้อมูลดังกล่าว ยกเว้นข้อใด</t>
        </is>
      </c>
      <c r="C298" s="2" t="n"/>
      <c r="D298" s="2" t="inlineStr">
        <is>
          <t>ชื่อผู้ป่วย</t>
        </is>
      </c>
      <c r="E298" s="2" t="inlineStr">
        <is>
          <t>ชื่อยาที่เป็นชื่อสามัญ หรือชื่อทางการค้า</t>
        </is>
      </c>
      <c r="F298" s="2" t="inlineStr">
        <is>
          <t>ข้อบ่งใช้</t>
        </is>
      </c>
      <c r="G298" s="2" t="inlineStr">
        <is>
          <t>คำแนะนำ</t>
        </is>
      </c>
      <c r="H298" s="2" t="inlineStr">
        <is>
          <t>วันหมดอายุยา</t>
        </is>
      </c>
      <c r="I298" s="2" t="n">
        <v>5</v>
      </c>
      <c r="J298" s="2"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2" t="n"/>
      <c r="L298" s="2" t="inlineStr">
        <is>
          <t>พ.ร.บ. ยา พ.ศ. 2510</t>
        </is>
      </c>
      <c r="M298" s="2" t="inlineStr">
        <is>
          <t>SAP</t>
        </is>
      </c>
      <c r="N298" s="2" t="inlineStr">
        <is>
          <t>ข้อ 120 (PLE_CC1_Key_Rx20_UBU.md)</t>
        </is>
      </c>
      <c r="O298" s="2" t="inlineStr">
        <is>
          <t>Mock</t>
        </is>
      </c>
      <c r="P298" s="2" t="inlineStr">
        <is>
          <t>Mock Rx20 UBU</t>
        </is>
      </c>
    </row>
    <row r="299" ht="13.2" customHeight="1" s="49">
      <c r="A299" s="2" t="n">
        <v>297</v>
      </c>
      <c r="B299" s="2" t="inlineStr">
        <is>
          <t>ภญ. ก ผิดจรรยาบรรณวิชาชีพเภสัชกรรมยกเว้นข้อใด</t>
        </is>
      </c>
      <c r="C299" s="2" t="n"/>
      <c r="D299" s="2" t="inlineStr">
        <is>
          <t>ส่งเสริมการใช้ยาตำรับลับ</t>
        </is>
      </c>
      <c r="E299" s="2" t="inlineStr">
        <is>
          <t>ไม่ดำรงตนให้สมควรในสังคมโดยธรรมและเคารพต่อกฎหมายของบ้านเมือง</t>
        </is>
      </c>
      <c r="F299" s="2" t="inlineStr">
        <is>
          <t>ไม่รักษามาตรฐานของการประกอบวิชาชีพเภสัชกรรมในระดับที่ดีที่สุด</t>
        </is>
      </c>
      <c r="G299" s="2" t="inlineStr">
        <is>
          <t>ไม่คำนึงถึงความปลอดภัยและเศรษฐานะ ของผู้ป่วยหรือผู้มารับบริการ</t>
        </is>
      </c>
      <c r="H299" s="2"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t>
        </is>
      </c>
      <c r="I299" s="2" t="n">
        <v>3</v>
      </c>
      <c r="J299" s="2"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2" t="n"/>
      <c r="L299" s="2" t="inlineStr">
        <is>
          <t>พ.ร.บ. วิชาชีพเภสัชกรรม 2537</t>
        </is>
      </c>
      <c r="M299" s="2" t="inlineStr">
        <is>
          <t>SAP</t>
        </is>
      </c>
      <c r="N299" s="2" t="inlineStr">
        <is>
          <t>ข้อ 117 (PLE_CC1_Key_Rx20_UBU.md)</t>
        </is>
      </c>
      <c r="O299" s="2" t="inlineStr">
        <is>
          <t>Mock</t>
        </is>
      </c>
      <c r="P299" s="2" t="inlineStr">
        <is>
          <t>Mock Rx20 UBU</t>
        </is>
      </c>
    </row>
    <row r="300" ht="13.2" customHeight="1" s="49">
      <c r="A300" s="2" t="n">
        <v>298</v>
      </c>
      <c r="B300" s="2"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2" t="n"/>
      <c r="D300" s="2" t="inlineStr">
        <is>
          <t>พ.ร.บ. ผลิตภัณฑ์สมุนไพร พ.ศ. 2562</t>
        </is>
      </c>
      <c r="E300" s="2" t="inlineStr">
        <is>
          <t>พ.ร.บ. เครื่องสำอาง พ.ศ. 2558</t>
        </is>
      </c>
      <c r="F300" s="2" t="inlineStr">
        <is>
          <t>พ.ร.บ. หลักประกันสุขภาพแห่งชาติ พ.ศ. 2545</t>
        </is>
      </c>
      <c r="G300" s="2" t="inlineStr">
        <is>
          <t>การปฏิบัติทางเภสัชกรรมชุมชน (Good Pharmacy Practice: GPP)</t>
        </is>
      </c>
      <c r="H300" s="2" t="inlineStr">
        <is>
          <t>บัญชียาหลักแห่งชาติ (National List of Essential Medicines: NLEM)</t>
        </is>
      </c>
      <c r="I300" s="2" t="n">
        <v>1</v>
      </c>
      <c r="J30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2" t="n"/>
      <c r="L300" s="2" t="inlineStr">
        <is>
          <t>พ.ร.บ. ยา พ.ศ. 2510</t>
        </is>
      </c>
      <c r="M300" s="2" t="inlineStr">
        <is>
          <t>SAP</t>
        </is>
      </c>
      <c r="N300" s="2" t="inlineStr">
        <is>
          <t>ข้อ 1 (PLE_CC1_Key_Rx20_UBU.md)</t>
        </is>
      </c>
      <c r="O300" s="2" t="inlineStr">
        <is>
          <t>Mock</t>
        </is>
      </c>
      <c r="P300" s="2" t="inlineStr">
        <is>
          <t>Mock Rx20 UBU</t>
        </is>
      </c>
    </row>
    <row r="301" ht="13.2" customHeight="1" s="49">
      <c r="A301" s="2" t="n">
        <v>299</v>
      </c>
      <c r="B301" s="2"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2" t="n"/>
      <c r="D301" s="2" t="inlineStr">
        <is>
          <t>ผิดเพราะขายยานอกสถานที่</t>
        </is>
      </c>
      <c r="E301" s="2" t="inlineStr">
        <is>
          <t>ผิดเพราะขายยาอันตรายและควบคุมพิเศษโดยไม่มีใบสั่งแพทย์ ค .ผิด เพราะจำหน่ายยาไม่ตรงใบอนุญาต</t>
        </is>
      </c>
      <c r="F301" s="2" t="inlineStr">
        <is>
          <t>ไม่ผิด เพราะเภสัชกรได้ควบคุมการส่งมอบยาอันตราย</t>
        </is>
      </c>
      <c r="G301" s="2" t="inlineStr">
        <is>
          <t>ไม่ผิดเพราะเภสัชกรได้แนะนำวิธีดการส่งมอบยาเรียบร้อยแล้ว ข้อ 96</t>
        </is>
      </c>
      <c r="H301" s="2" t="inlineStr">
        <is>
          <t>พ.ร.บ. ยาเสพติดให้โทษ พ.ศ. 2522 (ยาเสพติดให้โทษประเภท 2 และ 3)</t>
        </is>
      </c>
      <c r="I301" s="2" t="n">
        <v>2</v>
      </c>
      <c r="J301" s="2"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2" t="n"/>
      <c r="L301" s="2" t="inlineStr">
        <is>
          <t>พ.ร.บ. ยา พ.ศ. 2510</t>
        </is>
      </c>
      <c r="M301" s="2" t="inlineStr">
        <is>
          <t>SAP</t>
        </is>
      </c>
      <c r="N301" s="2" t="inlineStr">
        <is>
          <t>ข้อ 3 (PLE_CC1_Key_Rx20_UBU.md)</t>
        </is>
      </c>
      <c r="O301" s="2" t="inlineStr">
        <is>
          <t>Mock</t>
        </is>
      </c>
      <c r="P301" s="2" t="inlineStr">
        <is>
          <t>Mock Rx20 UBU</t>
        </is>
      </c>
    </row>
    <row r="302" ht="13.2" customHeight="1" s="49">
      <c r="A302" s="2" t="n">
        <v>300</v>
      </c>
      <c r="B302" s="2"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2" t="n"/>
      <c r="D302" s="2" t="inlineStr">
        <is>
          <t>ขายได้ เพราะเป็นยาอันตรายที่เภสัชกรมีสิทธิ์ส่งมอบในร้านยาได้</t>
        </is>
      </c>
      <c r="E302" s="2" t="inlineStr">
        <is>
          <t>ขายได้ หากให้คำแนะนำการใช้ยาบนฉลากยาอย่างถูกต้อง</t>
        </is>
      </c>
      <c r="F302" s="2" t="inlineStr">
        <is>
          <t>ขายไม่ได้ เพราะปริมาณเกินกว่าที่กฎหมายกำหนดให้มีไว้ในครอบครอง</t>
        </is>
      </c>
      <c r="G302" s="2" t="inlineStr">
        <is>
          <t>ขายไม่ได้ เพราะไม่ได้คำนึงถึงความปลอดภัยของผู้ใช้ยา และเป็นการใช้ยาโดยไม่มีข้อบ่งชี้ทางการแพทย์</t>
        </is>
      </c>
      <c r="H302" s="2" t="inlineStr">
        <is>
          <t>ขายไม่ได้ เพราะต้องมีใบสั่งยาจากแพทย์เท่านั้นจึงจะจ่ายยาอันตรายได้</t>
        </is>
      </c>
      <c r="I302" s="8" t="inlineStr">
        <is>
          <t>4</t>
        </is>
      </c>
      <c r="J302" s="2"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2" t="n"/>
      <c r="L302" s="2" t="inlineStr">
        <is>
          <t>Pharmacy Laws &amp; Ethics</t>
        </is>
      </c>
      <c r="M302" s="2" t="inlineStr">
        <is>
          <t>SAP</t>
        </is>
      </c>
      <c r="N302" s="2" t="inlineStr">
        <is>
          <t>PLE_CC1_2567_Key ข้อ 11</t>
        </is>
      </c>
      <c r="O302" s="2" t="inlineStr">
        <is>
          <t>ข้อสอบจริง</t>
        </is>
      </c>
      <c r="P302" s="2" t="inlineStr">
        <is>
          <t>ปี 2567</t>
        </is>
      </c>
    </row>
    <row r="303" ht="409.6" customHeight="1" s="49">
      <c r="A303" s="35" t="n">
        <v>301</v>
      </c>
      <c r="B303" s="34" t="inlineStr">
        <is>
          <t>ยาใดที่ร้านขายส่งไม่สามารถขายในร้านขายยาแผนปัจจุบันได้</t>
        </is>
      </c>
      <c r="C303" s="35" t="n"/>
      <c r="D303" s="34" t="inlineStr">
        <is>
          <t>Sildenafil</t>
        </is>
      </c>
      <c r="E303" s="34" t="inlineStr">
        <is>
          <t>Alprazolam</t>
        </is>
      </c>
      <c r="F303" s="34" t="inlineStr">
        <is>
          <t>Tramadol</t>
        </is>
      </c>
      <c r="G303" s="34" t="inlineStr">
        <is>
          <t>Dexamethasone</t>
        </is>
      </c>
      <c r="H303" s="34" t="inlineStr">
        <is>
          <t>Prednisolone</t>
        </is>
      </c>
      <c r="I303" s="35" t="n">
        <v>1</v>
      </c>
      <c r="J303" s="34" t="inlineStr">
        <is>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3" s="35" t="n"/>
      <c r="L303" s="34" t="inlineStr">
        <is>
          <t>Pharmacy Laws &amp; Ethics</t>
        </is>
      </c>
      <c r="M303" s="35" t="inlineStr">
        <is>
          <t>SAP</t>
        </is>
      </c>
      <c r="N303" s="34" t="inlineStr">
        <is>
          <t>ข้อสอบจริง Product ปี 2567 ข้อ 23</t>
        </is>
      </c>
      <c r="O303" s="35" t="inlineStr">
        <is>
          <t>ข้อสอบจริง</t>
        </is>
      </c>
      <c r="P303" s="35" t="inlineStr">
        <is>
          <t>ปี 2567</t>
        </is>
      </c>
    </row>
    <row r="304" ht="409.6" customHeight="1" s="49">
      <c r="A304" s="35" t="n">
        <v>302</v>
      </c>
      <c r="B304" s="34" t="inlineStr">
        <is>
          <t>ยาข้อใดต่อไปนี้ ไม่ต้องทำ ขย.11 (ขอขึ้นทะเบียนยาชนิดที่ 11\)</t>
        </is>
      </c>
      <c r="C304" s="35" t="n"/>
      <c r="D304" s="34" t="inlineStr">
        <is>
          <t>ยาเม็ด dimenhydrinate</t>
        </is>
      </c>
      <c r="E304" s="34" t="inlineStr">
        <is>
          <t>ยาเม็ด dextromethorphan</t>
        </is>
      </c>
      <c r="F304" s="34" t="inlineStr">
        <is>
          <t>ยา tramadol</t>
        </is>
      </c>
      <c r="G304" s="34" t="inlineStr">
        <is>
          <t>ยาน้ำ CPM (Chlorpheniramine)</t>
        </is>
      </c>
      <c r="H304" s="34" t="n"/>
      <c r="I304" s="35" t="n">
        <v>1</v>
      </c>
      <c r="J304" s="34"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35" t="n"/>
      <c r="L304" s="34" t="inlineStr">
        <is>
          <t>Pharmacy Laws &amp; Ethics</t>
        </is>
      </c>
      <c r="M304" s="35" t="inlineStr">
        <is>
          <t>SAP</t>
        </is>
      </c>
      <c r="N304" s="34" t="inlineStr">
        <is>
          <t>ข้อสอบจริง Product ปี 2567 ข้อ 25</t>
        </is>
      </c>
      <c r="O304" s="35" t="inlineStr">
        <is>
          <t>ข้อสอบจริง</t>
        </is>
      </c>
      <c r="P304" s="35" t="inlineStr">
        <is>
          <t>ปี 2567</t>
        </is>
      </c>
    </row>
    <row r="305" ht="409.6" customHeight="1" s="49">
      <c r="A305" s="35" t="n">
        <v>303</v>
      </c>
      <c r="B305" s="34" t="inlineStr">
        <is>
          <t>ข้อใดต่อไปนี้ไม่จัดเป็นยาสามัญประจำบ้าน</t>
        </is>
      </c>
      <c r="C305" s="35" t="n"/>
      <c r="D305" s="34" t="inlineStr">
        <is>
          <t>Paracetamol 500 mg จำนน 100 เม็ด</t>
        </is>
      </c>
      <c r="E305" s="34" t="inlineStr">
        <is>
          <t>ยาเน็บ glycerin 10 เม็ด</t>
        </is>
      </c>
      <c r="F305" s="34" t="inlineStr">
        <is>
          <t>น้ำเกลือ 500 ml</t>
        </is>
      </c>
      <c r="G305" s="34" t="inlineStr">
        <is>
          <t>ORS ผมน้ำ 250 ml</t>
        </is>
      </c>
      <c r="H305" s="34" t="inlineStr">
        <is>
          <t>ยาล้างตา 150 ml</t>
        </is>
      </c>
      <c r="I305" s="35" t="n">
        <v>1</v>
      </c>
      <c r="J305" s="34" t="inlineStr">
        <is>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5" s="35" t="n"/>
      <c r="L305" s="34" t="inlineStr">
        <is>
          <t>Pharmacy Laws &amp; Ethics</t>
        </is>
      </c>
      <c r="M305" s="35" t="inlineStr">
        <is>
          <t>SAP</t>
        </is>
      </c>
      <c r="N305" s="34" t="inlineStr">
        <is>
          <t>ข้อสอบจริง Product ปี 2567 ข้อ 29</t>
        </is>
      </c>
      <c r="O305" s="35" t="inlineStr">
        <is>
          <t>ข้อสอบจริง</t>
        </is>
      </c>
      <c r="P305" s="35" t="inlineStr">
        <is>
          <t>ปี 2567</t>
        </is>
      </c>
    </row>
    <row r="306" ht="409.6" customHeight="1" s="49">
      <c r="A306" s="35" t="n">
        <v>304</v>
      </c>
      <c r="B306" s="34" t="inlineStr">
        <is>
          <t>"อาการของคนไข้ยังไม่หาย ไปร้านยาเพื่อขอยาแก้ไอ" สมุนไพรใดมีฤทธิ์แก้ไอ</t>
        </is>
      </c>
      <c r="C306" s="35" t="n"/>
      <c r="D306" s="34"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34" t="inlineStr">
        <is>
          <t>ชะเอมเทศ ❌ ช่วยให้ชุ่มคอ ลดการระคายคอ มีฤทธิ์แก้ไอได้ แต่เป็นสารช่วยแต่งรสในตำรับหลายชนิด</t>
        </is>
      </c>
      <c r="F306" s="34" t="inlineStr">
        <is>
          <t>มะแว้ง ✅ ใช้เป็นยาสามัญประจำบ้านสำหรับแก้ไอ ขับเสมหะ</t>
        </is>
      </c>
      <c r="G306" s="34" t="inlineStr">
        <is>
          <t>ขิง ❌ เด่นแก้คลื่นไส้ ท้องอืด ขับลม</t>
        </is>
      </c>
      <c r="H306" s="34" t="inlineStr">
        <is>
          <t>ฟ้าทะลายโจร ❌ ใช้บรรเทาอาการเจ็บคอ/หวัด ไม่ใช่สมุนไพรแก้ไอโดยตรง</t>
        </is>
      </c>
      <c r="I306" s="35" t="n">
        <v>1</v>
      </c>
      <c r="J306" s="34"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35" t="n"/>
      <c r="L306" s="34" t="inlineStr">
        <is>
          <t>Pharmacy Laws &amp; Ethics</t>
        </is>
      </c>
      <c r="M306" s="35" t="inlineStr">
        <is>
          <t>SAP</t>
        </is>
      </c>
      <c r="N306" s="34" t="inlineStr">
        <is>
          <t>ข้อสอบจริง Product ปี 2564 ข้อ 171</t>
        </is>
      </c>
      <c r="O306" s="35" t="inlineStr">
        <is>
          <t>ข้อสอบจริง</t>
        </is>
      </c>
      <c r="P306" s="35" t="inlineStr">
        <is>
          <t>ปี 2564</t>
        </is>
      </c>
    </row>
    <row r="307" ht="13.2" customHeight="1" s="49">
      <c r="A307" t="n">
        <v>305</v>
      </c>
      <c r="B307"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D307" t="inlineStr">
        <is>
          <t>ยาเสื่อมคุณภาพ</t>
        </is>
      </c>
      <c r="E307" t="inlineStr">
        <is>
          <t>ยาผิดมาตรฐาน</t>
        </is>
      </c>
      <c r="F307" t="inlineStr">
        <is>
          <t>ยาปลอม</t>
        </is>
      </c>
      <c r="G307" t="inlineStr">
        <is>
          <t>ยาไม่ขึ้นทะเบียนตำรับยา</t>
        </is>
      </c>
      <c r="H307" t="inlineStr">
        <is>
          <t>ยาอันตราย</t>
        </is>
      </c>
      <c r="I307" t="n">
        <v>1</v>
      </c>
      <c r="J307"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L307" t="inlineStr">
        <is>
          <t>Hypertension / Pharmacy Laws &amp; Ethics</t>
        </is>
      </c>
      <c r="M307" t="inlineStr">
        <is>
          <t>Clinic</t>
        </is>
      </c>
      <c r="N307" t="inlineStr">
        <is>
          <t>PLE_CC1_2564_All_Key ข้อ 147</t>
        </is>
      </c>
    </row>
    <row r="308" ht="13.2" customHeight="1" s="49">
      <c r="A308" t="n">
        <v>306</v>
      </c>
      <c r="B308"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D308" t="inlineStr">
        <is>
          <t>บัญชี ก</t>
        </is>
      </c>
      <c r="E308" t="inlineStr">
        <is>
          <t>บัญชี ข</t>
        </is>
      </c>
      <c r="F308" t="inlineStr">
        <is>
          <t>บัญชี ค</t>
        </is>
      </c>
      <c r="G308" t="inlineStr">
        <is>
          <t>บัญชี ง</t>
        </is>
      </c>
      <c r="H308" t="inlineStr">
        <is>
          <t>บัญชี จ (2)</t>
        </is>
      </c>
      <c r="I308" t="inlineStr">
        <is>
          <t>1</t>
        </is>
      </c>
      <c r="J308"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8" t="inlineStr">
        <is>
          <t>Hypertension</t>
        </is>
      </c>
      <c r="M308" t="inlineStr">
        <is>
          <t>Clinic</t>
        </is>
      </c>
      <c r="N308" t="inlineStr">
        <is>
          <t>ข้อ 8 (PLE_CC1_2560 22 April Set 1.md)</t>
        </is>
      </c>
    </row>
    <row r="309" ht="13.2" customHeight="1" s="49">
      <c r="A309" t="n">
        <v>307</v>
      </c>
      <c r="B309"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D309" t="inlineStr">
        <is>
          <t>บัญชี ก</t>
        </is>
      </c>
      <c r="E309" t="inlineStr">
        <is>
          <t>บัญชี ข</t>
        </is>
      </c>
      <c r="F309" t="inlineStr">
        <is>
          <t>บัญชี ค</t>
        </is>
      </c>
      <c r="G309" t="inlineStr">
        <is>
          <t>บัญชี ง</t>
        </is>
      </c>
      <c r="H309" t="inlineStr">
        <is>
          <t>บัญชี จ (2) 23</t>
        </is>
      </c>
      <c r="I309" t="inlineStr">
        <is>
          <t>1</t>
        </is>
      </c>
      <c r="J309"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9" t="inlineStr">
        <is>
          <t>Hypertension</t>
        </is>
      </c>
      <c r="M309" t="inlineStr">
        <is>
          <t>Clinic</t>
        </is>
      </c>
      <c r="N309" t="inlineStr">
        <is>
          <t>ข้อ 8 (PLE_CC1_2560 22 April Set 2.md)</t>
        </is>
      </c>
    </row>
    <row r="310" ht="13.2" customHeight="1" s="49">
      <c r="A310" t="n">
        <v>308</v>
      </c>
      <c r="B310" t="inlineStr">
        <is>
          <t>ยาลดกรด aluminium hydroxide/magnesium hydroxide ขนาด 240 มิลลิลิตร เป็นยา ประเภทใด</t>
        </is>
      </c>
      <c r="D310" t="inlineStr">
        <is>
          <t>ยาสามัญประจำบ้าน</t>
        </is>
      </c>
      <c r="E310" t="inlineStr">
        <is>
          <t>ยาอันตราย</t>
        </is>
      </c>
      <c r="F310" t="inlineStr">
        <is>
          <t>ยาควบคุมพิเศษ</t>
        </is>
      </c>
      <c r="G310" t="inlineStr">
        <is>
          <t>วัตถุออกฤทธิ์ต่อจิตและประสาท</t>
        </is>
      </c>
      <c r="H310" t="inlineStr">
        <is>
          <t>ยาเสพติดให้โทษ ประเภทที่ 3</t>
        </is>
      </c>
      <c r="I310" t="inlineStr">
        <is>
          <t>1</t>
        </is>
      </c>
      <c r="J310"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0" t="inlineStr">
        <is>
          <t>Hypertension</t>
        </is>
      </c>
      <c r="M310" t="inlineStr">
        <is>
          <t>Clinic</t>
        </is>
      </c>
      <c r="N310" t="inlineStr">
        <is>
          <t>ข้อ 1 (LAW-CU-71.md)</t>
        </is>
      </c>
    </row>
    <row r="311" ht="13.2" customHeight="1" s="49">
      <c r="A311" t="n">
        <v>309</v>
      </c>
      <c r="B311"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D311" t="inlineStr">
        <is>
          <t>ถามว่าเป้าหมายความดันโลหิตของผู้ป่วยควรน้อยกว่าเท่าไร</t>
        </is>
      </c>
      <c r="E311" t="inlineStr">
        <is>
          <t>Warfarin 3 mg OD (target INR 2.0-3.0)</t>
        </is>
      </c>
      <c r="F311" t="inlineStr">
        <is>
          <t>Furosemide 40 mg OD</t>
        </is>
      </c>
      <c r="G311" t="inlineStr">
        <is>
          <t>Amlodipine 5 mg OD</t>
        </is>
      </c>
      <c r="H311" t="inlineStr">
        <is>
          <t>Losartan 50 mg OD</t>
        </is>
      </c>
      <c r="I311" t="inlineStr">
        <is>
          <t>1</t>
        </is>
      </c>
      <c r="J311"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1" t="inlineStr">
        <is>
          <t>Hypertension</t>
        </is>
      </c>
      <c r="M311" t="inlineStr">
        <is>
          <t>Clinic</t>
        </is>
      </c>
      <c r="N311" t="inlineStr">
        <is>
          <t>ข้อ 10 (PLE_CC1_2556.md)</t>
        </is>
      </c>
    </row>
    <row r="312" ht="13.2" customHeight="1" s="49">
      <c r="A312" t="n">
        <v>310</v>
      </c>
      <c r="B312" t="inlineStr">
        <is>
          <t>ยา Metformin และ Pioglitazone จัดเป็นยาประเภทใด ก ยาแผนปัจจุบันบรรจุเสร็จที่ไม่ใช่ยาอันตรายหรือยาควบคุมพิเศษทั้งคู่</t>
        </is>
      </c>
      <c r="D312" t="inlineStr">
        <is>
          <t>ยาอันตรายทั้งคู่</t>
        </is>
      </c>
      <c r="E312" t="inlineStr">
        <is>
          <t>ยาควบคุมพิเศษทั้งคู่</t>
        </is>
      </c>
      <c r="F312" t="inlineStr">
        <is>
          <t>Metformin เป็นยาอันตราย Pioglitazone เป็นยาควบคุมพิเศษ</t>
        </is>
      </c>
      <c r="G312" t="inlineStr">
        <is>
          <t>Metformin เป็นยาควบคุมพิเศษ Pioglitazone เป็นยาอันตราย</t>
        </is>
      </c>
      <c r="H312" t="inlineStr">
        <is>
          <t>Spironolactone 25 mg OD</t>
        </is>
      </c>
      <c r="I312" t="inlineStr">
        <is>
          <t>1</t>
        </is>
      </c>
      <c r="J312"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312" t="inlineStr">
        <is>
          <t>Hypertension</t>
        </is>
      </c>
      <c r="M312" t="inlineStr">
        <is>
          <t>Clinic</t>
        </is>
      </c>
      <c r="N312" t="inlineStr">
        <is>
          <t>ข้อ 18 (PLE_CC1_Practice_Exam.md)</t>
        </is>
      </c>
    </row>
    <row r="313" ht="13.2" customHeight="1" s="49">
      <c r="A313" t="n">
        <v>311</v>
      </c>
      <c r="B313" t="inlineStr">
        <is>
          <t>Midazolam ที่ปริมาณยาเกินกว่าช่วงที่กำหนด 15% จัดเป็นยาประเภทใด</t>
        </is>
      </c>
      <c r="D313" t="inlineStr">
        <is>
          <t>ยาปลอม</t>
        </is>
      </c>
      <c r="E313" t="inlineStr">
        <is>
          <t>ยาผิดมาตรฐาน</t>
        </is>
      </c>
      <c r="F313" t="inlineStr">
        <is>
          <t>ยาเสื่อมคุณภาพ</t>
        </is>
      </c>
      <c r="G313" t="inlineStr">
        <is>
          <t>ยายกเลิกทะเบียน</t>
        </is>
      </c>
      <c r="H313" t="inlineStr">
        <is>
          <t>ยาที่ไม่ได้ขึ้นทะเบียนตำรับยา</t>
        </is>
      </c>
      <c r="I313" t="inlineStr">
        <is>
          <t>1</t>
        </is>
      </c>
      <c r="J313"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34 (PLE_CC1_Practice_Exam.md)</t>
        </is>
      </c>
    </row>
    <row r="314" ht="13.2" customHeight="1" s="49">
      <c r="A314" t="n">
        <v>312</v>
      </c>
      <c r="B314" t="inlineStr">
        <is>
          <t>กรณีพบยา Midazolam ในร้านขายยา ใครถือเป็นผู้กระทำความผิด</t>
        </is>
      </c>
      <c r="D314" t="inlineStr">
        <is>
          <t>นาย ก.</t>
        </is>
      </c>
      <c r="E314" t="inlineStr">
        <is>
          <t>นาย ข.</t>
        </is>
      </c>
      <c r="F314" t="inlineStr">
        <is>
          <t>นาย ค.</t>
        </is>
      </c>
      <c r="G314" t="inlineStr">
        <is>
          <t>นาย ก. และนาย ข.</t>
        </is>
      </c>
      <c r="H314"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314" t="inlineStr">
        <is>
          <t>4</t>
        </is>
      </c>
      <c r="J314"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6 (PLE_CC1_Key_Rx20_UBU.md)</t>
        </is>
      </c>
    </row>
    <row r="315" ht="13.2" customHeight="1" s="49">
      <c r="A315" t="n">
        <v>313</v>
      </c>
      <c r="B315"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D315" t="inlineStr">
        <is>
          <t>บัญชี ก</t>
        </is>
      </c>
      <c r="E315" t="inlineStr">
        <is>
          <t>บัญชี ข</t>
        </is>
      </c>
      <c r="F315" t="inlineStr">
        <is>
          <t>บัญชี ค</t>
        </is>
      </c>
      <c r="G315" t="inlineStr">
        <is>
          <t>บัญชี ง</t>
        </is>
      </c>
      <c r="H315" t="inlineStr">
        <is>
          <t>บัญชี จ (2) เรื่องที่ 10. ยาคุมฉุกเฉิน ผู้ป่วยหญิงอายุ 20 ปี มีรอบเดือนคงที่ 28 วัน มาพบเภสัชกรวันที่ 7 กุมภาพันธ์</t>
        </is>
      </c>
      <c r="I315" t="inlineStr">
        <is>
          <t>4</t>
        </is>
      </c>
      <c r="J315"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81 (PLE_CC1_Key_Rx20_UBU.md)</t>
        </is>
      </c>
    </row>
  </sheetData>
  <mergeCells count="1">
    <mergeCell ref="A1:F1"/>
  </mergeCell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P9"/>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24" t="inlineStr">
        <is>
          <t>ข้อที่</t>
        </is>
      </c>
      <c r="B2" s="24" t="inlineStr">
        <is>
          <t>คำถาม</t>
        </is>
      </c>
      <c r="C2" s="24" t="inlineStr">
        <is>
          <t>รูปถาม</t>
        </is>
      </c>
      <c r="D2" s="24" t="inlineStr">
        <is>
          <t>ตัวเลือก 1</t>
        </is>
      </c>
      <c r="E2" s="24" t="inlineStr">
        <is>
          <t>ตัวเลือก 2</t>
        </is>
      </c>
      <c r="F2" s="24" t="inlineStr">
        <is>
          <t>ตัวเลือก 3</t>
        </is>
      </c>
      <c r="G2" s="24" t="inlineStr">
        <is>
          <t>ตัวเลือก 4</t>
        </is>
      </c>
      <c r="H2" s="24" t="inlineStr">
        <is>
          <t>ตัวเลือก 5</t>
        </is>
      </c>
      <c r="I2" s="24" t="inlineStr">
        <is>
          <t>เฉลย (ตัวเลข 1-5)</t>
        </is>
      </c>
      <c r="J2" s="24" t="inlineStr">
        <is>
          <t>คำอธิบายเฉลย</t>
        </is>
      </c>
      <c r="K2" s="24" t="inlineStr">
        <is>
          <t>รูปเฉลย</t>
        </is>
      </c>
      <c r="L2" s="24" t="inlineStr">
        <is>
          <t>Filter หมวด/Subtopic</t>
        </is>
      </c>
      <c r="M2" s="24" t="inlineStr">
        <is>
          <t>Product / Clinic</t>
        </is>
      </c>
      <c r="N2" s="24" t="inlineStr">
        <is>
          <t>หมายเหตุ</t>
        </is>
      </c>
      <c r="O2" s="2" t="inlineStr">
        <is>
          <t>ประเภทข้อสอบ</t>
        </is>
      </c>
      <c r="P2" s="2" t="inlineStr">
        <is>
          <t>ปี / เลขชุด</t>
        </is>
      </c>
    </row>
    <row r="3" ht="13.2" customHeight="1" s="49">
      <c r="A3" s="8" t="inlineStr">
        <is>
          <t>9</t>
        </is>
      </c>
      <c r="B3" s="2" t="inlineStr">
        <is>
          <t>ถ้าผู้ป่วยใช้ยาพ่น budesonide inhaler หมด และใช้สิทธิบัตรทอง สามารถขอรับยาต่อได้หรือไม่</t>
        </is>
      </c>
      <c r="C3" s="2" t="n"/>
      <c r="D3" s="2" t="inlineStr">
        <is>
          <t>ไม่ได้ เพราะต้องให้แพทย์สั่ง</t>
        </is>
      </c>
      <c r="E3" s="2" t="inlineStr">
        <is>
          <t>ไม่ได้ เพราะเป็นยาที่ต้องสั่งโดยแพทย์ผู้เชี่ยวชาญเฉพาะทาง</t>
        </is>
      </c>
      <c r="F3" s="2" t="inlineStr">
        <is>
          <t>ได้ สามารถรับที่ไหนก็ได้</t>
        </is>
      </c>
      <c r="G3" s="2" t="inlineStr">
        <is>
          <t>ได้ เพราะอยู่ในบัญชียาหลักแห่งชาติ</t>
        </is>
      </c>
      <c r="H3" s="2" t="inlineStr">
        <is>
          <t>ได้ เพราะในกรมบัญชีกลางอนุญาต</t>
        </is>
      </c>
      <c r="I3" s="8" t="inlineStr">
        <is>
          <t>4</t>
        </is>
      </c>
      <c r="J3" s="2"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ระบบประกันสุขภาพ</t>
        </is>
      </c>
      <c r="M3" s="2" t="inlineStr">
        <is>
          <t>SAP</t>
        </is>
      </c>
      <c r="N3" s="2" t="inlineStr">
        <is>
          <t>ข้อ 9 Pharma Plus เล่มม่วง (เฉลยข้อ ง)</t>
        </is>
      </c>
      <c r="O3" s="2" t="inlineStr">
        <is>
          <t>Mock</t>
        </is>
      </c>
      <c r="P3" s="2" t="inlineStr">
        <is>
          <t>Pharma Plus เล่มม่วง</t>
        </is>
      </c>
    </row>
    <row r="4" ht="13.2" customHeight="1" s="49">
      <c r="A4" s="8" t="inlineStr">
        <is>
          <t>31</t>
        </is>
      </c>
      <c r="B4" s="2"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2" t="n"/>
      <c r="D4" s="2"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2"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2" t="inlineStr">
        <is>
          <t>ต้องเสียค่าใช้จ่าย แต่หากผู้ปกครองไม่นำบุตรไปรับวัคซีนตามโปรแกรมถือมีความผิดตามกฎหมาย</t>
        </is>
      </c>
      <c r="G4" s="2" t="inlineStr">
        <is>
          <t>ต้องเสียค่าใช้จ่าย แต่หากผู้ปกครองไม่นำบุตรไปรับวัคซีนตามโปรแกรมถือว่าไม่มีความผิดตามกฎหมาย</t>
        </is>
      </c>
      <c r="H4" s="2" t="inlineStr">
        <is>
          <t>ไม่มีข้อใดถูก</t>
        </is>
      </c>
      <c r="I4" s="8" t="inlineStr">
        <is>
          <t>1</t>
        </is>
      </c>
      <c r="J4" s="2"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ระบบประกันสุขภาพ</t>
        </is>
      </c>
      <c r="M4" s="2" t="inlineStr">
        <is>
          <t>SAP</t>
        </is>
      </c>
      <c r="N4" s="2" t="inlineStr">
        <is>
          <t>ข้อ 31 Pharma Plus เล่มม่วง (เฉลยข้อ ก)</t>
        </is>
      </c>
      <c r="O4" s="2" t="inlineStr">
        <is>
          <t>Mock</t>
        </is>
      </c>
      <c r="P4" s="2" t="inlineStr">
        <is>
          <t>Pharma Plus เล่มม่วง</t>
        </is>
      </c>
    </row>
    <row r="5" ht="13.2" customHeight="1" s="49">
      <c r="A5" s="2" t="n">
        <v>32</v>
      </c>
      <c r="B5" s="2"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2" t="n"/>
      <c r="D5" s="2" t="inlineStr">
        <is>
          <t>ใช้วิธีเตือนอย่างเข้มงวดและแจ้งบทลงโทษหากไม่มารับยาตามนัด</t>
        </is>
      </c>
      <c r="E5" s="2" t="inlineStr">
        <is>
          <t>ให้คำแนะนำที่ตรงไปตรงมา เน้นย้ำถึงอันตรายของการเกิดเชื้อดื้อยาจนรักษาไม่หาย</t>
        </is>
      </c>
      <c r="F5" s="2" t="inlineStr">
        <is>
          <t>ให้คำแนะนำตามหลักการแพทย์เชิงลึกเพื่อให้ดูน่าเชื่อถือและผู้ป่วยปฏิบัติตาม</t>
        </is>
      </c>
      <c r="G5" s="2"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2" t="inlineStr">
        <is>
          <t>ให้คำแนะนำเท่าที่จำเป็นอย่างกระชับเพื่อไม่ให้ผู้ป่วยเสียเวลาและไม่วิตกกังวล</t>
        </is>
      </c>
      <c r="I5" s="8" t="inlineStr">
        <is>
          <t>4</t>
        </is>
      </c>
      <c r="J5" s="2" t="inlineStr">
        <is>
          <t>✅ คำตอบที่ถูกต้อง: ข้อ ง. เสริมสร้างพลังอำนาจแก่ผู้ป่วย (Empowerment) ให้มีส่วนร่วมในการวางแผนและสอบถามความกังวล
💡 Background:
ผู้ป่วยวัณโรคจำเป็นต้องรับประทานยาหลายชนิดเป็นเวลาติดต่อกันอย่างน้อย 6 เดือน ทำให้เกิดปัญหาความร่วมมือในการใช้ยา (Medication Adherence) ได้บ่อย การสื่อสารและการบริบาลทางเภสัชกรรมสมัยใหม่มุ่งเน้นการดูแลโดยยึดผู้ป่วยเป็นศูนย์กลาง (Patient-Centered Care) และการเสริมสร้างพลังอำนาจ (Patient Empowerment) ซึ่งส่งเสริมให้ผู้ป่วยมีความรู้ ความเข้าใจ รู้สึกเป็นเจ้าของการรักษา และมีส่วนร่วมในการตัดสินใจวางแผนเวลาการรับประทานยาให้สอดคล้องกับวิถีชีวิตประจำวัน
🎯 ทำไมข้อนี้ถึงถูก:
การสร้างเสริมอำนาจแก่ผู้ป่วย (Patient Empowerment) เปิดโอกาสให้ผู้ป่วยได้บอกเล่าความกังวล อุปสรรค และร่วมกันวางแผนการรับประทานยากับบุคลากรทางการแพทย์ เป็นยุทธศาสตร์การสื่อสารที่พิสูจน์แล้วว่าช่วยเพิ่มความร่วมมือในการรับประทานยา (Adherence) และลดอัตราการขาดยา (Default rate) ได้อย่างมีประสิทธิภาพและยั่งยืนที่สุด
🔍 ข้ออื่นผิดเพราะอะไร:
• ข้อ ก. (Naloxone 0.4 mg IV stat): เป็นตัวเลือกผิดพลาดจากการสลับแถวในระบบเดิม (Naloxone ใช้แก้พิษ Opioid)
• ข้อ ข. (ให้คำแนะนำที่ตรงไปตรงมา เน้นย้ำถึงอันตรายของการเกิดเชื้อดื้อยา): การใช้เทคนิคข่มขู่หรือสร้างความกลัว (Fear appeal) เพียงอย่างเดียว มักทำให้ผู้ป่วยเกิดความเครียด วิตกกังวล และอาจปกปิดข้อมูลเมื่อลืมรับประทานยา
• ข้อ ค. (ให้คำแนะนำตามหลักวิชาการ ให้ดูน่าเชื่อถือ): การใช้ภาษาเชิงวิชาการมากเกินไป (Medical jargon) ทำให้ผู้ป่วยไม่เข้าใจและเข้าไม่ถึงข้อมูล
• ข้อ จ. (ให้คำแนะนำกระชับ และเน้นความสำคัญของการใช้ยา): การสื่อสารทางเดียว (One-way communication) โดยไม่รับฟังปัญหาความกังวลของผู้ป่วย ไม่สามารถแก้ไขปัญหา adherence ในระยะยาวได้
📖 Guideline อ้างอิง:
WHO Guidelines for Treatment of Drug-Susceptible Tuberculosis and Patient Care (Section: Patient education, adherence support and care) &amp; สภาเภสัชกรรม: แนวปฏิบัติการบริบาลทางเภสัชกรรมเพื่อส่งเสริมความร่วมมือในการใช้ยาของผู้ป่วย
📌 จุดจำก่อนสอบ:
• Patient Empowerment: การเปิดโอกาสให้ผู้ป่วยซักถามและร่วมวางแผน (Partnership) เป็นหัวใจสำคัญในการเพิ่ม Adherence ของโรคเรื้อรังและวัณโรค
• Motivational Interviewing (MI): การสัมภาษณ์เพื่อสร้างแรงจูงใจและการรับฟังอย่างเข้าใจ (Active listening) ดีกว่าการสั่งสอนหรือตักเตือนด้วยความกลัว</t>
        </is>
      </c>
      <c r="K5" s="2" t="n"/>
      <c r="L5" s="2" t="inlineStr">
        <is>
          <t>Pharmacy Administration &amp; System</t>
        </is>
      </c>
      <c r="M5" s="2" t="inlineStr">
        <is>
          <t>SAP</t>
        </is>
      </c>
      <c r="N5" s="2" t="inlineStr">
        <is>
          <t>Mock PLE-CC 1 ข้อ 106</t>
        </is>
      </c>
      <c r="O5" s="2" t="inlineStr">
        <is>
          <t>Mock</t>
        </is>
      </c>
      <c r="P5" s="2" t="inlineStr">
        <is>
          <t>Mock RxCU83</t>
        </is>
      </c>
    </row>
    <row r="6" ht="13.2" customHeight="1" s="49">
      <c r="A6" t="n">
        <v>33</v>
      </c>
      <c r="B6"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D6" t="inlineStr">
        <is>
          <t>ไม!มีเภสัชกรที่ รพ.สต.</t>
        </is>
      </c>
      <c r="E6" t="inlineStr">
        <is>
          <t>ไม!มีการบันทึกประวัติแพยา</t>
        </is>
      </c>
      <c r="F6" t="inlineStr">
        <is>
          <t>เจาหนาที่ขาดความรูความสามารถ</t>
        </is>
      </c>
      <c r="G6" t="inlineStr">
        <is>
          <t>ระบบการส!งต!อขอมูลผูป%วยยังไม!ดีพอ</t>
        </is>
      </c>
      <c r="H6" t="inlineStr">
        <is>
          <t>ระบบคอมพิวเตอรTไม!ดี ไม!มีประวัติผูป%วย</t>
        </is>
      </c>
      <c r="I6" t="inlineStr">
        <is>
          <t>1</t>
        </is>
      </c>
      <c r="J6"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L6" t="inlineStr">
        <is>
          <t>Hypertension</t>
        </is>
      </c>
      <c r="M6" t="inlineStr">
        <is>
          <t>Clinic</t>
        </is>
      </c>
      <c r="N6" t="inlineStr">
        <is>
          <t>ข้อ 8 (PLE_CC1_2561_Key.md)</t>
        </is>
      </c>
    </row>
    <row r="7" ht="13.2" customHeight="1" s="49">
      <c r="A7" t="n">
        <v>34</v>
      </c>
      <c r="B7"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D7" t="inlineStr">
        <is>
          <t>Precontemplation</t>
        </is>
      </c>
      <c r="E7" t="inlineStr">
        <is>
          <t>Contemplation</t>
        </is>
      </c>
      <c r="F7" t="inlineStr">
        <is>
          <t>Preparation</t>
        </is>
      </c>
      <c r="G7" t="inlineStr">
        <is>
          <t>Action</t>
        </is>
      </c>
      <c r="H7" t="inlineStr">
        <is>
          <t>Maintenance</t>
        </is>
      </c>
      <c r="I7" t="inlineStr">
        <is>
          <t>1</t>
        </is>
      </c>
      <c r="J7"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 t="inlineStr">
        <is>
          <t>Hypertension</t>
        </is>
      </c>
      <c r="M7" t="inlineStr">
        <is>
          <t>Clinic</t>
        </is>
      </c>
      <c r="N7" t="inlineStr">
        <is>
          <t>ข้อ 53 (Pharmtutor_2024_Set2.md)</t>
        </is>
      </c>
    </row>
    <row r="8" ht="13.2" customHeight="1" s="49">
      <c r="A8" t="n">
        <v>35</v>
      </c>
      <c r="B8"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D8" t="inlineStr">
        <is>
          <t>ต้นทุนทางตรงทางการแพทย์ Direct medical cost</t>
        </is>
      </c>
      <c r="E8" t="inlineStr">
        <is>
          <t>ต้นทุนทางตรงที่ไม่เกี่ยวข้องทางการแพทย์ Direct non-medical cost</t>
        </is>
      </c>
      <c r="F8" t="inlineStr">
        <is>
          <t>ต้นทุนทางอ้อม Indirect medical cost</t>
        </is>
      </c>
      <c r="G8" t="inlineStr">
        <is>
          <t>ต้นทุนค่าเสียโอกาส Opportunity medical cost</t>
        </is>
      </c>
      <c r="H8" t="inlineStr">
        <is>
          <t>ต้นทุนการไปทำงาน working cost</t>
        </is>
      </c>
      <c r="I8" t="inlineStr">
        <is>
          <t>1</t>
        </is>
      </c>
      <c r="J8" t="inlineStr">
        <is>
          <t>✅ คำตอบที่ถูกต้อง: ข้อ ก. ต้นทุนทางตรงทางการแพทย์ Direct medical cost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ต้นทุนทางตรงทางการแพทย์ Direct medical cost การเลือก ต้นทุนทางตรงทางการแพทย์ Direct medical cost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(ต้นทุนทางตรงทางการแพทย์ Direct medical cost): Direct medical cost คือต้นทุนทางการแพทย์โดยตรง เช่น ค่ายา ค่าตรวจเอกซเรย์ 1,320 บาท แต่โจทย์ถามถึงค่าเสียโอกาสทำงาน
• ข้อ ข. (ต้นทุนทางตรงที่ไม่เกี่ยวข้องทางการแพทย์ Direct non-medical cost): Direct non-medical cost คือต้นทุนทางตรงที่ไม่ใช่ทางการแพทย์ เช่น ค่าเดินทาง ค่าน้ำมัน ค่าอาหาร ซึ่งไม่ใช่ค่าเสียโอกาส
• ข้อ ค. (ต้นทุนทางอ้อม Indirect medical cost): Indirect medical cost ไม่มีคำศัพท์นี้ในทางเศรษฐศาสตร์สาธารณสุข ค่าที่เกิดจากการหยุดงานคือ Indirect cost
• ข้อ จ. (ต้นทุนการไปทำงาน working cost): Working cost ไม่ใช่คำศัพท์ทางเศรษฐศาสตร์สาธารณสุขมาตรฐานที่ใช้เรียกต้นทุนค่าเสียโอกาส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 t="inlineStr">
        <is>
          <t>Hypertension</t>
        </is>
      </c>
      <c r="M8" t="inlineStr">
        <is>
          <t>Clinic</t>
        </is>
      </c>
      <c r="N8" t="inlineStr">
        <is>
          <t>ข้อ 110 (Pharmtutor_2024_Set2.md)</t>
        </is>
      </c>
    </row>
    <row r="9" ht="13.2" customHeight="1" s="49">
      <c r="A9" t="n">
        <v>36</v>
      </c>
      <c r="B9"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D9" t="inlineStr">
        <is>
          <t>ทุกด้านของผู้ป่วย คือ กายภาพ จิตอารมณ์ และสังคม</t>
        </is>
      </c>
      <c r="E9" t="inlineStr">
        <is>
          <t>ทุกรูปแบบการดูแล คือ ส่งเสริมสุขภาพ ป้องกัน รักษา และฟื้นฟูสุขภาพ</t>
        </is>
      </c>
      <c r="F9" t="inlineStr">
        <is>
          <t>ทุกวิธีการที่ใช้ คือ ความรู้ (cognitive) ปฏิบัติ (psychomotor) และเจตคติ (attitude)</t>
        </is>
      </c>
      <c r="G9"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9" t="inlineStr">
        <is>
          <t>Atorvastatin 20 mg OD</t>
        </is>
      </c>
      <c r="I9" t="inlineStr">
        <is>
          <t>1</t>
        </is>
      </c>
      <c r="J9"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 t="inlineStr">
        <is>
          <t>Hypertension</t>
        </is>
      </c>
      <c r="M9" t="inlineStr">
        <is>
          <t>Clinic</t>
        </is>
      </c>
      <c r="N9" t="inlineStr">
        <is>
          <t>ข้อ 3 (PLE_CC1_2533.md)</t>
        </is>
      </c>
    </row>
  </sheetData>
  <mergeCells count="1">
    <mergeCell ref="A1:F1"/>
  </mergeCells>
  <pageMargins left="0.75" right="0.75" top="1" bottom="1" header="0.5" footer="0.5"/>
</worksheet>
</file>

<file path=xl/worksheets/sheet36.xml><?xml version="1.0" encoding="utf-8"?>
<worksheet xmlns="http://schemas.openxmlformats.org/spreadsheetml/2006/main">
  <sheetPr>
    <tabColor rgb="FF8C3FBF"/>
    <outlinePr summaryBelow="0" summaryRight="0"/>
    <pageSetUpPr/>
  </sheetPr>
  <dimension ref="A1:Q78"/>
  <sheetViews>
    <sheetView workbookViewId="0">
      <selection activeCell="A1" sqref="A1"/>
    </sheetView>
  </sheetViews>
  <sheetFormatPr baseColWidth="8" defaultColWidth="12.6640625" defaultRowHeight="15.75" customHeight="1"/>
  <sheetData>
    <row r="1" ht="34.95" customHeight="1" s="49">
      <c r="A1" s="51">
        <f>HYPERLINK("#gid=0", "🏠 กลับสู่หน้าแรก (Go to Home Page)")</f>
        <v/>
      </c>
    </row>
    <row r="2" ht="21.6" customHeight="1" s="49">
      <c r="A2" s="25" t="inlineStr">
        <is>
          <t>ข้อที่</t>
        </is>
      </c>
      <c r="B2" s="25" t="inlineStr">
        <is>
          <t>คำถาม</t>
        </is>
      </c>
      <c r="C2" s="25" t="inlineStr">
        <is>
          <t>รูปถาม</t>
        </is>
      </c>
      <c r="D2" s="25" t="inlineStr">
        <is>
          <t>ตัวเลือก 1</t>
        </is>
      </c>
      <c r="E2" s="25" t="inlineStr">
        <is>
          <t>ตัวเลือก 2</t>
        </is>
      </c>
      <c r="F2" s="25" t="inlineStr">
        <is>
          <t>ตัวเลือก 3</t>
        </is>
      </c>
      <c r="G2" s="25" t="inlineStr">
        <is>
          <t>ตัวเลือก 4</t>
        </is>
      </c>
      <c r="H2" s="25" t="inlineStr">
        <is>
          <t>ตัวเลือก 5</t>
        </is>
      </c>
      <c r="I2" s="25" t="inlineStr">
        <is>
          <t>เฉลย (ตัวเลข 1-5)</t>
        </is>
      </c>
      <c r="J2" s="25" t="inlineStr">
        <is>
          <t>คำอธิบายเฉลย</t>
        </is>
      </c>
      <c r="K2" s="25" t="inlineStr">
        <is>
          <t>รูปเฉลย</t>
        </is>
      </c>
      <c r="L2" s="25" t="inlineStr">
        <is>
          <t>Filter หมวด/Subtopic</t>
        </is>
      </c>
      <c r="M2" s="25" t="inlineStr">
        <is>
          <t>Product / Clinic</t>
        </is>
      </c>
      <c r="N2" s="25" t="inlineStr">
        <is>
          <t>หมายเหตุ</t>
        </is>
      </c>
      <c r="O2" s="25" t="inlineStr">
        <is>
          <t>ประเภทข้อสอบ</t>
        </is>
      </c>
      <c r="P2" s="25" t="inlineStr">
        <is>
          <t>ปี / เลขชุด</t>
        </is>
      </c>
    </row>
    <row r="3" ht="13.2" customHeight="1" s="49">
      <c r="A3" s="8" t="inlineStr">
        <is>
          <t>30</t>
        </is>
      </c>
      <c r="B3" s="2"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2" t="n"/>
      <c r="D3" s="2" t="inlineStr">
        <is>
          <t>Cohort study, Case controlled study</t>
        </is>
      </c>
      <c r="E3" s="2" t="inlineStr">
        <is>
          <t>Case report, Cross-sectional study</t>
        </is>
      </c>
      <c r="F3" s="2" t="inlineStr">
        <is>
          <t>Case controlled study, Cross-sectional study</t>
        </is>
      </c>
      <c r="G3" s="2" t="inlineStr">
        <is>
          <t>Meta-analysis, Randomized controlled study</t>
        </is>
      </c>
      <c r="H3" s="2" t="inlineStr">
        <is>
          <t>Cross-sectional study, Randomized controlled study</t>
        </is>
      </c>
      <c r="I3" s="8" t="inlineStr">
        <is>
          <t>4</t>
        </is>
      </c>
      <c r="J3" s="2"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รูปแบบการวิจัยทางคลินิก</t>
        </is>
      </c>
      <c r="M3" s="2" t="inlineStr">
        <is>
          <t>SAP</t>
        </is>
      </c>
      <c r="N3" s="2" t="inlineStr">
        <is>
          <t>ข้อ 30 Pharma Plus เล่มม่วง (เฉลยข้อ ง)</t>
        </is>
      </c>
      <c r="O3" s="2" t="inlineStr">
        <is>
          <t>Mock</t>
        </is>
      </c>
      <c r="P3" s="2" t="inlineStr">
        <is>
          <t>Pharma Plus เล่มม่วง</t>
        </is>
      </c>
    </row>
    <row r="4" ht="13.2" customHeight="1" s="49">
      <c r="A4" s="8" t="inlineStr">
        <is>
          <t>52</t>
        </is>
      </c>
      <c r="B4" s="2" t="inlineStr">
        <is>
          <t>ทำการศึกษา ergotamine ในรูปแบบต่างกัน 2 รูปแบบโดยเปรียบเทียบระดับสูงสุดจะใช้สถิติใดทดสอบ</t>
        </is>
      </c>
      <c r="C4" s="2" t="n"/>
      <c r="D4" s="2" t="inlineStr">
        <is>
          <t>T-test unpair</t>
        </is>
      </c>
      <c r="E4" s="2" t="inlineStr">
        <is>
          <t>T-test pair</t>
        </is>
      </c>
      <c r="F4" s="2" t="inlineStr">
        <is>
          <t>F-test</t>
        </is>
      </c>
      <c r="G4" s="2" t="inlineStr">
        <is>
          <t>Mann-Whitney u test</t>
        </is>
      </c>
      <c r="H4" s="2" t="inlineStr">
        <is>
          <t>ไม่มีข้อใดถูก</t>
        </is>
      </c>
      <c r="I4" s="8" t="inlineStr">
        <is>
          <t>1</t>
        </is>
      </c>
      <c r="J4" s="2"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รูปแบบการวิจัยทางคลินิก</t>
        </is>
      </c>
      <c r="M4" s="2" t="inlineStr">
        <is>
          <t>SAP</t>
        </is>
      </c>
      <c r="N4" s="2" t="inlineStr">
        <is>
          <t>ข้อ 52 Pharma Plus เล่มม่วง (เฉลยข้อ ก)</t>
        </is>
      </c>
      <c r="O4" s="2" t="inlineStr">
        <is>
          <t>Mock</t>
        </is>
      </c>
      <c r="P4" s="2" t="inlineStr">
        <is>
          <t>Pharma Plus เล่มม่วง</t>
        </is>
      </c>
    </row>
    <row r="5" ht="13.2" customHeight="1" s="49">
      <c r="A5" s="8" t="inlineStr">
        <is>
          <t>55</t>
        </is>
      </c>
      <c r="B5" s="2"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2" t="n"/>
      <c r="D5" s="2" t="inlineStr">
        <is>
          <t>Case control study</t>
        </is>
      </c>
      <c r="E5" s="2" t="inlineStr">
        <is>
          <t>Randomized control study</t>
        </is>
      </c>
      <c r="F5" s="2" t="inlineStr">
        <is>
          <t>Cohort study</t>
        </is>
      </c>
      <c r="G5" s="2" t="inlineStr">
        <is>
          <t>Analysis of secular trend</t>
        </is>
      </c>
      <c r="H5" s="2" t="inlineStr">
        <is>
          <t>Cross-sectional study</t>
        </is>
      </c>
      <c r="I5" s="8" t="inlineStr">
        <is>
          <t>1</t>
        </is>
      </c>
      <c r="J5" s="2"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รูปแบบการวิจัยทางคลินิก</t>
        </is>
      </c>
      <c r="M5" s="2" t="inlineStr">
        <is>
          <t>SAP</t>
        </is>
      </c>
      <c r="N5" s="2" t="inlineStr">
        <is>
          <t>ข้อ 55 Pharma Plus เล่มม่วง (เฉลยข้อ ก)</t>
        </is>
      </c>
      <c r="O5" s="2" t="inlineStr">
        <is>
          <t>Mock</t>
        </is>
      </c>
      <c r="P5" s="2" t="inlineStr">
        <is>
          <t>Pharma Plus เล่มม่วง</t>
        </is>
      </c>
    </row>
    <row r="6" ht="13.2" customHeight="1" s="49">
      <c r="A6" s="8" t="inlineStr">
        <is>
          <t>56</t>
        </is>
      </c>
      <c r="B6" s="2"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2" t="n"/>
      <c r="D6" s="2" t="inlineStr">
        <is>
          <t>90 บาทต่อเม็ด</t>
        </is>
      </c>
      <c r="E6" s="2" t="inlineStr">
        <is>
          <t>98 บาทต่อเม็ด</t>
        </is>
      </c>
      <c r="F6" s="2" t="inlineStr">
        <is>
          <t>100 บาทต่อเม็ด</t>
        </is>
      </c>
      <c r="G6" s="2" t="inlineStr">
        <is>
          <t>103 บาทต่อเม็ด</t>
        </is>
      </c>
      <c r="H6" s="2" t="inlineStr">
        <is>
          <t>110 บาทต่อเม็ด</t>
        </is>
      </c>
      <c r="I6" s="8" t="inlineStr">
        <is>
          <t>4</t>
        </is>
      </c>
      <c r="J6" s="2"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รูปแบบการวิจัยทางคลินิก</t>
        </is>
      </c>
      <c r="M6" s="2" t="inlineStr">
        <is>
          <t>SAP</t>
        </is>
      </c>
      <c r="N6" s="2" t="inlineStr">
        <is>
          <t>ข้อ 56 Pharma Plus เล่มม่วง (เฉลยข้อ ง)</t>
        </is>
      </c>
      <c r="O6" s="2" t="inlineStr">
        <is>
          <t>Mock</t>
        </is>
      </c>
      <c r="P6" s="2" t="inlineStr">
        <is>
          <t>Pharma Plus เล่มม่วง</t>
        </is>
      </c>
    </row>
    <row r="7" ht="13.2" customHeight="1" s="49">
      <c r="A7" s="8" t="inlineStr">
        <is>
          <t>59</t>
        </is>
      </c>
      <c r="B7" s="2"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2" t="n"/>
      <c r="D7" s="2" t="inlineStr">
        <is>
          <t>Case control</t>
        </is>
      </c>
      <c r="E7" s="2" t="inlineStr">
        <is>
          <t>Cohort</t>
        </is>
      </c>
      <c r="F7" s="2" t="inlineStr">
        <is>
          <t>Meta-analysis of case control studies</t>
        </is>
      </c>
      <c r="G7" s="2" t="inlineStr">
        <is>
          <t>Descriptive</t>
        </is>
      </c>
      <c r="H7" s="2" t="inlineStr">
        <is>
          <t>Randomized control trial</t>
        </is>
      </c>
      <c r="I7" s="8" t="inlineStr">
        <is>
          <t>5</t>
        </is>
      </c>
      <c r="J7" s="2"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รูปแบบการวิจัยทางคลินิก</t>
        </is>
      </c>
      <c r="M7" s="2" t="inlineStr">
        <is>
          <t>SAP</t>
        </is>
      </c>
      <c r="N7" s="2" t="inlineStr">
        <is>
          <t>ข้อ 59 Pharma Plus เล่มม่วง (เฉลยข้อ จ)</t>
        </is>
      </c>
      <c r="O7" s="2" t="inlineStr">
        <is>
          <t>Mock</t>
        </is>
      </c>
      <c r="P7" s="2" t="inlineStr">
        <is>
          <t>Pharma Plus เล่มม่วง</t>
        </is>
      </c>
    </row>
    <row r="8" ht="13.2" customHeight="1" s="49">
      <c r="A8" s="8" t="inlineStr">
        <is>
          <t>102</t>
        </is>
      </c>
      <c r="B8" s="2" t="inlineStr">
        <is>
          <t>การทดสอบอาการข้างเคียงของยา colchicine ในกลุ่มคน 3 กลุ่มที่ได้รับยาในขนาดต่างกัน ใช้สถิติในข้อใด</t>
        </is>
      </c>
      <c r="C8" s="2" t="n"/>
      <c r="D8" s="2" t="inlineStr">
        <is>
          <t>Unpaired t-test</t>
        </is>
      </c>
      <c r="E8" s="2" t="inlineStr">
        <is>
          <t>T-test</t>
        </is>
      </c>
      <c r="F8" s="2" t="inlineStr">
        <is>
          <t>Chi-square</t>
        </is>
      </c>
      <c r="G8" s="2" t="inlineStr">
        <is>
          <t>One way analysis of variance</t>
        </is>
      </c>
      <c r="H8" s="2" t="inlineStr">
        <is>
          <t>Correlation</t>
        </is>
      </c>
      <c r="I8" s="8" t="inlineStr">
        <is>
          <t>4</t>
        </is>
      </c>
      <c r="J8" s="2"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รูปแบบการวิจัยทางคลินิก</t>
        </is>
      </c>
      <c r="M8" s="2" t="inlineStr">
        <is>
          <t>SAP</t>
        </is>
      </c>
      <c r="N8" s="2" t="inlineStr">
        <is>
          <t>ข้อ 102 Pharma Plus เล่มม่วง (เฉลยข้อ ง)</t>
        </is>
      </c>
      <c r="O8" s="2" t="inlineStr">
        <is>
          <t>Mock</t>
        </is>
      </c>
      <c r="P8" s="2" t="inlineStr">
        <is>
          <t>Pharma Plus เล่มม่วง</t>
        </is>
      </c>
    </row>
    <row r="9" ht="13.2" customHeight="1" s="49">
      <c r="A9" s="8" t="inlineStr">
        <is>
          <t>103</t>
        </is>
      </c>
      <c r="B9" s="2" t="inlineStr">
        <is>
          <t>การทาน aspirin สามารถลดการเกิด CAD โดยมีค่า OR 0.83 หมายความว่าอย่างไร</t>
        </is>
      </c>
      <c r="C9" s="2" t="n"/>
      <c r="D9" s="2" t="inlineStr">
        <is>
          <t>คนที่กิน aspirin มีโอกาสเป็น CAD น้อยกว่าคนที่ไม่กิน 17 %</t>
        </is>
      </c>
      <c r="E9" s="2" t="inlineStr">
        <is>
          <t>คนที่กิน aspirin มีโอกาสเป็น CAD น้อยกว่าคนที่ไม่กิน 83 %</t>
        </is>
      </c>
      <c r="F9" s="2" t="inlineStr">
        <is>
          <t>คนที่กิน aspirin มีโอกาสเป็น CAD มากกว่าคนที่ไม่กิน 17 %</t>
        </is>
      </c>
      <c r="G9" s="2" t="inlineStr">
        <is>
          <t>คนที่กิน aspirin มีโอกาสเป็น CAD มากกว่าคนที่ไม่กิน 83 %</t>
        </is>
      </c>
      <c r="H9" s="2" t="inlineStr">
        <is>
          <t>คนที่กิน aspirin มีโอกาสเป็น CAD เท่ากับคนที่ไม่กิน 17 %</t>
        </is>
      </c>
      <c r="I9" s="8" t="inlineStr">
        <is>
          <t>1</t>
        </is>
      </c>
      <c r="J9" s="2"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รูปแบบการวิจัยทางคลินิก</t>
        </is>
      </c>
      <c r="M9" s="2" t="inlineStr">
        <is>
          <t>SAP</t>
        </is>
      </c>
      <c r="N9" s="2" t="inlineStr">
        <is>
          <t>ข้อ 103 Pharma Plus เล่มม่วง (เฉลยข้อ ก)</t>
        </is>
      </c>
      <c r="O9" s="2" t="inlineStr">
        <is>
          <t>Mock</t>
        </is>
      </c>
      <c r="P9" s="2" t="inlineStr">
        <is>
          <t>Pharma Plus เล่มม่วง</t>
        </is>
      </c>
    </row>
    <row r="10" ht="13.2" customHeight="1" s="49">
      <c r="A10" s="8" t="inlineStr">
        <is>
          <t>105</t>
        </is>
      </c>
      <c r="B10" s="2"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2" t="n"/>
      <c r="D10" s="8" t="inlineStr">
        <is>
          <t>1.4</t>
        </is>
      </c>
      <c r="E10" s="8" t="inlineStr">
        <is>
          <t>1.5</t>
        </is>
      </c>
      <c r="F10" s="8" t="inlineStr">
        <is>
          <t>1.6</t>
        </is>
      </c>
      <c r="G10" s="2" t="inlineStr">
        <is>
          <t>Cost-Minimization Analysis (CMA)</t>
        </is>
      </c>
      <c r="H10" s="2" t="inlineStr">
        <is>
          <t>Student t-test for comparing two independent means</t>
        </is>
      </c>
      <c r="I10" s="8" t="inlineStr">
        <is>
          <t>2</t>
        </is>
      </c>
      <c r="J10" s="2"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สถิติวิเคราะห์</t>
        </is>
      </c>
      <c r="M10" s="2" t="inlineStr">
        <is>
          <t>SAP</t>
        </is>
      </c>
      <c r="N10" s="2" t="inlineStr">
        <is>
          <t>ข้อ 105 Pharma Plus เล่มม่วง (เฉลยข้อ ข)</t>
        </is>
      </c>
      <c r="O10" s="2" t="inlineStr">
        <is>
          <t>Mock</t>
        </is>
      </c>
      <c r="P10" s="2" t="inlineStr">
        <is>
          <t>Pharma Plus เล่มม่วง</t>
        </is>
      </c>
    </row>
    <row r="11" ht="13.2" customHeight="1" s="49">
      <c r="A11" s="8" t="inlineStr">
        <is>
          <t>106</t>
        </is>
      </c>
      <c r="B11" s="2"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2" t="n"/>
      <c r="D11" s="2" t="inlineStr">
        <is>
          <t>ยาใหม่และยา levonorgestrel มีความเสี่ยงในการเกิดอาการข้างเคียงแตกต่างกันอย่างมีนัยสำคัญทางสถิติ</t>
        </is>
      </c>
      <c r="E11" s="2" t="inlineStr">
        <is>
          <t>ยาใหม่และยา levonorgestrel มีความเสี่ยงในการเกิดอาการข้างเคียงแตกต่างกันอย่างมีนัยสำคัญทางสถิติ</t>
        </is>
      </c>
      <c r="F11" s="2" t="inlineStr">
        <is>
          <t>ยาใหม่มีความเสี่ยงในการเกิดอาการข้างเคียงมากกว่ามากกว่ายา levonorgestrel 1.25 เท่า</t>
        </is>
      </c>
      <c r="G11" s="2" t="inlineStr">
        <is>
          <t>ยา levonorgestrel มีความเสี่ยงในการเกิดอาการข้างเคียงมากกว่ายาใหม่ 1.25 เท่า</t>
        </is>
      </c>
      <c r="H11" s="2" t="inlineStr">
        <is>
          <t>ยาใหม่และยา levonorgestrel มีความเสี่ยงในการเกิดอาการข้างเคียงแตกต่างกันอย่างไม่มีนัยสำคัญทางสถิติ</t>
        </is>
      </c>
      <c r="I11" s="8" t="inlineStr">
        <is>
          <t>1</t>
        </is>
      </c>
      <c r="J11" s="2"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รูปแบบการวิจัยทางคลินิก</t>
        </is>
      </c>
      <c r="M11" s="2" t="inlineStr">
        <is>
          <t>SAP</t>
        </is>
      </c>
      <c r="N11" s="2" t="inlineStr">
        <is>
          <t>ข้อ 106 Pharma Plus เล่มม่วง (เฉลยข้อ ก)</t>
        </is>
      </c>
      <c r="O11" s="2" t="inlineStr">
        <is>
          <t>Mock</t>
        </is>
      </c>
      <c r="P11" s="2" t="inlineStr">
        <is>
          <t>Pharma Plus เล่มม่วง</t>
        </is>
      </c>
    </row>
    <row r="12" ht="13.2" customHeight="1" s="49">
      <c r="A12" s="8" t="inlineStr">
        <is>
          <t>128</t>
        </is>
      </c>
      <c r="B12" s="2"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2" t="n"/>
      <c r="D12" s="2" t="inlineStr">
        <is>
          <t>Randomized Controlled Trial (Double-blind RCT)</t>
        </is>
      </c>
      <c r="E12" s="2" t="inlineStr">
        <is>
          <t>Prospective Cohort Study (Relative Risk: RR)</t>
        </is>
      </c>
      <c r="F12" s="2" t="inlineStr">
        <is>
          <t>Case-Control Study (Odds Ratio: OR)</t>
        </is>
      </c>
      <c r="G12" s="2" t="inlineStr">
        <is>
          <t>Cross-Sectional Survey Prevalence Study</t>
        </is>
      </c>
      <c r="H12" s="8" t="inlineStr">
        <is>
          <t>10</t>
        </is>
      </c>
      <c r="I12" s="8" t="inlineStr">
        <is>
          <t>1</t>
        </is>
      </c>
      <c r="J12" s="2"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สถิติวิเคราะห์</t>
        </is>
      </c>
      <c r="M12" s="2" t="inlineStr">
        <is>
          <t>SAP</t>
        </is>
      </c>
      <c r="N12" s="2" t="inlineStr">
        <is>
          <t>ข้อ 128 Pharma Plus เล่มม่วง (เฉลยข้อ ก)</t>
        </is>
      </c>
      <c r="O12" s="2" t="inlineStr">
        <is>
          <t>Mock</t>
        </is>
      </c>
      <c r="P12" s="2" t="inlineStr">
        <is>
          <t>Pharma Plus เล่มม่วง</t>
        </is>
      </c>
    </row>
    <row r="13" ht="13.2" customHeight="1" s="49">
      <c r="A13" s="8" t="inlineStr">
        <is>
          <t>129</t>
        </is>
      </c>
      <c r="B13" s="2"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2" t="n"/>
      <c r="D13" s="2" t="inlineStr">
        <is>
          <t>การเกิด CA lung ในกลุ่มสูบบุหรี่ = 1 คนใน 1,000 คน</t>
        </is>
      </c>
      <c r="E13" s="2" t="inlineStr">
        <is>
          <t>การเกิด CA lung ในกลุ่มไม่สูบบุหรี่ = 1 คนใน 10,000 คน</t>
        </is>
      </c>
      <c r="F13" s="2" t="inlineStr">
        <is>
          <t>odd ratio = 11</t>
        </is>
      </c>
      <c r="G13" s="2" t="inlineStr">
        <is>
          <t>ผู้ป่วยที่สูบบุหรี่เป็นเวลา 30 ปี มีโอกาสเกิด CA lung 1 คน ใน 111 คน</t>
        </is>
      </c>
      <c r="H13" s="2" t="inlineStr">
        <is>
          <t>ไม่มีข้อใดถูก</t>
        </is>
      </c>
      <c r="I13" s="8" t="inlineStr">
        <is>
          <t>4</t>
        </is>
      </c>
      <c r="J13" s="2"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รูปแบบการวิจัยทางคลินิก</t>
        </is>
      </c>
      <c r="M13" s="2" t="inlineStr">
        <is>
          <t>SAP</t>
        </is>
      </c>
      <c r="N13" s="2" t="inlineStr">
        <is>
          <t>ข้อ 129 Pharma Plus เล่มม่วง (เฉลยข้อ ง)</t>
        </is>
      </c>
      <c r="O13" s="2" t="inlineStr">
        <is>
          <t>Mock</t>
        </is>
      </c>
      <c r="P13" s="2" t="inlineStr">
        <is>
          <t>Pharma Plus เล่มม่วง</t>
        </is>
      </c>
    </row>
    <row r="14" ht="13.2" customHeight="1" s="49">
      <c r="A14" s="8" t="inlineStr">
        <is>
          <t>13</t>
        </is>
      </c>
      <c r="B14" s="2"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2" t="n"/>
      <c r="D14" s="2" t="inlineStr">
        <is>
          <t>Cross sectional study</t>
        </is>
      </c>
      <c r="E14" s="2" t="inlineStr">
        <is>
          <t>Cohort study</t>
        </is>
      </c>
      <c r="F14" s="2" t="inlineStr">
        <is>
          <t>Randomized control study</t>
        </is>
      </c>
      <c r="G14" s="2" t="inlineStr">
        <is>
          <t>Systematic review and meta analysis study</t>
        </is>
      </c>
      <c r="H14" s="2" t="inlineStr">
        <is>
          <t>Systematic review and meta analysis study</t>
        </is>
      </c>
      <c r="I14" s="8" t="inlineStr">
        <is>
          <t>1</t>
        </is>
      </c>
      <c r="J14" s="2" t="inlineStr">
        <is>
          <t>✅ คำตอบที่ถูกต้อง: ข้อ ก. Cross sectional study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[NEED_REVIEW]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2" t="n"/>
      <c r="L14" s="2" t="inlineStr">
        <is>
          <t>รูปแบบการวิจัยทางคลินิก</t>
        </is>
      </c>
      <c r="M14" s="2" t="inlineStr">
        <is>
          <t>Research &amp; Biostats</t>
        </is>
      </c>
      <c r="N14" s="2" t="inlineStr">
        <is>
          <t>Mock PLE-CC 1 ข้อ 38</t>
        </is>
      </c>
      <c r="O14" s="2" t="inlineStr">
        <is>
          <t>Mock</t>
        </is>
      </c>
      <c r="P14" s="2" t="inlineStr">
        <is>
          <t>Mock RxCU83</t>
        </is>
      </c>
      <c r="Q14" s="2" t="n"/>
    </row>
    <row r="15" ht="13.2" customHeight="1" s="49">
      <c r="A15" s="8" t="inlineStr">
        <is>
          <t>14</t>
        </is>
      </c>
      <c r="B15" s="2"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2" t="n"/>
      <c r="D15" s="2" t="inlineStr">
        <is>
          <t>B ลด death risk ได้ 35% เมื่อเทียบกับ A</t>
        </is>
      </c>
      <c r="E15" s="2" t="inlineStr">
        <is>
          <t>HR ใกล้เคียง1หมายความว่าไม่มีความแตกต่างในข้อมูล</t>
        </is>
      </c>
      <c r="F15" s="2" t="inlineStr">
        <is>
          <t>Median OS ของ A แปลว่า คนไข้ที่ใช้ A มีมัธยฐานของ survival rate อยู่ที่ 28 เดือน</t>
        </is>
      </c>
      <c r="G15" s="2" t="inlineStr">
        <is>
          <t>A ลด death risk ได้ 65%</t>
        </is>
      </c>
      <c r="H15" s="2" t="inlineStr">
        <is>
          <t>Median OS ของ B มากกว่า 18 เดือนแต่ไม่มีนัยส าคัญทางสถิติ</t>
        </is>
      </c>
      <c r="I15" s="8" t="inlineStr">
        <is>
          <t>1</t>
        </is>
      </c>
      <c r="J15" s="2" t="inlineStr">
        <is>
          <t>✅ คำตอบที่ถูกต้อง: ข้อ ก. B ลด death risk ได้ 35% เมื่อเทียบกับ A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2" t="n"/>
      <c r="L15" s="2" t="inlineStr">
        <is>
          <t>รูปแบบการวิจัยทางคลินิก</t>
        </is>
      </c>
      <c r="M15" s="2" t="inlineStr">
        <is>
          <t>Research &amp; Biostats</t>
        </is>
      </c>
      <c r="N15" s="2" t="inlineStr">
        <is>
          <t>Mock PLE-CC 1 ข้อ 83</t>
        </is>
      </c>
      <c r="O15" s="2" t="inlineStr">
        <is>
          <t>Mock</t>
        </is>
      </c>
      <c r="P15" s="2" t="inlineStr">
        <is>
          <t>Mock RxCU83</t>
        </is>
      </c>
      <c r="Q15" s="2" t="n"/>
    </row>
    <row r="16" ht="13.2" customHeight="1" s="49">
      <c r="A16" s="8" t="inlineStr">
        <is>
          <t>15</t>
        </is>
      </c>
      <c r="B16" s="2"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2" t="n"/>
      <c r="D16" s="8" t="inlineStr">
        <is>
          <t>3.59</t>
        </is>
      </c>
      <c r="E16" s="8" t="inlineStr">
        <is>
          <t>3.33</t>
        </is>
      </c>
      <c r="F16" s="8" t="inlineStr">
        <is>
          <t>0.28</t>
        </is>
      </c>
      <c r="G16" s="8" t="inlineStr">
        <is>
          <t>2.69</t>
        </is>
      </c>
      <c r="H16" s="2"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I16" s="8" t="inlineStr">
        <is>
          <t>1</t>
        </is>
      </c>
      <c r="J16" s="2"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2" t="n"/>
      <c r="L16" s="2" t="inlineStr">
        <is>
          <t>สถิติวิเคราะห์</t>
        </is>
      </c>
      <c r="M16" s="2" t="inlineStr">
        <is>
          <t>Research &amp; Biostats</t>
        </is>
      </c>
      <c r="N16" s="2" t="inlineStr">
        <is>
          <t>PLE_CC1_2567_Key ข้อ 38</t>
        </is>
      </c>
      <c r="O16" s="2" t="inlineStr">
        <is>
          <t>ข้อสอบจริง</t>
        </is>
      </c>
      <c r="P16" s="2" t="inlineStr">
        <is>
          <t>ปี 2567</t>
        </is>
      </c>
      <c r="Q16" s="2" t="n"/>
    </row>
    <row r="17" ht="13.2" customHeight="1" s="49">
      <c r="A17" s="8" t="inlineStr">
        <is>
          <t>16</t>
        </is>
      </c>
      <c r="B17" s="2"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2" t="n"/>
      <c r="D17" s="2" t="inlineStr">
        <is>
          <t>Allopurinol</t>
        </is>
      </c>
      <c r="E17" s="2" t="inlineStr">
        <is>
          <t>[NEED_REVIEW]</t>
        </is>
      </c>
      <c r="F17" s="2" t="inlineStr">
        <is>
          <t>[NEED_REVIEW]</t>
        </is>
      </c>
      <c r="G17" s="2" t="inlineStr">
        <is>
          <t>[NEED_REVIEW]</t>
        </is>
      </c>
      <c r="H17" s="2" t="inlineStr">
        <is>
          <t>[NEED_REVIEW]</t>
        </is>
      </c>
      <c r="I17" s="8" t="inlineStr">
        <is>
          <t>1</t>
        </is>
      </c>
      <c r="J17" s="2" t="inlineStr">
        <is>
          <t>✅ คำตอบที่ถูกต้อง: ข้อ ก. Allopurinol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([NEED_REVIEW]
• ข้อ ง. ([NEED_REVIEW]
• ข้อ จ. ([NEED_REVIEW]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2" t="n"/>
      <c r="L17" s="2" t="inlineStr">
        <is>
          <t>รูปแบบการวิจัยทางคลินิก</t>
        </is>
      </c>
      <c r="M17" s="2" t="inlineStr">
        <is>
          <t>Research &amp; Biostats</t>
        </is>
      </c>
      <c r="N17" s="2" t="inlineStr">
        <is>
          <t>PLE_CC1_2567_Key ข้อ 72</t>
        </is>
      </c>
      <c r="O17" s="2" t="inlineStr">
        <is>
          <t>ข้อสอบจริง</t>
        </is>
      </c>
      <c r="P17" s="2" t="inlineStr">
        <is>
          <t>ปี 2567</t>
        </is>
      </c>
      <c r="Q17" s="2" t="n"/>
    </row>
    <row r="18" ht="13.2" customHeight="1" s="49">
      <c r="A18" s="8" t="inlineStr">
        <is>
          <t>17</t>
        </is>
      </c>
      <c r="B18" s="2"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2" t="n"/>
      <c r="D18" s="2" t="inlineStr">
        <is>
          <t>Research &amp; Biostats</t>
        </is>
      </c>
      <c r="E18" s="2" t="inlineStr">
        <is>
          <t>Chi-Square Test for Categorical Independence (p &lt; 0.05)</t>
        </is>
      </c>
      <c r="F18" s="2" t="inlineStr">
        <is>
          <t>Randomized Controlled Trial (Double-blind RCT)</t>
        </is>
      </c>
      <c r="G18" s="2" t="inlineStr">
        <is>
          <t>Prospective Cohort Study (Relative Risk: RR)</t>
        </is>
      </c>
      <c r="H18" s="2" t="inlineStr">
        <is>
          <t>Case-Control Study (Odds Ratio: OR)</t>
        </is>
      </c>
      <c r="I18" s="8" t="inlineStr">
        <is>
          <t>1</t>
        </is>
      </c>
      <c r="J18"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2" t="n"/>
      <c r="L18" s="2" t="inlineStr">
        <is>
          <t>รูปแบบการวิจัยทางคลินิก</t>
        </is>
      </c>
      <c r="M18" s="2" t="inlineStr">
        <is>
          <t>Research &amp; Biostats</t>
        </is>
      </c>
      <c r="N18" s="2" t="inlineStr">
        <is>
          <t>PLE_CC1_2567_Set1_Key ข้อ 38</t>
        </is>
      </c>
      <c r="O18" s="2" t="inlineStr">
        <is>
          <t>ข้อสอบจริง</t>
        </is>
      </c>
      <c r="P18" s="2" t="inlineStr">
        <is>
          <t>ปี 2567</t>
        </is>
      </c>
    </row>
    <row r="19" ht="13.2" customHeight="1" s="49">
      <c r="A19" s="8" t="inlineStr">
        <is>
          <t>18</t>
        </is>
      </c>
      <c r="B19" s="2"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2" t="n"/>
      <c r="D19" s="2" t="inlineStr">
        <is>
          <t>Research &amp; Biostats</t>
        </is>
      </c>
      <c r="E19" s="2" t="inlineStr">
        <is>
          <t>Case-Control Study (Odds Ratio: OR)</t>
        </is>
      </c>
      <c r="F19" s="2" t="inlineStr">
        <is>
          <t>Cross-Sectional Survey Prevalence Study</t>
        </is>
      </c>
      <c r="G19" s="2" t="inlineStr">
        <is>
          <t>Cost-Effectiveness Analysis (Incremental Cost-Effectiveness Ratio: ICER)</t>
        </is>
      </c>
      <c r="H19" s="2" t="inlineStr">
        <is>
          <t>Cost-Utility Analysis (Quality-Adjusted Life Years: QALY)</t>
        </is>
      </c>
      <c r="I19" s="8" t="inlineStr">
        <is>
          <t>1</t>
        </is>
      </c>
      <c r="J19"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2" t="n"/>
      <c r="L19" s="2" t="inlineStr">
        <is>
          <t>รูปแบบการวิจัยทางคลินิก</t>
        </is>
      </c>
      <c r="M19" s="2" t="inlineStr">
        <is>
          <t>Research &amp; Biostats</t>
        </is>
      </c>
      <c r="N19" s="2" t="inlineStr">
        <is>
          <t>PLE_CC1_2567_Set1_Key ข้อ 71</t>
        </is>
      </c>
      <c r="O19" s="2" t="inlineStr">
        <is>
          <t>ข้อสอบจริง</t>
        </is>
      </c>
      <c r="P19" s="2" t="inlineStr">
        <is>
          <t>ปี 2567</t>
        </is>
      </c>
    </row>
    <row r="20" ht="13.2" customHeight="1" s="49">
      <c r="A20" s="8" t="inlineStr">
        <is>
          <t>19</t>
        </is>
      </c>
      <c r="B20" s="2" t="inlineStr">
        <is>
          <t>Retrospective cohort</t>
        </is>
      </c>
      <c r="C20" s="2" t="n"/>
      <c r="D20" s="2" t="inlineStr">
        <is>
          <t>Research &amp; Biostats</t>
        </is>
      </c>
      <c r="E20" s="2" t="inlineStr">
        <is>
          <t>Cost-Utility Analysis (Quality-Adjusted Life Years: QALY)</t>
        </is>
      </c>
      <c r="F20" s="2" t="inlineStr">
        <is>
          <t>Cost-Benefit Analysis (Net Monetary Benefit)</t>
        </is>
      </c>
      <c r="G20" s="2" t="inlineStr">
        <is>
          <t>Cost-Minimization Analysis (CMA)</t>
        </is>
      </c>
      <c r="H20" s="2" t="inlineStr">
        <is>
          <t>Student t-test for comparing two independent means</t>
        </is>
      </c>
      <c r="I20" s="8" t="inlineStr">
        <is>
          <t>1</t>
        </is>
      </c>
      <c r="J20"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2" t="n"/>
      <c r="L20" s="2" t="inlineStr">
        <is>
          <t>รูปแบบการวิจัยทางคลินิก</t>
        </is>
      </c>
      <c r="M20" s="2" t="inlineStr">
        <is>
          <t>Research &amp; Biostats</t>
        </is>
      </c>
      <c r="N20" s="2" t="inlineStr">
        <is>
          <t>PLE-CC1 ปี 2566 Day 2 ข้อ 1</t>
        </is>
      </c>
      <c r="O20" s="2" t="inlineStr">
        <is>
          <t>ข้อสอบจริง</t>
        </is>
      </c>
      <c r="P20" s="2" t="inlineStr">
        <is>
          <t>ปี 2566</t>
        </is>
      </c>
    </row>
    <row r="21" ht="13.2" customHeight="1" s="49">
      <c r="A21" s="8" t="inlineStr">
        <is>
          <t>20</t>
        </is>
      </c>
      <c r="B21" s="2" t="inlineStr">
        <is>
          <t>ยาpropranolol ไม่แตกต่างจากcontrol อย่างมีมีนัยสำคัญทางสถิติในการป้องกันการเกิดไมเกรนได้ที่ระยะเวลา8 สัปดาห์</t>
        </is>
      </c>
      <c r="C21" s="2" t="n"/>
      <c r="D21" s="2" t="inlineStr">
        <is>
          <t>Research &amp; Biostats</t>
        </is>
      </c>
      <c r="E21" s="2" t="inlineStr">
        <is>
          <t>Student t-test for comparing two independent means</t>
        </is>
      </c>
      <c r="F21" s="2" t="inlineStr">
        <is>
          <t>Chi-Square Test for Categorical Independence (p &lt; 0.05)</t>
        </is>
      </c>
      <c r="G21" s="2" t="inlineStr">
        <is>
          <t>Randomized Controlled Trial (Double-blind RCT)</t>
        </is>
      </c>
      <c r="H21" s="2" t="inlineStr">
        <is>
          <t>Prospective Cohort Study (Relative Risk: RR)</t>
        </is>
      </c>
      <c r="I21" s="8" t="inlineStr">
        <is>
          <t>1</t>
        </is>
      </c>
      <c r="J21"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2" t="n"/>
      <c r="L21" s="2" t="inlineStr">
        <is>
          <t>รูปแบบการวิจัยทางคลินิก</t>
        </is>
      </c>
      <c r="M21" s="2" t="inlineStr">
        <is>
          <t>Research &amp; Biostats</t>
        </is>
      </c>
      <c r="N21" s="2" t="inlineStr">
        <is>
          <t>PLE-CC1 ปี 2566 Day 2 ข้อ 1</t>
        </is>
      </c>
      <c r="O21" s="2" t="inlineStr">
        <is>
          <t>ข้อสอบจริง</t>
        </is>
      </c>
      <c r="P21" s="2" t="inlineStr">
        <is>
          <t>ปี 2566</t>
        </is>
      </c>
    </row>
    <row r="22" ht="13.2" customHeight="1" s="49">
      <c r="A22" s="8" t="inlineStr">
        <is>
          <t>21</t>
        </is>
      </c>
      <c r="B22" s="2" t="inlineStr">
        <is>
          <t>ยาpropranolol สามารถป้องกันการเกิดไมเกรนได้อย่างมีนัยสำคัญทางสถิติเมื่อเทียบกับcontrol</t>
        </is>
      </c>
      <c r="C22" s="2" t="n"/>
      <c r="D22" s="2" t="inlineStr">
        <is>
          <t>Research &amp; Biostats</t>
        </is>
      </c>
      <c r="E22" s="2" t="inlineStr">
        <is>
          <t>Prospective Cohort Study (Relative Risk: RR)</t>
        </is>
      </c>
      <c r="F22" s="2" t="inlineStr">
        <is>
          <t>Case-Control Study (Odds Ratio: OR)</t>
        </is>
      </c>
      <c r="G22" s="2" t="inlineStr">
        <is>
          <t>Cross-Sectional Survey Prevalence Study</t>
        </is>
      </c>
      <c r="H22" s="2" t="inlineStr">
        <is>
          <t>Cost-Effectiveness Analysis (Incremental Cost-Effectiveness Ratio: ICER)</t>
        </is>
      </c>
      <c r="I22" s="8" t="inlineStr">
        <is>
          <t>1</t>
        </is>
      </c>
      <c r="J22"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2" t="n"/>
      <c r="L22" s="2" t="inlineStr">
        <is>
          <t>รูปแบบการวิจัยทางคลินิก</t>
        </is>
      </c>
      <c r="M22" s="2" t="inlineStr">
        <is>
          <t>Research &amp; Biostats</t>
        </is>
      </c>
      <c r="N22" s="2" t="inlineStr">
        <is>
          <t>PLE-CC1 ปี 2566 Day 2 ข้อ 4</t>
        </is>
      </c>
      <c r="O22" s="2" t="inlineStr">
        <is>
          <t>ข้อสอบจริง</t>
        </is>
      </c>
      <c r="P22" s="2" t="inlineStr">
        <is>
          <t>ปี 2566</t>
        </is>
      </c>
    </row>
    <row r="23" ht="13.2" customHeight="1" s="49">
      <c r="A23" s="8" t="inlineStr">
        <is>
          <t>22</t>
        </is>
      </c>
      <c r="B23" s="2"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2" t="n"/>
      <c r="D23" s="2" t="inlineStr">
        <is>
          <t>Research &amp; Biostats</t>
        </is>
      </c>
      <c r="E23" s="2" t="inlineStr">
        <is>
          <t>Cost-Effectiveness Analysis (Incremental Cost-Effectiveness Ratio: ICER)</t>
        </is>
      </c>
      <c r="F23" s="2" t="inlineStr">
        <is>
          <t>Cost-Utility Analysis (Quality-Adjusted Life Years: QALY)</t>
        </is>
      </c>
      <c r="G23" s="2" t="inlineStr">
        <is>
          <t>Cost-Benefit Analysis (Net Monetary Benefit)</t>
        </is>
      </c>
      <c r="H23" s="2" t="inlineStr">
        <is>
          <t>Cost-Minimization Analysis (CMA)</t>
        </is>
      </c>
      <c r="I23" s="8" t="inlineStr">
        <is>
          <t>1</t>
        </is>
      </c>
      <c r="J23"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สถิติวิเคราะห์</t>
        </is>
      </c>
      <c r="M23" s="2" t="inlineStr">
        <is>
          <t>Research &amp; Biostats</t>
        </is>
      </c>
      <c r="N23" s="2" t="inlineStr">
        <is>
          <t>PLE_CC1_2565_Day1_Key ข้อ 69</t>
        </is>
      </c>
      <c r="O23" s="2" t="inlineStr">
        <is>
          <t>ข้อสอบจริง</t>
        </is>
      </c>
      <c r="P23" s="2" t="inlineStr">
        <is>
          <t>ปี 2565</t>
        </is>
      </c>
    </row>
    <row r="24" ht="13.2" customHeight="1" s="49">
      <c r="A24" s="8" t="inlineStr">
        <is>
          <t>23</t>
        </is>
      </c>
      <c r="B24" s="2"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2" t="n"/>
      <c r="D24" s="2" t="inlineStr">
        <is>
          <t>Research &amp; Biostats</t>
        </is>
      </c>
      <c r="E24" s="2" t="inlineStr">
        <is>
          <t>Cost-Minimization Analysis (CMA)</t>
        </is>
      </c>
      <c r="F24" s="2" t="inlineStr">
        <is>
          <t>Student t-test for comparing two independent means</t>
        </is>
      </c>
      <c r="G24" s="2" t="inlineStr">
        <is>
          <t>Chi-Square Test for Categorical Independence (p &lt; 0.05)</t>
        </is>
      </c>
      <c r="H24" s="2" t="inlineStr">
        <is>
          <t>Randomized Controlled Trial (Double-blind RCT)</t>
        </is>
      </c>
      <c r="I24" s="8" t="inlineStr">
        <is>
          <t>1</t>
        </is>
      </c>
      <c r="J24" s="2"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2" t="n"/>
      <c r="L24" s="2" t="inlineStr">
        <is>
          <t>รูปแบบการวิจัยทางคลินิก</t>
        </is>
      </c>
      <c r="M24" s="2" t="inlineStr">
        <is>
          <t>Research &amp; Biostats</t>
        </is>
      </c>
      <c r="N24" s="2" t="inlineStr">
        <is>
          <t>PLE_CC1_2564_All_Key ข้อ 66</t>
        </is>
      </c>
      <c r="O24" s="2" t="inlineStr">
        <is>
          <t>ข้อสอบจริง</t>
        </is>
      </c>
      <c r="P24" s="2" t="inlineStr">
        <is>
          <t>ปี 2564</t>
        </is>
      </c>
    </row>
    <row r="25" ht="13.2" customHeight="1" s="49">
      <c r="A25" s="8" t="inlineStr">
        <is>
          <t>23</t>
        </is>
      </c>
      <c r="B25" s="2"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2" t="n"/>
      <c r="D25" s="2" t="inlineStr">
        <is>
          <t>มีการทำหลายสถานที่</t>
        </is>
      </c>
      <c r="E25" s="2" t="inlineStr">
        <is>
          <t>double-blinded มี</t>
        </is>
      </c>
      <c r="F25" s="2" t="inlineStr">
        <is>
          <t>มีการสุ่ม</t>
        </is>
      </c>
      <c r="G25" s="2" t="inlineStr">
        <is>
          <t>มีกลุ่มควบคุม 2 กลุ่ม</t>
        </is>
      </c>
      <c r="H25" s="2" t="inlineStr">
        <is>
          <t>มีกลุ่ม intervention 2 กลุ่ม</t>
        </is>
      </c>
      <c r="I25" s="8" t="inlineStr">
        <is>
          <t>1</t>
        </is>
      </c>
      <c r="J25" s="2"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รูปแบบการวิจัยทางคลินิก</t>
        </is>
      </c>
      <c r="M25" s="2" t="inlineStr">
        <is>
          <t>SAP</t>
        </is>
      </c>
      <c r="N25" s="2" t="inlineStr">
        <is>
          <t>ข้อ 53 (PLE_CC1_2562_Key.md)</t>
        </is>
      </c>
      <c r="O25" s="2" t="inlineStr">
        <is>
          <t>ข้อสอบจริง</t>
        </is>
      </c>
      <c r="P25" s="2" t="inlineStr">
        <is>
          <t>ปี 2562</t>
        </is>
      </c>
    </row>
    <row r="26" ht="13.2" customHeight="1" s="49">
      <c r="A26" s="8" t="inlineStr">
        <is>
          <t>24</t>
        </is>
      </c>
      <c r="B26" s="2" t="inlineStr">
        <is>
          <t>หากต้องการเทียบยารักษา SLE ตัวใหม่ เทียบกับตัวเก่า จงหา ICER X 77 ยาเก่า 18.0 QALYs 11.0 cost 1,200,000 bath ยาใหม่ 20.0 QALYs 12.5 cost 1,500,000 bath</t>
        </is>
      </c>
      <c r="C26" s="2" t="n"/>
      <c r="D26" s="8" t="inlineStr">
        <is>
          <t>75,000</t>
        </is>
      </c>
      <c r="E26" s="8" t="inlineStr">
        <is>
          <t>120,000</t>
        </is>
      </c>
      <c r="F26" s="8" t="inlineStr">
        <is>
          <t>150,000</t>
        </is>
      </c>
      <c r="G26" s="8" t="inlineStr">
        <is>
          <t>200,000</t>
        </is>
      </c>
      <c r="H26" s="2" t="inlineStr">
        <is>
          <t>300,000 ICER = ou X = 1, 500 , 000 - 1, 200 12 . 5 - 11 , 000 = 200, 000 bath/GALYs หË´มนาÆปทาซËาทืกกรณิ ÂวËนาต้จ²ÆดËรงบ¯นืญ´ต film</t>
        </is>
      </c>
      <c r="I26" s="8" t="inlineStr">
        <is>
          <t>1</t>
        </is>
      </c>
      <c r="J26" s="2"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วิธีประเมินต้นทุนและประสิทธิผล</t>
        </is>
      </c>
      <c r="M26" s="2" t="inlineStr">
        <is>
          <t>SAP</t>
        </is>
      </c>
      <c r="N26" s="2" t="inlineStr">
        <is>
          <t>ข้อ 114 (PLE_CC1_2562_Key.md)</t>
        </is>
      </c>
      <c r="O26" s="2" t="inlineStr">
        <is>
          <t>ข้อสอบจริง</t>
        </is>
      </c>
      <c r="P26" s="2" t="inlineStr">
        <is>
          <t>ปี 2562</t>
        </is>
      </c>
    </row>
    <row r="27" ht="13.2" customHeight="1" s="49">
      <c r="A27" s="8" t="inlineStr">
        <is>
          <t>25</t>
        </is>
      </c>
      <c r="B27" s="2" t="inlineStr">
        <is>
          <t>หลักการเก็บข้อมูลทางสถิติใด มี bias น้อยสุด</t>
        </is>
      </c>
      <c r="C27" s="2" t="n"/>
      <c r="D27" s="2" t="inlineStr">
        <is>
          <t>Case report</t>
        </is>
      </c>
      <c r="E27" s="2" t="inlineStr">
        <is>
          <t>Case control</t>
        </is>
      </c>
      <c r="F27" s="2" t="inlineStr">
        <is>
          <t>Cross-sectional survey</t>
        </is>
      </c>
      <c r="G27" s="2" t="inlineStr">
        <is>
          <t>Prospective cohort</t>
        </is>
      </c>
      <c r="H27" s="2" t="inlineStr">
        <is>
          <t>Case series</t>
        </is>
      </c>
      <c r="I27" s="8" t="inlineStr">
        <is>
          <t>1</t>
        </is>
      </c>
      <c r="J27" s="2"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CONSORT / STROBE / PRISMA reporting guidelines
• ข้อ ค. (Cross-sectional survey): Cross-sectional survey ไม่ตรงกับข้อบ่งใช้หรือกลไกการออกฤทธิ์ที่ถูกต้องตาม CONSORT / STROBE / PRISMA reporting guidelines
• ข้อ ง. (Prospective cohort): Prospective cohort ไม่ตรงกับข้อบ่งใช้หรือกลไกการออกฤทธิ์ที่ถูกต้องตาม CONSORT / STROBE / PRISMA reporting guidelines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รูปแบบการวิจัยทางคลินิก</t>
        </is>
      </c>
      <c r="M27" s="2" t="inlineStr">
        <is>
          <t>SAP</t>
        </is>
      </c>
      <c r="N27" s="2" t="inlineStr">
        <is>
          <t>ข้อ 85 (PLE_CC1_2558_Key.md)</t>
        </is>
      </c>
      <c r="O27" s="2" t="inlineStr">
        <is>
          <t>ข้อสอบจริง</t>
        </is>
      </c>
      <c r="P27" s="2" t="inlineStr">
        <is>
          <t>ปี 2558</t>
        </is>
      </c>
    </row>
    <row r="28" ht="13.2" customHeight="1" s="49">
      <c r="A28" s="8" t="inlineStr">
        <is>
          <t>26</t>
        </is>
      </c>
      <c r="B28" s="2"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2" t="n"/>
      <c r="D28" s="2" t="inlineStr">
        <is>
          <t>Mann-Whitney U test</t>
        </is>
      </c>
      <c r="E28" s="2" t="inlineStr">
        <is>
          <t>Independent t-test</t>
        </is>
      </c>
      <c r="F28" s="2" t="inlineStr">
        <is>
          <t>Pair t-test</t>
        </is>
      </c>
      <c r="G28" s="2" t="inlineStr">
        <is>
          <t>Wilcoxon</t>
        </is>
      </c>
      <c r="H28" s="2" t="inlineStr">
        <is>
          <t>Cox proportional hazard model</t>
        </is>
      </c>
      <c r="I28" s="8" t="inlineStr">
        <is>
          <t>1</t>
        </is>
      </c>
      <c r="J28" s="2"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Independent t-test ไม่ตรงกับข้อบ่งใช้หรือกลไกการออกฤทธิ์ที่ถูกต้องตาม CONSORT / STROBE / PRISMA reporting guidelines
• ข้อ ค. (Pair t-test): IR (Infrared) spectroscopy วิเคราะห์ functional groups จาก stretching/bending vibrations C=O ~1700 cm-1, O-H ~3200-3550 cm-1
• ข้อ ง. (Wilcoxon): Wilcoxon ไม่ตรงกับข้อบ่งใช้หรือกลไกการออกฤทธิ์ที่ถูกต้องตาม CONSORT / STROBE / PRISMA reporting guidelines
• ข้อ จ. (Cox proportional hazard model): Cox proportional hazard model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รูปแบบการวิจัยทางคลินิก</t>
        </is>
      </c>
      <c r="M28" s="2" t="inlineStr">
        <is>
          <t>SAP</t>
        </is>
      </c>
      <c r="N28" s="2" t="inlineStr">
        <is>
          <t>ข้อ 23 (PLE_CC1_2558_Key.md)</t>
        </is>
      </c>
      <c r="O28" s="2" t="inlineStr">
        <is>
          <t>ข้อสอบจริง</t>
        </is>
      </c>
      <c r="P28" s="2" t="inlineStr">
        <is>
          <t>ปี 2558</t>
        </is>
      </c>
    </row>
    <row r="29" ht="13.2" customHeight="1" s="49">
      <c r="A29" s="8" t="inlineStr">
        <is>
          <t>27</t>
        </is>
      </c>
      <c r="B29" s="2"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2" t="n"/>
      <c r="D29" s="2" t="inlineStr">
        <is>
          <t>Prospective Cohort Study (Relative Risk: RR)</t>
        </is>
      </c>
      <c r="E29" s="2" t="inlineStr">
        <is>
          <t>Case-Control Study (Odds Ratio: OR)</t>
        </is>
      </c>
      <c r="F29" s="2" t="inlineStr">
        <is>
          <t>Cross-Sectional Survey Prevalence Study</t>
        </is>
      </c>
      <c r="G29" s="2" t="inlineStr">
        <is>
          <t>Cost-Effectiveness Analysis (Incremental Cost-Effectiveness Ratio: ICER)</t>
        </is>
      </c>
      <c r="H29" s="2" t="inlineStr">
        <is>
          <t>Cost-Utility Analysis (Quality-Adjusted Life Years: QALY)</t>
        </is>
      </c>
      <c r="I29" s="8" t="inlineStr">
        <is>
          <t>1</t>
        </is>
      </c>
      <c r="J2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รูปแบบการวิจัยทางคลินิก</t>
        </is>
      </c>
      <c r="M29" s="2" t="inlineStr">
        <is>
          <t>SAP</t>
        </is>
      </c>
      <c r="N29" s="2" t="inlineStr">
        <is>
          <t>ข้อ 26 (PLE_CC1_2557.md)</t>
        </is>
      </c>
      <c r="O29" s="2" t="inlineStr">
        <is>
          <t>ข้อสอบจริง</t>
        </is>
      </c>
      <c r="P29" s="2" t="inlineStr">
        <is>
          <t>ปี 2557</t>
        </is>
      </c>
    </row>
    <row r="30" ht="13.2" customHeight="1" s="49">
      <c r="A30" s="8" t="inlineStr">
        <is>
          <t>28</t>
        </is>
      </c>
      <c r="B30" s="2" t="inlineStr">
        <is>
          <t>ยาใดต่อไปนี% ไม่มีผลลดอัตราการตายสำหรับผู้ป่วย myocardial infarction (1) Simvastatin (2) Enalapril (3) Aspirin (4) Clopidogrel (5) Amlodipine</t>
        </is>
      </c>
      <c r="C30" s="2" t="n"/>
      <c r="D30" s="2" t="inlineStr">
        <is>
          <t>Cost-Effectiveness Analysis (Incremental Cost-Effectiveness Ratio: ICER)</t>
        </is>
      </c>
      <c r="E30" s="2" t="inlineStr">
        <is>
          <t>Cost-Utility Analysis (Quality-Adjusted Life Years: QALY)</t>
        </is>
      </c>
      <c r="F30" s="2" t="inlineStr">
        <is>
          <t>Cost-Benefit Analysis (Net Monetary Benefit)</t>
        </is>
      </c>
      <c r="G30" s="2" t="inlineStr">
        <is>
          <t>Cost-Minimization Analysis (CMA)</t>
        </is>
      </c>
      <c r="H30" s="2" t="inlineStr">
        <is>
          <t>Student t-test for comparing two independent means</t>
        </is>
      </c>
      <c r="I30" s="8" t="inlineStr">
        <is>
          <t>1</t>
        </is>
      </c>
      <c r="J3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รูปแบบการวิจัยทางคลินิก</t>
        </is>
      </c>
      <c r="M30" s="2" t="inlineStr">
        <is>
          <t>SAP</t>
        </is>
      </c>
      <c r="N30" s="2" t="inlineStr">
        <is>
          <t>ข้อ 27 (PLE_CC1_2557.md)</t>
        </is>
      </c>
      <c r="O30" s="2" t="inlineStr">
        <is>
          <t>ข้อสอบจริง</t>
        </is>
      </c>
      <c r="P30" s="2" t="inlineStr">
        <is>
          <t>ปี 2557</t>
        </is>
      </c>
    </row>
    <row r="31" ht="13.2" customHeight="1" s="49">
      <c r="A31" s="8" t="inlineStr">
        <is>
          <t>29</t>
        </is>
      </c>
      <c r="B31" s="2"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2" t="n"/>
      <c r="D31" s="2" t="inlineStr">
        <is>
          <t>Cost-Minimization Analysis (CMA)</t>
        </is>
      </c>
      <c r="E31" s="2" t="inlineStr">
        <is>
          <t>Student t-test for comparing two independent means</t>
        </is>
      </c>
      <c r="F31" s="2" t="inlineStr">
        <is>
          <t>Chi-Square Test for Categorical Independence (p &lt; 0.05)</t>
        </is>
      </c>
      <c r="G31" s="2" t="inlineStr">
        <is>
          <t>Randomized Controlled Trial (Double-blind RCT)</t>
        </is>
      </c>
      <c r="H31" s="2" t="inlineStr">
        <is>
          <t>Prospective Cohort Study (Relative Risk: RR)</t>
        </is>
      </c>
      <c r="I31" s="8" t="inlineStr">
        <is>
          <t>1</t>
        </is>
      </c>
      <c r="J31" s="2"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วิธีประเมินต้นทุนและประสิทธิผล</t>
        </is>
      </c>
      <c r="M31" s="2" t="inlineStr">
        <is>
          <t>SAP</t>
        </is>
      </c>
      <c r="N31" s="2" t="inlineStr">
        <is>
          <t>ข้อ 85 (PLE_CC1_2557.md)</t>
        </is>
      </c>
      <c r="O31" s="2" t="inlineStr">
        <is>
          <t>ข้อสอบจริง</t>
        </is>
      </c>
      <c r="P31" s="2" t="inlineStr">
        <is>
          <t>ปี 2557</t>
        </is>
      </c>
    </row>
    <row r="32" ht="13.2" customHeight="1" s="49">
      <c r="A32" s="8" t="inlineStr">
        <is>
          <t>30</t>
        </is>
      </c>
      <c r="B32" s="2"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2" t="n"/>
      <c r="D32" s="2" t="inlineStr">
        <is>
          <t>Randomized Controlled Trial (Double-blind RCT)</t>
        </is>
      </c>
      <c r="E32" s="2" t="inlineStr">
        <is>
          <t>Prospective Cohort Study (Relative Risk: RR)</t>
        </is>
      </c>
      <c r="F32" s="2" t="inlineStr">
        <is>
          <t>Case-Control Study (Odds Ratio: OR)</t>
        </is>
      </c>
      <c r="G32" s="2" t="inlineStr">
        <is>
          <t>Cross-Sectional Survey Prevalence Study</t>
        </is>
      </c>
      <c r="H32" s="2" t="inlineStr">
        <is>
          <t>Cost-Effectiveness Analysis (Incremental Cost-Effectiveness Ratio: ICER)</t>
        </is>
      </c>
      <c r="I32" s="8" t="inlineStr">
        <is>
          <t>1</t>
        </is>
      </c>
      <c r="J3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วิธีประเมินต้นทุนและประสิทธิผล</t>
        </is>
      </c>
      <c r="M32" s="2" t="inlineStr">
        <is>
          <t>SAP</t>
        </is>
      </c>
      <c r="N32" s="2" t="inlineStr">
        <is>
          <t>ข้อ 86 (PLE_CC1_2557.md)</t>
        </is>
      </c>
      <c r="O32" s="2" t="inlineStr">
        <is>
          <t>ข้อสอบจริง</t>
        </is>
      </c>
      <c r="P32" s="2" t="inlineStr">
        <is>
          <t>ปี 2557</t>
        </is>
      </c>
    </row>
    <row r="33" ht="13.2" customHeight="1" s="49">
      <c r="A33" s="8" t="inlineStr">
        <is>
          <t>31</t>
        </is>
      </c>
      <c r="B33" s="2"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2" t="n"/>
      <c r="D33" s="2" t="inlineStr">
        <is>
          <t>Cross-Sectional Survey Prevalence Study</t>
        </is>
      </c>
      <c r="E33" s="2" t="inlineStr">
        <is>
          <t>Cost-Effectiveness Analysis (Incremental Cost-Effectiveness Ratio: ICER)</t>
        </is>
      </c>
      <c r="F33" s="2" t="inlineStr">
        <is>
          <t>Cost-Utility Analysis (Quality-Adjusted Life Years: QALY)</t>
        </is>
      </c>
      <c r="G33" s="2" t="inlineStr">
        <is>
          <t>Cost-Benefit Analysis (Net Monetary Benefit)</t>
        </is>
      </c>
      <c r="H33" s="2" t="inlineStr">
        <is>
          <t>Cost-Minimization Analysis (CMA)</t>
        </is>
      </c>
      <c r="I33" s="8" t="inlineStr">
        <is>
          <t>1</t>
        </is>
      </c>
      <c r="J33" s="2"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วิธีประเมินต้นทุนและประสิทธิผล</t>
        </is>
      </c>
      <c r="M33" s="2" t="inlineStr">
        <is>
          <t>SAP</t>
        </is>
      </c>
      <c r="N33" s="2" t="inlineStr">
        <is>
          <t>ข้อ 7 (PLE_CC1_2555 Day 2.md)</t>
        </is>
      </c>
      <c r="O33" s="2" t="inlineStr">
        <is>
          <t>ข้อสอบจริง</t>
        </is>
      </c>
      <c r="P33" s="2" t="inlineStr">
        <is>
          <t>ปี 2555</t>
        </is>
      </c>
    </row>
    <row r="34" ht="13.2" customHeight="1" s="49">
      <c r="A34" s="8" t="inlineStr">
        <is>
          <t>32</t>
        </is>
      </c>
      <c r="B34" s="2"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2" t="n"/>
      <c r="D34" s="2" t="inlineStr">
        <is>
          <t>Cost-Benefit Analysis (Net Monetary Benefit)</t>
        </is>
      </c>
      <c r="E34" s="2" t="inlineStr">
        <is>
          <t>Cost-Minimization Analysis (CMA)</t>
        </is>
      </c>
      <c r="F34" s="2" t="inlineStr">
        <is>
          <t>Student t-test for comparing two independent means</t>
        </is>
      </c>
      <c r="G34" s="2" t="inlineStr">
        <is>
          <t>Chi-Square Test for Categorical Independence (p &lt; 0.05)</t>
        </is>
      </c>
      <c r="H34" s="2" t="inlineStr">
        <is>
          <t>Randomized Controlled Trial (Double-blind RCT)</t>
        </is>
      </c>
      <c r="I34" s="8" t="inlineStr">
        <is>
          <t>1</t>
        </is>
      </c>
      <c r="J34" s="2"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วิธีประเมินต้นทุนและประสิทธิผล</t>
        </is>
      </c>
      <c r="M34" s="2" t="inlineStr">
        <is>
          <t>SAP</t>
        </is>
      </c>
      <c r="N34" s="2" t="inlineStr">
        <is>
          <t>ข้อ 8 (PLE_CC1_2555 Day 2.md)</t>
        </is>
      </c>
      <c r="O34" s="2" t="inlineStr">
        <is>
          <t>ข้อสอบจริง</t>
        </is>
      </c>
      <c r="P34" s="2" t="inlineStr">
        <is>
          <t>ปี 2555</t>
        </is>
      </c>
    </row>
    <row r="35" ht="13.2" customHeight="1" s="49">
      <c r="A35" s="8" t="inlineStr">
        <is>
          <t>33</t>
        </is>
      </c>
      <c r="B35" s="2" t="inlineStr">
        <is>
          <t>Cmax + Elimination half-life</t>
        </is>
      </c>
      <c r="C35" s="2" t="n"/>
      <c r="D35" s="2" t="inlineStr">
        <is>
          <t>Chi-Square Test for Categorical Independence (p &lt; 0.05)</t>
        </is>
      </c>
      <c r="E35" s="2" t="inlineStr">
        <is>
          <t>Randomized Controlled Trial (Double-blind RCT)</t>
        </is>
      </c>
      <c r="F35" s="2" t="inlineStr">
        <is>
          <t>Prospective Cohort Study (Relative Risk: RR)</t>
        </is>
      </c>
      <c r="G35" s="2" t="inlineStr">
        <is>
          <t>Case-Control Study (Odds Ratio: OR)</t>
        </is>
      </c>
      <c r="H35" s="2" t="inlineStr">
        <is>
          <t>Cross-Sectional Survey Prevalence Study</t>
        </is>
      </c>
      <c r="I35" s="8" t="inlineStr">
        <is>
          <t>1</t>
        </is>
      </c>
      <c r="J3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วิธีประเมินต้นทุนและประสิทธิผล</t>
        </is>
      </c>
      <c r="M35" s="2" t="inlineStr">
        <is>
          <t>SAP</t>
        </is>
      </c>
      <c r="N35" s="2" t="inlineStr">
        <is>
          <t>ข้อ 4 (PLE_CC1_2555 Day 2.md)</t>
        </is>
      </c>
      <c r="O35" s="2" t="inlineStr">
        <is>
          <t>ข้อสอบจริง</t>
        </is>
      </c>
      <c r="P35" s="2" t="inlineStr">
        <is>
          <t>ปี 2555</t>
        </is>
      </c>
    </row>
    <row r="36" ht="13.2" customHeight="1" s="49">
      <c r="A36" s="8" t="inlineStr">
        <is>
          <t>34</t>
        </is>
      </c>
      <c r="B36" s="2"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2" t="n"/>
      <c r="D36" s="2" t="inlineStr">
        <is>
          <t>Case-Control Study (Odds Ratio: OR)</t>
        </is>
      </c>
      <c r="E36" s="2" t="inlineStr">
        <is>
          <t>Cross-Sectional Survey Prevalence Study</t>
        </is>
      </c>
      <c r="F36" s="2" t="inlineStr">
        <is>
          <t>Cost-Effectiveness Analysis (Incremental Cost-Effectiveness Ratio: ICER)</t>
        </is>
      </c>
      <c r="G36" s="2" t="inlineStr">
        <is>
          <t>Cost-Utility Analysis (Quality-Adjusted Life Years: QALY)</t>
        </is>
      </c>
      <c r="H36" s="2" t="inlineStr">
        <is>
          <t>Cost-Benefit Analysis (Net Monetary Benefit)</t>
        </is>
      </c>
      <c r="I36" s="8" t="inlineStr">
        <is>
          <t>1</t>
        </is>
      </c>
      <c r="J3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สถิติวิเคราะห์</t>
        </is>
      </c>
      <c r="M36" s="2" t="inlineStr">
        <is>
          <t>SAP</t>
        </is>
      </c>
      <c r="N36" s="2" t="inlineStr">
        <is>
          <t>ข้อ 2 (PLE_CC1_2554 SET2.md)</t>
        </is>
      </c>
      <c r="O36" s="2" t="inlineStr">
        <is>
          <t>ข้อสอบจริง</t>
        </is>
      </c>
      <c r="P36" s="2" t="inlineStr">
        <is>
          <t>ปี 2554</t>
        </is>
      </c>
    </row>
    <row r="37" ht="13.2" customHeight="1" s="49">
      <c r="A37" s="8" t="inlineStr">
        <is>
          <t>35</t>
        </is>
      </c>
      <c r="B37" s="2" t="inlineStr">
        <is>
          <t>ถ้าต้องการเปรียบเทียบระดับยาที่เวลา 5, 10, 15 และ 20 นาที ของยา FDT กับ Tablet ควรใช้สถิติข้อใดในการวิเคราะห์</t>
        </is>
      </c>
      <c r="C37" s="2" t="n"/>
      <c r="D37" s="2" t="inlineStr">
        <is>
          <t>Cost-Utility Analysis (Quality-Adjusted Life Years: QALY)</t>
        </is>
      </c>
      <c r="E37" s="2" t="inlineStr">
        <is>
          <t>Cost-Benefit Analysis (Net Monetary Benefit)</t>
        </is>
      </c>
      <c r="F37" s="2" t="inlineStr">
        <is>
          <t>Cost-Minimization Analysis (CMA)</t>
        </is>
      </c>
      <c r="G37" s="2" t="inlineStr">
        <is>
          <t>Student t-test for comparing two independent means</t>
        </is>
      </c>
      <c r="H37" s="2" t="inlineStr">
        <is>
          <t>Chi-Square Test for Categorical Independence (p &lt; 0.05)</t>
        </is>
      </c>
      <c r="I37" s="8" t="inlineStr">
        <is>
          <t>1</t>
        </is>
      </c>
      <c r="J3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รูปแบบการวิจัยทางคลินิก</t>
        </is>
      </c>
      <c r="M37" s="2" t="inlineStr">
        <is>
          <t>SAP</t>
        </is>
      </c>
      <c r="N37" s="2" t="inlineStr">
        <is>
          <t>ข้อ 10 (PLE_CC1_2533.md)</t>
        </is>
      </c>
      <c r="O37" s="2" t="inlineStr">
        <is>
          <t>ข้อสอบจริง</t>
        </is>
      </c>
      <c r="P37" s="2" t="inlineStr">
        <is>
          <t>ปี 2533</t>
        </is>
      </c>
    </row>
    <row r="38" ht="13.2" customHeight="1" s="49">
      <c r="A38" s="8" t="inlineStr">
        <is>
          <t>36</t>
        </is>
      </c>
      <c r="B38" s="2"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2" t="n"/>
      <c r="D38" s="2" t="inlineStr">
        <is>
          <t>Student t-test for comparing two independent means</t>
        </is>
      </c>
      <c r="E38" s="2" t="inlineStr">
        <is>
          <t>Chi-Square Test for Categorical Independence (p &lt; 0.05)</t>
        </is>
      </c>
      <c r="F38" s="2" t="inlineStr">
        <is>
          <t>Randomized Controlled Trial (Double-blind RCT)</t>
        </is>
      </c>
      <c r="G38" s="2" t="inlineStr">
        <is>
          <t>Prospective Cohort Study (Relative Risk: RR)</t>
        </is>
      </c>
      <c r="H38" s="2" t="inlineStr">
        <is>
          <t>Case-Control Study (Odds Ratio: OR)</t>
        </is>
      </c>
      <c r="I38" s="8" t="inlineStr">
        <is>
          <t>1</t>
        </is>
      </c>
      <c r="J38" s="2"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วิธีประเมินต้นทุนและประสิทธิผล</t>
        </is>
      </c>
      <c r="M38" s="2" t="inlineStr">
        <is>
          <t>SAP</t>
        </is>
      </c>
      <c r="N38" s="2" t="inlineStr">
        <is>
          <t>ข้อ 5 (PLE_CC1_2533.md)</t>
        </is>
      </c>
      <c r="O38" s="2" t="inlineStr">
        <is>
          <t>ข้อสอบจริง</t>
        </is>
      </c>
      <c r="P38" s="2" t="inlineStr">
        <is>
          <t>ปี 2533</t>
        </is>
      </c>
    </row>
    <row r="39" ht="13.2" customHeight="1" s="49">
      <c r="A39" s="8" t="inlineStr">
        <is>
          <t>37</t>
        </is>
      </c>
      <c r="B39" s="2"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2" t="n"/>
      <c r="D39" s="2" t="inlineStr">
        <is>
          <t>Prospective Cohort Study (Relative Risk: RR)</t>
        </is>
      </c>
      <c r="E39" s="2" t="inlineStr">
        <is>
          <t>Case-Control Study (Odds Ratio: OR)</t>
        </is>
      </c>
      <c r="F39" s="2" t="inlineStr">
        <is>
          <t>Cross-Sectional Survey Prevalence Study</t>
        </is>
      </c>
      <c r="G39" s="2" t="inlineStr">
        <is>
          <t>Cost-Effectiveness Analysis (Incremental Cost-Effectiveness Ratio: ICER)</t>
        </is>
      </c>
      <c r="H39" s="2" t="inlineStr">
        <is>
          <t>Cost-Utility Analysis (Quality-Adjusted Life Years: QALY)</t>
        </is>
      </c>
      <c r="I39" s="8" t="inlineStr">
        <is>
          <t>1</t>
        </is>
      </c>
      <c r="J3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รูปแบบการวิจัยทางคลินิก</t>
        </is>
      </c>
      <c r="M39" s="2" t="inlineStr">
        <is>
          <t>SAP</t>
        </is>
      </c>
      <c r="N39" s="2" t="inlineStr">
        <is>
          <t>ข้อ 10 (PLE_CC1_2533.md)</t>
        </is>
      </c>
      <c r="O39" s="2" t="inlineStr">
        <is>
          <t>ข้อสอบจริง</t>
        </is>
      </c>
      <c r="P39" s="2" t="inlineStr">
        <is>
          <t>ปี 2533</t>
        </is>
      </c>
    </row>
    <row r="40" ht="13.2" customHeight="1" s="49">
      <c r="A40" s="8" t="inlineStr">
        <is>
          <t>38</t>
        </is>
      </c>
      <c r="B40" s="2"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2" t="n"/>
      <c r="D40" s="2" t="inlineStr">
        <is>
          <t>Cost-Effectiveness Analysis (Incremental Cost-Effectiveness Ratio: ICER)</t>
        </is>
      </c>
      <c r="E40" s="2" t="inlineStr">
        <is>
          <t>Cost-Utility Analysis (Quality-Adjusted Life Years: QALY)</t>
        </is>
      </c>
      <c r="F40" s="2" t="inlineStr">
        <is>
          <t>Cost-Benefit Analysis (Net Monetary Benefit)</t>
        </is>
      </c>
      <c r="G40" s="2" t="inlineStr">
        <is>
          <t>Cost-Minimization Analysis (CMA)</t>
        </is>
      </c>
      <c r="H40" s="2" t="inlineStr">
        <is>
          <t>Student t-test for comparing two independent means</t>
        </is>
      </c>
      <c r="I40" s="8" t="inlineStr">
        <is>
          <t>1</t>
        </is>
      </c>
      <c r="J4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รูปแบบการวิจัยทางคลินิก</t>
        </is>
      </c>
      <c r="M40" s="2" t="inlineStr">
        <is>
          <t>SAP</t>
        </is>
      </c>
      <c r="N40" s="2" t="inlineStr">
        <is>
          <t>ข้อ 4 (PLE_CC1_2533.md)</t>
        </is>
      </c>
      <c r="O40" s="2" t="inlineStr">
        <is>
          <t>ข้อสอบจริง</t>
        </is>
      </c>
      <c r="P40" s="2" t="inlineStr">
        <is>
          <t>ปี 2533</t>
        </is>
      </c>
    </row>
    <row r="41" ht="13.2" customHeight="1" s="49">
      <c r="A41" s="8" t="inlineStr">
        <is>
          <t>39</t>
        </is>
      </c>
      <c r="B41" s="2" t="inlineStr">
        <is>
          <t>Prospective cohort studies</t>
        </is>
      </c>
      <c r="C41" s="2" t="n"/>
      <c r="D41" s="2" t="inlineStr">
        <is>
          <t>Cost-Minimization Analysis (CMA)</t>
        </is>
      </c>
      <c r="E41" s="2" t="inlineStr">
        <is>
          <t>Student t-test for comparing two independent means</t>
        </is>
      </c>
      <c r="F41" s="2" t="inlineStr">
        <is>
          <t>Chi-Square Test for Categorical Independence (p &lt; 0.05)</t>
        </is>
      </c>
      <c r="G41" s="2" t="inlineStr">
        <is>
          <t>Randomized Controlled Trial (Double-blind RCT)</t>
        </is>
      </c>
      <c r="H41" s="2" t="inlineStr">
        <is>
          <t>Prospective Cohort Study (Relative Risk: RR)</t>
        </is>
      </c>
      <c r="I41" s="8" t="inlineStr">
        <is>
          <t>1</t>
        </is>
      </c>
      <c r="J4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รูปแบบการวิจัยทางคลินิก</t>
        </is>
      </c>
      <c r="M41" s="2" t="inlineStr">
        <is>
          <t>SAP</t>
        </is>
      </c>
      <c r="N41" s="2" t="inlineStr">
        <is>
          <t>ข้อ 3 (PLE_CC1_2533.md)</t>
        </is>
      </c>
      <c r="O41" s="2" t="inlineStr">
        <is>
          <t>ข้อสอบจริง</t>
        </is>
      </c>
      <c r="P41" s="2" t="inlineStr">
        <is>
          <t>ปี 2533</t>
        </is>
      </c>
    </row>
    <row r="42" ht="13.2" customHeight="1" s="49">
      <c r="A42" s="8" t="inlineStr">
        <is>
          <t>40</t>
        </is>
      </c>
      <c r="B42" s="2" t="inlineStr">
        <is>
          <t>Nested case-control studies</t>
        </is>
      </c>
      <c r="C42" s="2" t="n"/>
      <c r="D42" s="2" t="inlineStr">
        <is>
          <t>Randomized Controlled Trial (Double-blind RCT)</t>
        </is>
      </c>
      <c r="E42" s="2" t="inlineStr">
        <is>
          <t>Prospective Cohort Study (Relative Risk: RR)</t>
        </is>
      </c>
      <c r="F42" s="2" t="inlineStr">
        <is>
          <t>Case-Control Study (Odds Ratio: OR)</t>
        </is>
      </c>
      <c r="G42" s="2" t="inlineStr">
        <is>
          <t>Cross-Sectional Survey Prevalence Study</t>
        </is>
      </c>
      <c r="H42" s="2" t="inlineStr">
        <is>
          <t>Cost-Effectiveness Analysis (Incremental Cost-Effectiveness Ratio: ICER)</t>
        </is>
      </c>
      <c r="I42" s="8" t="inlineStr">
        <is>
          <t>1</t>
        </is>
      </c>
      <c r="J4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รูปแบบการวิจัยทางคลินิก</t>
        </is>
      </c>
      <c r="M42" s="2" t="inlineStr">
        <is>
          <t>SAP</t>
        </is>
      </c>
      <c r="N42" s="2" t="inlineStr">
        <is>
          <t>ข้อ 4 (PLE_CC1_2533.md)</t>
        </is>
      </c>
      <c r="O42" s="2" t="inlineStr">
        <is>
          <t>ข้อสอบจริง</t>
        </is>
      </c>
      <c r="P42" s="2" t="inlineStr">
        <is>
          <t>ปี 2533</t>
        </is>
      </c>
    </row>
    <row r="43" ht="13.2" customHeight="1" s="49">
      <c r="A43" s="8" t="inlineStr">
        <is>
          <t>41</t>
        </is>
      </c>
      <c r="B43" s="2" t="inlineStr">
        <is>
          <t>จากข้อ 9 พบว่า odds ratio ของผู้ที่มีประวัติการมีเพศสัมพันธ์มาก่อนเทียบกับผู้ที่ไม่มีเพศสัมพันธ์มาก่อนเท่ากับ</t>
        </is>
      </c>
      <c r="C43" s="2" t="n"/>
      <c r="D43" s="2" t="inlineStr">
        <is>
          <t>8 (95% CI 2.4-9.8) หมายความว่าอย่างไร โรคระบบประสาท (Parkinson) สถานการณ์</t>
        </is>
      </c>
      <c r="E43" s="2" t="inlineStr">
        <is>
          <t>Cost-Effectiveness Analysis (Incremental Cost-Effectiveness Ratio: ICER)</t>
        </is>
      </c>
      <c r="F43" s="2" t="inlineStr">
        <is>
          <t>Cost-Utility Analysis (Quality-Adjusted Life Years: QALY)</t>
        </is>
      </c>
      <c r="G43" s="2" t="inlineStr">
        <is>
          <t>Cost-Benefit Analysis (Net Monetary Benefit)</t>
        </is>
      </c>
      <c r="H43" s="2" t="inlineStr">
        <is>
          <t>Cost-Minimization Analysis (CMA)</t>
        </is>
      </c>
      <c r="I43" s="8" t="inlineStr">
        <is>
          <t>1</t>
        </is>
      </c>
      <c r="J43" s="2"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สถิติวิเคราะห์</t>
        </is>
      </c>
      <c r="M43" s="2" t="inlineStr">
        <is>
          <t>SAP</t>
        </is>
      </c>
      <c r="N43" s="2" t="inlineStr">
        <is>
          <t>ข้อ 10 (PLE_CC1_2533.md)</t>
        </is>
      </c>
      <c r="O43" s="2" t="inlineStr">
        <is>
          <t>ข้อสอบจริง</t>
        </is>
      </c>
      <c r="P43" s="2" t="inlineStr">
        <is>
          <t>ปี 2533</t>
        </is>
      </c>
    </row>
    <row r="44" ht="13.2" customHeight="1" s="49">
      <c r="A44" s="8" t="inlineStr">
        <is>
          <t>42</t>
        </is>
      </c>
      <c r="B44" s="2" t="inlineStr">
        <is>
          <t>ระเบียบวิจัยและสถิติ 384 390</t>
        </is>
      </c>
      <c r="C44" s="2" t="n"/>
      <c r="D44" s="2" t="inlineStr">
        <is>
          <t>Cost-Benefit Analysis (Net Monetary Benefit)</t>
        </is>
      </c>
      <c r="E44" s="2" t="inlineStr">
        <is>
          <t>Cost-Minimization Analysis (CMA)</t>
        </is>
      </c>
      <c r="F44" s="2" t="inlineStr">
        <is>
          <t>Student t-test for comparing two independent means</t>
        </is>
      </c>
      <c r="G44" s="2" t="inlineStr">
        <is>
          <t>Chi-Square Test for Categorical Independence (p &lt; 0.05)</t>
        </is>
      </c>
      <c r="H44" s="2" t="inlineStr">
        <is>
          <t>Randomized Controlled Trial (Double-blind RCT)</t>
        </is>
      </c>
      <c r="I44" s="8" t="inlineStr">
        <is>
          <t>5</t>
        </is>
      </c>
      <c r="J44" s="2"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รูปแบบการวิจัยทางคลินิก</t>
        </is>
      </c>
      <c r="M44" s="2" t="inlineStr">
        <is>
          <t>SAP</t>
        </is>
      </c>
      <c r="N44" s="2" t="inlineStr">
        <is>
          <t>ข้อ 19 (PLE_CC1_Practice_Exam.md)</t>
        </is>
      </c>
      <c r="O44" s="2" t="inlineStr">
        <is>
          <t>Mock</t>
        </is>
      </c>
      <c r="P44" s="2" t="inlineStr">
        <is>
          <t>Mock สภาเภสัชฯ Practice</t>
        </is>
      </c>
    </row>
    <row r="45" ht="13.2" customHeight="1" s="49">
      <c r="A45" s="8" t="inlineStr">
        <is>
          <t>43</t>
        </is>
      </c>
      <c r="B45" s="2" t="inlineStr">
        <is>
          <t>ข้อใดบ่งบอกว่าผู้ป่วยรายนี้เป็น Myocardial Infarction</t>
        </is>
      </c>
      <c r="C45" s="2" t="n"/>
      <c r="D45" s="2" t="inlineStr">
        <is>
          <t>อาการเจ็บร้าวไปที่แขน ไหล่ หลัง</t>
        </is>
      </c>
      <c r="E45" s="2" t="inlineStr">
        <is>
          <t>ตรวจพบ Cardiac enzymes ในกระแสเลือด</t>
        </is>
      </c>
      <c r="F45" s="2" t="inlineStr">
        <is>
          <t>มีค่า Ejection fraction ลดลง</t>
        </is>
      </c>
      <c r="G45" s="2" t="inlineStr">
        <is>
          <t>มีอาการเจ็บเค้นหน้าอกเฉียบพลันขณะพัก</t>
        </is>
      </c>
      <c r="H45" s="2" t="inlineStr">
        <is>
          <t>มีอาการเจ็บเค้นหน้าอกมากกว่า 5 นาที</t>
        </is>
      </c>
      <c r="I45" s="8" t="inlineStr">
        <is>
          <t>1</t>
        </is>
      </c>
      <c r="J45" s="2"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รูปแบบการวิจัยทางคลินิก</t>
        </is>
      </c>
      <c r="M45" s="2" t="inlineStr">
        <is>
          <t>SAP</t>
        </is>
      </c>
      <c r="N45" s="2" t="inlineStr">
        <is>
          <t>ข้อ 6 (PLE_CC1_Practice_Exam.md)</t>
        </is>
      </c>
      <c r="O45" s="2" t="inlineStr">
        <is>
          <t>Mock</t>
        </is>
      </c>
      <c r="P45" s="2" t="inlineStr">
        <is>
          <t>Mock สภาเภสัชฯ Practice</t>
        </is>
      </c>
    </row>
    <row r="46" ht="13.2" customHeight="1" s="49">
      <c r="A46" s="8" t="inlineStr">
        <is>
          <t>44</t>
        </is>
      </c>
      <c r="B46" s="2"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2" t="n"/>
      <c r="D46" s="2" t="inlineStr">
        <is>
          <t>Case-Control Study (Odds Ratio: OR)</t>
        </is>
      </c>
      <c r="E46" s="2" t="inlineStr">
        <is>
          <t>Cross-Sectional Survey Prevalence Study</t>
        </is>
      </c>
      <c r="F46" s="2" t="inlineStr">
        <is>
          <t>Cost-Effectiveness Analysis (Incremental Cost-Effectiveness Ratio: ICER)</t>
        </is>
      </c>
      <c r="G46" s="2" t="inlineStr">
        <is>
          <t>Cost-Utility Analysis (Quality-Adjusted Life Years: QALY)</t>
        </is>
      </c>
      <c r="H46" s="2" t="inlineStr">
        <is>
          <t>Cost-Benefit Analysis (Net Monetary Benefit)</t>
        </is>
      </c>
      <c r="I46" s="8" t="inlineStr">
        <is>
          <t>1</t>
        </is>
      </c>
      <c r="J4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รูปแบบการวิจัยทางคลินิก</t>
        </is>
      </c>
      <c r="M46" s="2" t="inlineStr">
        <is>
          <t>SAP</t>
        </is>
      </c>
      <c r="N46" s="2" t="inlineStr">
        <is>
          <t>ข้อ 40 (PLE_CC1_Practice_Exam.md)</t>
        </is>
      </c>
      <c r="O46" s="2" t="inlineStr">
        <is>
          <t>Mock</t>
        </is>
      </c>
      <c r="P46" s="2" t="inlineStr">
        <is>
          <t>Mock สภาเภสัชฯ Practice</t>
        </is>
      </c>
    </row>
    <row r="47" ht="13.2" customHeight="1" s="49">
      <c r="A47" s="8" t="inlineStr">
        <is>
          <t>45</t>
        </is>
      </c>
      <c r="B47" s="2" t="inlineStr">
        <is>
          <t>ระเบียบวิจัยและสถิติ โดย</t>
        </is>
      </c>
      <c r="C47" s="2" t="n"/>
      <c r="D47" s="2" t="inlineStr">
        <is>
          <t>Cost-Utility Analysis (Quality-Adjusted Life Years: QALY)</t>
        </is>
      </c>
      <c r="E47" s="2" t="inlineStr">
        <is>
          <t>Cost-Benefit Analysis (Net Monetary Benefit)</t>
        </is>
      </c>
      <c r="F47" s="2" t="inlineStr">
        <is>
          <t>Cost-Minimization Analysis (CMA)</t>
        </is>
      </c>
      <c r="G47" s="2" t="inlineStr">
        <is>
          <t>Student t-test for comparing two independent means</t>
        </is>
      </c>
      <c r="H47" s="2" t="inlineStr">
        <is>
          <t>Chi-Square Test for Categorical Independence (p &lt; 0.05)</t>
        </is>
      </c>
      <c r="I47" s="8" t="inlineStr">
        <is>
          <t>1</t>
        </is>
      </c>
      <c r="J4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รูปแบบการวิจัยทางคลินิก</t>
        </is>
      </c>
      <c r="M47" s="2" t="inlineStr">
        <is>
          <t>SAP</t>
        </is>
      </c>
      <c r="N47" s="2" t="inlineStr">
        <is>
          <t>ข้อ 19 (PLE_CC1_Practice_Exam.md)</t>
        </is>
      </c>
      <c r="O47" s="2" t="inlineStr">
        <is>
          <t>Mock</t>
        </is>
      </c>
      <c r="P47" s="2" t="inlineStr">
        <is>
          <t>Mock สภาเภสัชฯ Practice</t>
        </is>
      </c>
    </row>
    <row r="48" ht="13.2" customHeight="1" s="49">
      <c r="A48" s="8" t="inlineStr">
        <is>
          <t>46</t>
        </is>
      </c>
      <c r="B48" s="2"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2" t="n"/>
      <c r="D48" s="2" t="inlineStr">
        <is>
          <t>Cross-sectional descriptive study</t>
        </is>
      </c>
      <c r="E48" s="2" t="inlineStr">
        <is>
          <t>Cross-sectional analytical study</t>
        </is>
      </c>
      <c r="F48" s="2" t="inlineStr">
        <is>
          <t>Cohort study</t>
        </is>
      </c>
      <c r="G48" s="2" t="inlineStr">
        <is>
          <t>Case control</t>
        </is>
      </c>
      <c r="H48" s="2" t="inlineStr">
        <is>
          <t>RCT</t>
        </is>
      </c>
      <c r="I48" s="8" t="inlineStr">
        <is>
          <t>1</t>
        </is>
      </c>
      <c r="J48"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รูปแบบการวิจัยทางคลินิก</t>
        </is>
      </c>
      <c r="M48" s="2" t="inlineStr">
        <is>
          <t>SAP</t>
        </is>
      </c>
      <c r="N48" s="2" t="inlineStr">
        <is>
          <t>ข้อ 1 (PLE_CC1_Practice_Exam.md)</t>
        </is>
      </c>
      <c r="O48" s="2" t="inlineStr">
        <is>
          <t>Mock</t>
        </is>
      </c>
      <c r="P48" s="2" t="inlineStr">
        <is>
          <t>Mock สภาเภสัชฯ Practice</t>
        </is>
      </c>
    </row>
    <row r="49" ht="13.2" customHeight="1" s="49">
      <c r="A49" s="8" t="inlineStr">
        <is>
          <t>47</t>
        </is>
      </c>
      <c r="B49" s="2"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2" t="n"/>
      <c r="D49" s="2" t="inlineStr">
        <is>
          <t>Cross-sectional descriptive study</t>
        </is>
      </c>
      <c r="E49" s="2" t="inlineStr">
        <is>
          <t>Cross-sectional analytical study</t>
        </is>
      </c>
      <c r="F49" s="2" t="inlineStr">
        <is>
          <t>Retrospective cohort study</t>
        </is>
      </c>
      <c r="G49" s="2" t="inlineStr">
        <is>
          <t>Prospective case control</t>
        </is>
      </c>
      <c r="H49" s="2" t="inlineStr">
        <is>
          <t>Randomized controlled trial</t>
        </is>
      </c>
      <c r="I49" s="8" t="inlineStr">
        <is>
          <t>1</t>
        </is>
      </c>
      <c r="J49"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รูปแบบการวิจัยทางคลินิก</t>
        </is>
      </c>
      <c r="M49" s="2" t="inlineStr">
        <is>
          <t>SAP</t>
        </is>
      </c>
      <c r="N49" s="2" t="inlineStr">
        <is>
          <t>ข้อ 2 (PLE_CC1_Practice_Exam.md)</t>
        </is>
      </c>
      <c r="O49" s="2" t="inlineStr">
        <is>
          <t>Mock</t>
        </is>
      </c>
      <c r="P49" s="2" t="inlineStr">
        <is>
          <t>Mock สภาเภสัชฯ Practice</t>
        </is>
      </c>
    </row>
    <row r="50" ht="13.2" customHeight="1" s="49">
      <c r="A50" s="8" t="inlineStr">
        <is>
          <t>48</t>
        </is>
      </c>
      <c r="B50" s="2"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2" t="n"/>
      <c r="D50" s="2" t="inlineStr">
        <is>
          <t>Meta-analysis , RCT</t>
        </is>
      </c>
      <c r="E50" s="2" t="inlineStr">
        <is>
          <t>Meta-analysis , Case control</t>
        </is>
      </c>
      <c r="F50" s="2" t="inlineStr">
        <is>
          <t>RCT , Cohort</t>
        </is>
      </c>
      <c r="G50" s="2" t="inlineStr">
        <is>
          <t>Cohort , Case control</t>
        </is>
      </c>
      <c r="H50" s="2" t="inlineStr">
        <is>
          <t>Cohort , Case series</t>
        </is>
      </c>
      <c r="I50" s="8" t="inlineStr">
        <is>
          <t>1</t>
        </is>
      </c>
      <c r="J50" s="2"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รูปแบบการวิจัยทางคลินิก</t>
        </is>
      </c>
      <c r="M50" s="2" t="inlineStr">
        <is>
          <t>SAP</t>
        </is>
      </c>
      <c r="N50" s="2" t="inlineStr">
        <is>
          <t>ข้อ 6 (PLE_CC1_Practice_Exam.md)</t>
        </is>
      </c>
      <c r="O50" s="2" t="inlineStr">
        <is>
          <t>Mock</t>
        </is>
      </c>
      <c r="P50" s="2" t="inlineStr">
        <is>
          <t>Mock สภาเภสัชฯ Practice</t>
        </is>
      </c>
    </row>
    <row r="51" ht="13.2" customHeight="1" s="49">
      <c r="A51" s="8" t="inlineStr">
        <is>
          <t>49</t>
        </is>
      </c>
      <c r="B51" s="2" t="inlineStr">
        <is>
          <t>.ถ้าอยากหาความสัมพันธ์ระหว่างไมเกรนกับปัจจัยความเครียด ควรเลือกใช้สถิติใด</t>
        </is>
      </c>
      <c r="C51" s="2" t="n"/>
      <c r="D51" s="2" t="inlineStr">
        <is>
          <t>Chi square test</t>
        </is>
      </c>
      <c r="E51" s="2" t="inlineStr">
        <is>
          <t>T-test</t>
        </is>
      </c>
      <c r="F51" s="2" t="inlineStr">
        <is>
          <t>ANOVA</t>
        </is>
      </c>
      <c r="G51" s="2" t="inlineStr">
        <is>
          <t>Correlation</t>
        </is>
      </c>
      <c r="H51" s="2" t="inlineStr">
        <is>
          <t>Regression</t>
        </is>
      </c>
      <c r="I51" s="8" t="inlineStr">
        <is>
          <t>1</t>
        </is>
      </c>
      <c r="J51" s="2"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รูปแบบการวิจัยทางคลินิก</t>
        </is>
      </c>
      <c r="M51" s="2" t="inlineStr">
        <is>
          <t>SAP</t>
        </is>
      </c>
      <c r="N51" s="2" t="inlineStr">
        <is>
          <t>ข้อ 10 (PLE_CC1_Practice_Exam.md)</t>
        </is>
      </c>
      <c r="O51" s="2" t="inlineStr">
        <is>
          <t>Mock</t>
        </is>
      </c>
      <c r="P51" s="2" t="inlineStr">
        <is>
          <t>Mock สภาเภสัชฯ Practice</t>
        </is>
      </c>
    </row>
    <row r="52" ht="13.2" customHeight="1" s="49">
      <c r="A52" s="8" t="inlineStr">
        <is>
          <t>50</t>
        </is>
      </c>
      <c r="B52" s="2"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2" t="n"/>
      <c r="D52" s="2" t="inlineStr">
        <is>
          <t>Unpaired t-test</t>
        </is>
      </c>
      <c r="E52" s="2" t="inlineStr">
        <is>
          <t>Paired t-test</t>
        </is>
      </c>
      <c r="F52" s="2" t="inlineStr">
        <is>
          <t>Chi-square test 386 ระเบียบวิจัยและสถิติ</t>
        </is>
      </c>
      <c r="G52" s="2" t="inlineStr">
        <is>
          <t>Analysis of variance</t>
        </is>
      </c>
      <c r="H52" s="2" t="inlineStr">
        <is>
          <t>Correlation</t>
        </is>
      </c>
      <c r="I52" s="8" t="inlineStr">
        <is>
          <t>1</t>
        </is>
      </c>
      <c r="J52"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รูปแบบการวิจัยทางคลินิก</t>
        </is>
      </c>
      <c r="M52" s="2" t="inlineStr">
        <is>
          <t>SAP</t>
        </is>
      </c>
      <c r="N52" s="2" t="inlineStr">
        <is>
          <t>ข้อ 11 (PLE_CC1_Practice_Exam.md)</t>
        </is>
      </c>
      <c r="O52" s="2" t="inlineStr">
        <is>
          <t>Mock</t>
        </is>
      </c>
      <c r="P52" s="2" t="inlineStr">
        <is>
          <t>Mock สภาเภสัชฯ Practice</t>
        </is>
      </c>
    </row>
    <row r="53" ht="13.2" customHeight="1" s="49">
      <c r="A53" s="8" t="inlineStr">
        <is>
          <t>51</t>
        </is>
      </c>
      <c r="B53" s="2"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2" t="n"/>
      <c r="D53" s="2" t="inlineStr">
        <is>
          <t>Unpaired t-test</t>
        </is>
      </c>
      <c r="E53" s="2" t="inlineStr">
        <is>
          <t>Paired t-test</t>
        </is>
      </c>
      <c r="F53" s="2" t="inlineStr">
        <is>
          <t>Chi-square test</t>
        </is>
      </c>
      <c r="G53" s="2" t="inlineStr">
        <is>
          <t>Analysis of variance</t>
        </is>
      </c>
      <c r="H53" s="2" t="inlineStr">
        <is>
          <t>Correlation</t>
        </is>
      </c>
      <c r="I53" s="8" t="inlineStr">
        <is>
          <t>1</t>
        </is>
      </c>
      <c r="J53"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รูปแบบการวิจัยทางคลินิก</t>
        </is>
      </c>
      <c r="M53" s="2" t="inlineStr">
        <is>
          <t>SAP</t>
        </is>
      </c>
      <c r="N53" s="2" t="inlineStr">
        <is>
          <t>ข้อ 12 (PLE_CC1_Practice_Exam.md)</t>
        </is>
      </c>
      <c r="O53" s="2" t="inlineStr">
        <is>
          <t>Mock</t>
        </is>
      </c>
      <c r="P53" s="2" t="inlineStr">
        <is>
          <t>Mock สภาเภสัชฯ Practice</t>
        </is>
      </c>
    </row>
    <row r="54" ht="13.2" customHeight="1" s="49">
      <c r="A54" s="8" t="inlineStr">
        <is>
          <t>52</t>
        </is>
      </c>
      <c r="B54" s="2"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2" t="n"/>
      <c r="D54" s="2" t="inlineStr">
        <is>
          <t>Unpaired t-test</t>
        </is>
      </c>
      <c r="E54" s="2" t="inlineStr">
        <is>
          <t>Paired t-test</t>
        </is>
      </c>
      <c r="F54" s="2" t="inlineStr">
        <is>
          <t>Chi-square test</t>
        </is>
      </c>
      <c r="G54" s="2" t="inlineStr">
        <is>
          <t>Analysis of variance</t>
        </is>
      </c>
      <c r="H54" s="2" t="inlineStr">
        <is>
          <t>Correlation</t>
        </is>
      </c>
      <c r="I54" s="8" t="inlineStr">
        <is>
          <t>1</t>
        </is>
      </c>
      <c r="J54"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รูปแบบการวิจัยทางคลินิก</t>
        </is>
      </c>
      <c r="M54" s="2" t="inlineStr">
        <is>
          <t>SAP</t>
        </is>
      </c>
      <c r="N54" s="2" t="inlineStr">
        <is>
          <t>ข้อ 13 (PLE_CC1_Practice_Exam.md)</t>
        </is>
      </c>
      <c r="O54" s="2" t="inlineStr">
        <is>
          <t>Mock</t>
        </is>
      </c>
      <c r="P54" s="2" t="inlineStr">
        <is>
          <t>Mock สภาเภสัชฯ Practice</t>
        </is>
      </c>
    </row>
    <row r="55" ht="13.2" customHeight="1" s="49">
      <c r="A55" s="8" t="inlineStr">
        <is>
          <t>53</t>
        </is>
      </c>
      <c r="B55" s="2"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2" t="n"/>
      <c r="D55" s="2" t="inlineStr">
        <is>
          <t>Unpaired t-test</t>
        </is>
      </c>
      <c r="E55" s="2" t="inlineStr">
        <is>
          <t>Paired t-test</t>
        </is>
      </c>
      <c r="F55" s="2" t="inlineStr">
        <is>
          <t>Chi-square test</t>
        </is>
      </c>
      <c r="G55" s="2" t="inlineStr">
        <is>
          <t>One-way ANOVA</t>
        </is>
      </c>
      <c r="H55" s="2" t="inlineStr">
        <is>
          <t>Correlation</t>
        </is>
      </c>
      <c r="I55" s="8" t="inlineStr">
        <is>
          <t>1</t>
        </is>
      </c>
      <c r="J55"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รูปแบบการวิจัยทางคลินิก</t>
        </is>
      </c>
      <c r="M55" s="2" t="inlineStr">
        <is>
          <t>SAP</t>
        </is>
      </c>
      <c r="N55" s="2" t="inlineStr">
        <is>
          <t>ข้อ 14 (PLE_CC1_Practice_Exam.md)</t>
        </is>
      </c>
      <c r="O55" s="2" t="inlineStr">
        <is>
          <t>Mock</t>
        </is>
      </c>
      <c r="P55" s="2" t="inlineStr">
        <is>
          <t>Mock สภาเภสัชฯ Practice</t>
        </is>
      </c>
    </row>
    <row r="56" ht="13.2" customHeight="1" s="49">
      <c r="A56" s="8" t="inlineStr">
        <is>
          <t>54</t>
        </is>
      </c>
      <c r="B56" s="2"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2" t="n"/>
      <c r="D56" s="2" t="inlineStr">
        <is>
          <t>Unpaired t-test</t>
        </is>
      </c>
      <c r="E56" s="2" t="inlineStr">
        <is>
          <t>Paired t-test</t>
        </is>
      </c>
      <c r="F56" s="2" t="inlineStr">
        <is>
          <t>Chi-square test 387 ระเบียบวิจัยและสถิติ</t>
        </is>
      </c>
      <c r="G56" s="2" t="inlineStr">
        <is>
          <t>One-way ANOVA</t>
        </is>
      </c>
      <c r="H56" s="2" t="inlineStr">
        <is>
          <t>Two-way ANOVA</t>
        </is>
      </c>
      <c r="I56" s="8" t="inlineStr">
        <is>
          <t>1</t>
        </is>
      </c>
      <c r="J56"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รูปแบบการวิจัยทางคลินิก</t>
        </is>
      </c>
      <c r="M56" s="2" t="inlineStr">
        <is>
          <t>SAP</t>
        </is>
      </c>
      <c r="N56" s="2" t="inlineStr">
        <is>
          <t>ข้อ 15 (PLE_CC1_Practice_Exam.md)</t>
        </is>
      </c>
      <c r="O56" s="2" t="inlineStr">
        <is>
          <t>Mock</t>
        </is>
      </c>
      <c r="P56" s="2" t="inlineStr">
        <is>
          <t>Mock สภาเภสัชฯ Practice</t>
        </is>
      </c>
    </row>
    <row r="57" ht="13.2" customHeight="1" s="49">
      <c r="A57" s="8" t="inlineStr">
        <is>
          <t>55</t>
        </is>
      </c>
      <c r="B57" s="2"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2" t="n"/>
      <c r="D57" s="2" t="inlineStr">
        <is>
          <t>Unpaired t-test</t>
        </is>
      </c>
      <c r="E57" s="2" t="inlineStr">
        <is>
          <t>Paired t-test</t>
        </is>
      </c>
      <c r="F57" s="2" t="inlineStr">
        <is>
          <t>Chi-square test</t>
        </is>
      </c>
      <c r="G57" s="2" t="inlineStr">
        <is>
          <t>One-way ANOVA</t>
        </is>
      </c>
      <c r="H57" s="2" t="inlineStr">
        <is>
          <t>Two-way ANOVA</t>
        </is>
      </c>
      <c r="I57" s="8" t="inlineStr">
        <is>
          <t>1</t>
        </is>
      </c>
      <c r="J57"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รูปแบบการวิจัยทางคลินิก</t>
        </is>
      </c>
      <c r="M57" s="2" t="inlineStr">
        <is>
          <t>SAP</t>
        </is>
      </c>
      <c r="N57" s="2" t="inlineStr">
        <is>
          <t>ข้อ 16 (PLE_CC1_Practice_Exam.md)</t>
        </is>
      </c>
      <c r="O57" s="2" t="inlineStr">
        <is>
          <t>Mock</t>
        </is>
      </c>
      <c r="P57" s="2" t="inlineStr">
        <is>
          <t>Mock สภาเภสัชฯ Practice</t>
        </is>
      </c>
    </row>
    <row r="58" ht="13.2" customHeight="1" s="49">
      <c r="A58" s="8" t="inlineStr">
        <is>
          <t>56</t>
        </is>
      </c>
      <c r="B58" s="2"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2" t="n"/>
      <c r="D58" s="2" t="inlineStr">
        <is>
          <t>Chi-square test</t>
        </is>
      </c>
      <c r="E58" s="2" t="inlineStr">
        <is>
          <t>Unpaired t-test</t>
        </is>
      </c>
      <c r="F58" s="2" t="inlineStr">
        <is>
          <t>Paired t-test 388 ระเบียบวิจัยและสถิติ</t>
        </is>
      </c>
      <c r="G58" s="2" t="inlineStr">
        <is>
          <t>ANOVA</t>
        </is>
      </c>
      <c r="H58" s="2" t="inlineStr">
        <is>
          <t>Correlation</t>
        </is>
      </c>
      <c r="I58" s="8" t="inlineStr">
        <is>
          <t>1</t>
        </is>
      </c>
      <c r="J58" s="2"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รูปแบบการวิจัยทางคลินิก</t>
        </is>
      </c>
      <c r="M58" s="2" t="inlineStr">
        <is>
          <t>SAP</t>
        </is>
      </c>
      <c r="N58" s="2" t="inlineStr">
        <is>
          <t>ข้อ 18 (PLE_CC1_Practice_Exam.md)</t>
        </is>
      </c>
      <c r="O58" s="2" t="inlineStr">
        <is>
          <t>Mock</t>
        </is>
      </c>
      <c r="P58" s="2" t="inlineStr">
        <is>
          <t>Mock สภาเภสัชฯ Practice</t>
        </is>
      </c>
    </row>
    <row r="59" ht="13.2" customHeight="1" s="49">
      <c r="A59" s="8" t="inlineStr">
        <is>
          <t>57</t>
        </is>
      </c>
      <c r="B59" s="2"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2" t="n"/>
      <c r="D59" s="2" t="inlineStr">
        <is>
          <t>Unpaired t-test</t>
        </is>
      </c>
      <c r="E59" s="2" t="inlineStr">
        <is>
          <t>Paired t-test</t>
        </is>
      </c>
      <c r="F59" s="2" t="inlineStr">
        <is>
          <t>Chi-square test</t>
        </is>
      </c>
      <c r="G59" s="2" t="inlineStr">
        <is>
          <t>One way ANOVA</t>
        </is>
      </c>
      <c r="H59" s="2" t="inlineStr">
        <is>
          <t>Three way ANOVA 389 ระเบียบวิจัยและสถิติ</t>
        </is>
      </c>
      <c r="I59" s="8" t="inlineStr">
        <is>
          <t>5</t>
        </is>
      </c>
      <c r="J59" s="2" t="inlineStr">
        <is>
          <t xml:space="preserve">✅ คำตอบที่ถูกต้อง: ข้อ จ. Three way ANOVA 389 ระเบียบวิจัยและสถิติ ฝ่ายวิชาการและนักศึกษาชั้นปีที่ 4 คณะเภสัชศาสตร์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t>
        </is>
      </c>
      <c r="K59" s="2" t="n"/>
      <c r="L59" s="2" t="inlineStr">
        <is>
          <t>รูปแบบการวิจัยทางคลินิก</t>
        </is>
      </c>
      <c r="M59" s="2" t="inlineStr">
        <is>
          <t>SAP</t>
        </is>
      </c>
      <c r="N59" s="2" t="inlineStr">
        <is>
          <t>ข้อ 20 (PLE_CC1_Practice_Exam.md)</t>
        </is>
      </c>
      <c r="O59" s="2" t="inlineStr">
        <is>
          <t>Mock</t>
        </is>
      </c>
      <c r="P59" s="2" t="inlineStr">
        <is>
          <t>Mock สภาเภสัชฯ Practice</t>
        </is>
      </c>
    </row>
    <row r="60" ht="13.2" customHeight="1" s="49">
      <c r="A60" s="8" t="inlineStr">
        <is>
          <t>58</t>
        </is>
      </c>
      <c r="B60" s="2" t="inlineStr">
        <is>
          <t>Peak plasma drug concentration (Cmax)</t>
        </is>
      </c>
      <c r="C60" s="2" t="n"/>
      <c r="D60" s="2" t="inlineStr">
        <is>
          <t>Cost-Effectiveness Analysis (Incremental Cost-Effectiveness Ratio: ICER)</t>
        </is>
      </c>
      <c r="E60" s="2" t="inlineStr">
        <is>
          <t>Cost-Utility Analysis (Quality-Adjusted Life Years: QALY)</t>
        </is>
      </c>
      <c r="F60" s="2" t="inlineStr">
        <is>
          <t>Cost-Benefit Analysis (Net Monetary Benefit)</t>
        </is>
      </c>
      <c r="G60" s="2" t="inlineStr">
        <is>
          <t>Cost-Minimization Analysis (CMA)</t>
        </is>
      </c>
      <c r="H60" s="2" t="inlineStr">
        <is>
          <t>Student t-test for comparing two independent means</t>
        </is>
      </c>
      <c r="I60" s="8" t="inlineStr">
        <is>
          <t>1</t>
        </is>
      </c>
      <c r="J6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วิธีประเมินต้นทุนและประสิทธิผล</t>
        </is>
      </c>
      <c r="M60" s="2" t="inlineStr">
        <is>
          <t>SAP</t>
        </is>
      </c>
      <c r="N60" s="2" t="inlineStr">
        <is>
          <t>ข้อ 2 (PLE_CC1_Key_Rx20_UBU.md)</t>
        </is>
      </c>
      <c r="O60" s="2" t="inlineStr">
        <is>
          <t>Mock</t>
        </is>
      </c>
      <c r="P60" s="2" t="inlineStr">
        <is>
          <t>Mock Rx20 UBU</t>
        </is>
      </c>
    </row>
    <row r="61" ht="13.2" customHeight="1" s="49">
      <c r="A61" s="8" t="inlineStr">
        <is>
          <t>59</t>
        </is>
      </c>
      <c r="B61" s="2"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2" t="n"/>
      <c r="D61" s="2" t="inlineStr">
        <is>
          <t>Cost-Minimization Analysis (CMA)</t>
        </is>
      </c>
      <c r="E61" s="2" t="inlineStr">
        <is>
          <t>Student t-test for comparing two independent means</t>
        </is>
      </c>
      <c r="F61" s="2" t="inlineStr">
        <is>
          <t>Chi-Square Test for Categorical Independence (p &lt; 0.05)</t>
        </is>
      </c>
      <c r="G61" s="2" t="inlineStr">
        <is>
          <t>Randomized Controlled Trial (Double-blind RCT)</t>
        </is>
      </c>
      <c r="H61" s="2" t="inlineStr">
        <is>
          <t>Prospective Cohort Study (Relative Risk: RR)</t>
        </is>
      </c>
      <c r="I61" s="8" t="inlineStr">
        <is>
          <t>1</t>
        </is>
      </c>
      <c r="J6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รูปแบบการวิจัยทางคลินิก</t>
        </is>
      </c>
      <c r="M61" s="2" t="inlineStr">
        <is>
          <t>SAP</t>
        </is>
      </c>
      <c r="N61" s="2" t="inlineStr">
        <is>
          <t>ข้อ 13 (PLE_CC1_Key_Rx20_UBU.md)</t>
        </is>
      </c>
      <c r="O61" s="2" t="inlineStr">
        <is>
          <t>Mock</t>
        </is>
      </c>
      <c r="P61" s="2" t="inlineStr">
        <is>
          <t>Mock Rx20 UBU</t>
        </is>
      </c>
    </row>
    <row r="62" ht="13.2" customHeight="1" s="49">
      <c r="A62" s="8" t="inlineStr">
        <is>
          <t>60</t>
        </is>
      </c>
      <c r="B62" s="2" t="inlineStr">
        <is>
          <t>สำนักงานวิจัยระบบสาธารณสุข (สวรส.)</t>
        </is>
      </c>
      <c r="C62" s="2" t="n"/>
      <c r="D62" s="2" t="inlineStr">
        <is>
          <t>Randomized Controlled Trial (Double-blind RCT)</t>
        </is>
      </c>
      <c r="E62" s="2" t="inlineStr">
        <is>
          <t>Prospective Cohort Study (Relative Risk: RR)</t>
        </is>
      </c>
      <c r="F62" s="2" t="inlineStr">
        <is>
          <t>Case-Control Study (Odds Ratio: OR)</t>
        </is>
      </c>
      <c r="G62" s="2" t="inlineStr">
        <is>
          <t>Cross-Sectional Survey Prevalence Study</t>
        </is>
      </c>
      <c r="H62" s="2" t="inlineStr">
        <is>
          <t>Cost-Effectiveness Analysis (Incremental Cost-Effectiveness Ratio: ICER)</t>
        </is>
      </c>
      <c r="I62" s="8" t="inlineStr">
        <is>
          <t>1</t>
        </is>
      </c>
      <c r="J6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รูปแบบการวิจัยทางคลินิก</t>
        </is>
      </c>
      <c r="M62" s="2" t="inlineStr">
        <is>
          <t>SAP</t>
        </is>
      </c>
      <c r="N62" s="2" t="inlineStr">
        <is>
          <t>ข้อ 1 (PLE_CC1_Key_Rx20_UBU.md)</t>
        </is>
      </c>
      <c r="O62" s="2" t="inlineStr">
        <is>
          <t>Mock</t>
        </is>
      </c>
      <c r="P62" s="2" t="inlineStr">
        <is>
          <t>Mock Rx20 UBU</t>
        </is>
      </c>
    </row>
    <row r="63" ht="13.2" customHeight="1" s="49">
      <c r="A63" s="8" t="inlineStr">
        <is>
          <t>61</t>
        </is>
      </c>
      <c r="B63" s="2"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2" t="n"/>
      <c r="D63" s="2" t="inlineStr">
        <is>
          <t>Cross-Sectional Survey Prevalence Study</t>
        </is>
      </c>
      <c r="E63" s="2" t="inlineStr">
        <is>
          <t>Cost-Effectiveness Analysis (Incremental Cost-Effectiveness Ratio: ICER)</t>
        </is>
      </c>
      <c r="F63" s="2" t="inlineStr">
        <is>
          <t>Cost-Utility Analysis (Quality-Adjusted Life Years: QALY)</t>
        </is>
      </c>
      <c r="G63" s="2" t="inlineStr">
        <is>
          <t>Cost-Benefit Analysis (Net Monetary Benefit)</t>
        </is>
      </c>
      <c r="H63" s="2" t="inlineStr">
        <is>
          <t>Cost-Minimization Analysis (CMA)</t>
        </is>
      </c>
      <c r="I63" s="8" t="inlineStr">
        <is>
          <t>1</t>
        </is>
      </c>
      <c r="J6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รูปแบบการวิจัยทางคลินิก</t>
        </is>
      </c>
      <c r="M63" s="2" t="inlineStr">
        <is>
          <t>SAP</t>
        </is>
      </c>
      <c r="N63" s="2" t="inlineStr">
        <is>
          <t>ข้อ 4 (PLE_CC1_Key_Rx20_UBU.md)</t>
        </is>
      </c>
      <c r="O63" s="2" t="inlineStr">
        <is>
          <t>Mock</t>
        </is>
      </c>
      <c r="P63" s="2" t="inlineStr">
        <is>
          <t>Mock Rx20 UBU</t>
        </is>
      </c>
    </row>
    <row r="64" ht="13.2" customHeight="1" s="49">
      <c r="A64" s="8" t="inlineStr">
        <is>
          <t>62</t>
        </is>
      </c>
      <c r="B64" s="2" t="inlineStr">
        <is>
          <t>ยาใดตGอไปนี้ ไมGมีผลลดอัตราการตายสำหรับผู$ป&amp;วย myocardial infarction</t>
        </is>
      </c>
      <c r="C64" s="2" t="n"/>
      <c r="D64" s="2" t="inlineStr">
        <is>
          <t>Simvastatin</t>
        </is>
      </c>
      <c r="E64" s="2" t="inlineStr">
        <is>
          <t>Enalapril</t>
        </is>
      </c>
      <c r="F64" s="2" t="inlineStr">
        <is>
          <t>Aspirin</t>
        </is>
      </c>
      <c r="G64" s="2" t="inlineStr">
        <is>
          <t>Clopidogrel</t>
        </is>
      </c>
      <c r="H64" s="2"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t>
        </is>
      </c>
      <c r="I64" s="8" t="inlineStr">
        <is>
          <t>5</t>
        </is>
      </c>
      <c r="J64" s="2"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รูปแบบการวิจัยทางคลินิก</t>
        </is>
      </c>
      <c r="M64" s="2" t="inlineStr">
        <is>
          <t>SAP</t>
        </is>
      </c>
      <c r="N64" s="2" t="inlineStr">
        <is>
          <t>ข้อ 27 (PLE_CC1_Key_Rx20_UBU.md)</t>
        </is>
      </c>
      <c r="O64" s="2" t="inlineStr">
        <is>
          <t>Mock</t>
        </is>
      </c>
      <c r="P64" s="2" t="inlineStr">
        <is>
          <t>Mock Rx20 UBU</t>
        </is>
      </c>
    </row>
    <row r="65" ht="13.2" customHeight="1" s="49">
      <c r="A65" s="8" t="inlineStr">
        <is>
          <t>63</t>
        </is>
      </c>
      <c r="B65" s="2" t="inlineStr">
        <is>
          <t>ยาในข$อใดสามารถใช$เปญนยาปนองกัน (primary prophylaxis) สำหรับภาวะ variceal bleeding (1) Octreotide (2) Pantoprazole (3) Somatostatin (4) Propranolol (5) Lactulose</t>
        </is>
      </c>
      <c r="C65" s="2" t="n"/>
      <c r="D65" s="2" t="inlineStr">
        <is>
          <t>Chi-Square Test for Categorical Independence (p &lt; 0.05)</t>
        </is>
      </c>
      <c r="E65" s="2" t="inlineStr">
        <is>
          <t>Randomized Controlled Trial (Double-blind RCT)</t>
        </is>
      </c>
      <c r="F65" s="2" t="inlineStr">
        <is>
          <t>Prospective Cohort Study (Relative Risk: RR)</t>
        </is>
      </c>
      <c r="G65" s="2" t="inlineStr">
        <is>
          <t>Case-Control Study (Odds Ratio: OR)</t>
        </is>
      </c>
      <c r="H65" s="2" t="inlineStr">
        <is>
          <t>Cross-Sectional Survey Prevalence Study</t>
        </is>
      </c>
      <c r="I65" s="8" t="inlineStr">
        <is>
          <t>1</t>
        </is>
      </c>
      <c r="J6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วิธีประเมินต้นทุนและประสิทธิผล</t>
        </is>
      </c>
      <c r="M65" s="2" t="inlineStr">
        <is>
          <t>SAP</t>
        </is>
      </c>
      <c r="N65" s="2" t="inlineStr">
        <is>
          <t>ข้อ 56 (PLE_CC1_Key_Rx20_UBU.md)</t>
        </is>
      </c>
      <c r="O65" s="2" t="inlineStr">
        <is>
          <t>Mock</t>
        </is>
      </c>
      <c r="P65" s="2" t="inlineStr">
        <is>
          <t>Mock Rx20 UBU</t>
        </is>
      </c>
    </row>
    <row r="66" ht="13.2" customHeight="1" s="49">
      <c r="A66" s="8" t="inlineStr">
        <is>
          <t>64</t>
        </is>
      </c>
      <c r="B66" s="2"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2" t="n"/>
      <c r="D66" s="2" t="inlineStr">
        <is>
          <t>Case-Control Study (Odds Ratio: OR)</t>
        </is>
      </c>
      <c r="E66" s="2" t="inlineStr">
        <is>
          <t>Cross-Sectional Survey Prevalence Study</t>
        </is>
      </c>
      <c r="F66" s="2" t="inlineStr">
        <is>
          <t>Cost-Effectiveness Analysis (Incremental Cost-Effectiveness Ratio: ICER)</t>
        </is>
      </c>
      <c r="G66" s="2" t="inlineStr">
        <is>
          <t>Cost-Utility Analysis (Quality-Adjusted Life Years: QALY)</t>
        </is>
      </c>
      <c r="H66" s="2" t="inlineStr">
        <is>
          <t>Cost-Benefit Analysis (Net Monetary Benefit)</t>
        </is>
      </c>
      <c r="I66" s="8" t="inlineStr">
        <is>
          <t>1</t>
        </is>
      </c>
      <c r="J66" s="2"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วิธีประเมินต้นทุนและประสิทธิผล</t>
        </is>
      </c>
      <c r="M66" s="2" t="inlineStr">
        <is>
          <t>SAP</t>
        </is>
      </c>
      <c r="N66" s="2" t="inlineStr">
        <is>
          <t>ข้อ 84 (PLE_CC1_Key_Rx20_UBU.md)</t>
        </is>
      </c>
      <c r="O66" s="2" t="inlineStr">
        <is>
          <t>Mock</t>
        </is>
      </c>
      <c r="P66" s="2" t="inlineStr">
        <is>
          <t>Mock Rx20 UBU</t>
        </is>
      </c>
    </row>
    <row r="67" ht="13.2" customHeight="1" s="49">
      <c r="A67" s="8" t="inlineStr">
        <is>
          <t>65</t>
        </is>
      </c>
      <c r="B67" s="2" t="inlineStr">
        <is>
          <t>(โจทย_ถามรูปแบบการทดลองที่ให$ข$อมูลที่นGาเชื่อถือที่สุด) RCT</t>
        </is>
      </c>
      <c r="C67" s="2" t="n"/>
      <c r="D67" s="2" t="inlineStr">
        <is>
          <t>Cost-Utility Analysis (Quality-Adjusted Life Years: QALY)</t>
        </is>
      </c>
      <c r="E67" s="2" t="inlineStr">
        <is>
          <t>Cost-Benefit Analysis (Net Monetary Benefit)</t>
        </is>
      </c>
      <c r="F67" s="2" t="inlineStr">
        <is>
          <t>Cost-Minimization Analysis (CMA)</t>
        </is>
      </c>
      <c r="G67" s="2" t="inlineStr">
        <is>
          <t>Student t-test for comparing two independent means</t>
        </is>
      </c>
      <c r="H67" s="2" t="inlineStr">
        <is>
          <t>Chi-Square Test for Categorical Independence (p &lt; 0.05)</t>
        </is>
      </c>
      <c r="I67" s="8" t="inlineStr">
        <is>
          <t>1</t>
        </is>
      </c>
      <c r="J6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รูปแบบการวิจัยทางคลินิก</t>
        </is>
      </c>
      <c r="M67" s="2" t="inlineStr">
        <is>
          <t>SAP</t>
        </is>
      </c>
      <c r="N67" s="2" t="inlineStr">
        <is>
          <t>ข้อ 39 (PLE_CC1_Key_Rx20_UBU.md)</t>
        </is>
      </c>
      <c r="O67" s="2" t="inlineStr">
        <is>
          <t>Mock</t>
        </is>
      </c>
      <c r="P67" s="2" t="inlineStr">
        <is>
          <t>Mock Rx20 UBU</t>
        </is>
      </c>
    </row>
    <row r="68" ht="13.2" customHeight="1" s="49">
      <c r="A68" s="8" t="inlineStr">
        <is>
          <t>66</t>
        </is>
      </c>
      <c r="B68" s="2" t="inlineStr">
        <is>
          <t>(โจทย_ให$แปลความหมายของ relative risk ให$คGา 0.88 95% CI ไมGครGอม 1) สถานการณ) 5</t>
        </is>
      </c>
      <c r="C68" s="2" t="n"/>
      <c r="D68" s="2" t="inlineStr">
        <is>
          <t>Student t-test for comparing two independent means</t>
        </is>
      </c>
      <c r="E68" s="2" t="inlineStr">
        <is>
          <t>Chi-Square Test for Categorical Independence (p &lt; 0.05)</t>
        </is>
      </c>
      <c r="F68" s="2" t="inlineStr">
        <is>
          <t>Randomized Controlled Trial (Double-blind RCT)</t>
        </is>
      </c>
      <c r="G68" s="2" t="inlineStr">
        <is>
          <t>Prospective Cohort Study (Relative Risk: RR)</t>
        </is>
      </c>
      <c r="H68" s="2" t="inlineStr">
        <is>
          <t>Case-Control Study (Odds Ratio: OR)</t>
        </is>
      </c>
      <c r="I68" s="8" t="inlineStr">
        <is>
          <t>1</t>
        </is>
      </c>
      <c r="J68"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สถิติวิเคราะห์</t>
        </is>
      </c>
      <c r="M68" s="2" t="inlineStr">
        <is>
          <t>SAP</t>
        </is>
      </c>
      <c r="N68" s="2" t="inlineStr">
        <is>
          <t>ข้อ 40 (PLE_CC1_Key_Rx20_UBU.md)</t>
        </is>
      </c>
      <c r="O68" s="2" t="inlineStr">
        <is>
          <t>Mock</t>
        </is>
      </c>
      <c r="P68" s="2" t="inlineStr">
        <is>
          <t>Mock Rx20 UBU</t>
        </is>
      </c>
    </row>
    <row r="69" ht="13.2" customHeight="1" s="49">
      <c r="A69" s="8" t="inlineStr">
        <is>
          <t>67</t>
        </is>
      </c>
      <c r="B69" s="2" t="inlineStr">
        <is>
          <t>มีคGา ICER สูง cost/unit of efficacy ใช$เงินน$อยๆ เพื่อให$ได$ outcome ที่ต$องการ</t>
        </is>
      </c>
      <c r="C69" s="2" t="n"/>
      <c r="D69" s="2" t="inlineStr">
        <is>
          <t>Prospective Cohort Study (Relative Risk: RR)</t>
        </is>
      </c>
      <c r="E69" s="2" t="inlineStr">
        <is>
          <t>Case-Control Study (Odds Ratio: OR)</t>
        </is>
      </c>
      <c r="F69" s="2" t="inlineStr">
        <is>
          <t>Cross-Sectional Survey Prevalence Study</t>
        </is>
      </c>
      <c r="G69" s="2" t="inlineStr">
        <is>
          <t>Cost-Effectiveness Analysis (Incremental Cost-Effectiveness Ratio: ICER)</t>
        </is>
      </c>
      <c r="H69" s="2" t="inlineStr">
        <is>
          <t>Cost-Utility Analysis (Quality-Adjusted Life Years: QALY)</t>
        </is>
      </c>
      <c r="I69" s="8" t="inlineStr">
        <is>
          <t>2</t>
        </is>
      </c>
      <c r="J69" s="2"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วิธีประเมินต้นทุนและประสิทธิผล</t>
        </is>
      </c>
      <c r="M69" s="2" t="inlineStr">
        <is>
          <t>SAP</t>
        </is>
      </c>
      <c r="N69" s="2" t="inlineStr">
        <is>
          <t>ข้อ 5 (PLE_CC1_Key_Rx20_UBU.md)</t>
        </is>
      </c>
      <c r="O69" s="2" t="inlineStr">
        <is>
          <t>Mock</t>
        </is>
      </c>
      <c r="P69" s="2" t="inlineStr">
        <is>
          <t>Mock Rx20 UBU</t>
        </is>
      </c>
    </row>
    <row r="70" ht="13.2" customHeight="1" s="49">
      <c r="A70" s="8" t="inlineStr">
        <is>
          <t>68</t>
        </is>
      </c>
      <c r="B70" s="2" t="inlineStr">
        <is>
          <t>จากสถิติพบวGาในป3 2556 มีผู$ป&amp;วยด$วยภาวะ..........22885 รายตGอประชากรหนึ่งแสนคน จำนวนดังกลGาวเรียกวGาอะไร</t>
        </is>
      </c>
      <c r="C70" s="2" t="n"/>
      <c r="D70" s="2" t="inlineStr">
        <is>
          <t>Cost-Effectiveness Analysis (Incremental Cost-Effectiveness Ratio: ICER)</t>
        </is>
      </c>
      <c r="E70" s="2" t="inlineStr">
        <is>
          <t>Cost-Utility Analysis (Quality-Adjusted Life Years: QALY)</t>
        </is>
      </c>
      <c r="F70" s="2" t="inlineStr">
        <is>
          <t>Cost-Benefit Analysis (Net Monetary Benefit)</t>
        </is>
      </c>
      <c r="G70" s="2" t="inlineStr">
        <is>
          <t>Cost-Minimization Analysis (CMA)</t>
        </is>
      </c>
      <c r="H70" s="2" t="inlineStr">
        <is>
          <t>Student t-test for comparing two independent means</t>
        </is>
      </c>
      <c r="I70" s="8" t="inlineStr">
        <is>
          <t>1</t>
        </is>
      </c>
      <c r="J7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รูปแบบการวิจัยทางคลินิก</t>
        </is>
      </c>
      <c r="M70" s="2" t="inlineStr">
        <is>
          <t>SAP</t>
        </is>
      </c>
      <c r="N70" s="2" t="inlineStr">
        <is>
          <t>ข้อ 105 (PLE_CC1_Key_Rx20_UBU.md)</t>
        </is>
      </c>
      <c r="O70" s="2" t="inlineStr">
        <is>
          <t>Mock</t>
        </is>
      </c>
      <c r="P70" s="2" t="inlineStr">
        <is>
          <t>Mock Rx20 UBU</t>
        </is>
      </c>
    </row>
    <row r="71" ht="13.2" customHeight="1" s="49">
      <c r="A71" s="8" t="inlineStr">
        <is>
          <t>69</t>
        </is>
      </c>
      <c r="B71" s="2"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2" t="n"/>
      <c r="D71" s="2" t="inlineStr">
        <is>
          <t>Cost-Minimization Analysis (CMA)</t>
        </is>
      </c>
      <c r="E71" s="2" t="inlineStr">
        <is>
          <t>Student t-test for comparing two independent means</t>
        </is>
      </c>
      <c r="F71" s="2" t="inlineStr">
        <is>
          <t>Chi-Square Test for Categorical Independence (p &lt; 0.05)</t>
        </is>
      </c>
      <c r="G71" s="2" t="inlineStr">
        <is>
          <t>Randomized Controlled Trial (Double-blind RCT)</t>
        </is>
      </c>
      <c r="H71" s="2" t="inlineStr">
        <is>
          <t>Prospective Cohort Study (Relative Risk: RR)</t>
        </is>
      </c>
      <c r="I71" s="8" t="inlineStr">
        <is>
          <t>2</t>
        </is>
      </c>
      <c r="J71" s="2"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สถิติวิเคราะห์</t>
        </is>
      </c>
      <c r="M71" s="2" t="inlineStr">
        <is>
          <t>SAP</t>
        </is>
      </c>
      <c r="N71" s="2" t="inlineStr">
        <is>
          <t>ข้อ 5 (PLE_CC1_Key_Rx20_UBU.md)</t>
        </is>
      </c>
      <c r="O71" s="2" t="inlineStr">
        <is>
          <t>Mock</t>
        </is>
      </c>
      <c r="P71" s="2" t="inlineStr">
        <is>
          <t>Mock Rx20 UBU</t>
        </is>
      </c>
    </row>
    <row r="72" ht="13.2" customHeight="1" s="49">
      <c r="A72" s="8" t="inlineStr">
        <is>
          <t>70</t>
        </is>
      </c>
      <c r="B72" s="2"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2" t="n"/>
      <c r="D72" s="2" t="inlineStr">
        <is>
          <t>Randomized Controlled Trial (Double-blind RCT)</t>
        </is>
      </c>
      <c r="E72" s="2" t="inlineStr">
        <is>
          <t>Prospective Cohort Study (Relative Risk: RR)</t>
        </is>
      </c>
      <c r="F72" s="2" t="inlineStr">
        <is>
          <t>Case-Control Study (Odds Ratio: OR)</t>
        </is>
      </c>
      <c r="G72" s="2" t="inlineStr">
        <is>
          <t>Cross-Sectional Survey Prevalence Study</t>
        </is>
      </c>
      <c r="H72" s="2" t="inlineStr">
        <is>
          <t>Cost-Effectiveness Analysis (Incremental Cost-Effectiveness Ratio: ICER)</t>
        </is>
      </c>
      <c r="I72" s="8" t="inlineStr">
        <is>
          <t>4</t>
        </is>
      </c>
      <c r="J72" s="2"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วิธีประเมินต้นทุนและประสิทธิผล</t>
        </is>
      </c>
      <c r="M72" s="2" t="inlineStr">
        <is>
          <t>SAP</t>
        </is>
      </c>
      <c r="N72" s="2" t="inlineStr">
        <is>
          <t>ข้อ 2 (PLE_CC1_Key_Rx20_UBU.md)</t>
        </is>
      </c>
      <c r="O72" s="2" t="inlineStr">
        <is>
          <t>Mock</t>
        </is>
      </c>
      <c r="P72" s="2" t="inlineStr">
        <is>
          <t>Mock Rx20 UBU</t>
        </is>
      </c>
    </row>
    <row r="73" ht="13.2" customHeight="1" s="49">
      <c r="A73" s="8" t="inlineStr">
        <is>
          <t>71</t>
        </is>
      </c>
      <c r="B73" s="2" t="inlineStr">
        <is>
          <t>Prospective Cohort study</t>
        </is>
      </c>
      <c r="C73" s="2" t="n"/>
      <c r="D73" s="2" t="inlineStr">
        <is>
          <t>Cross-Sectional Survey Prevalence Study</t>
        </is>
      </c>
      <c r="E73" s="2" t="inlineStr">
        <is>
          <t>Cost-Effectiveness Analysis (Incremental Cost-Effectiveness Ratio: ICER)</t>
        </is>
      </c>
      <c r="F73" s="2" t="inlineStr">
        <is>
          <t>Cost-Utility Analysis (Quality-Adjusted Life Years: QALY)</t>
        </is>
      </c>
      <c r="G73" s="2" t="inlineStr">
        <is>
          <t>Cost-Benefit Analysis (Net Monetary Benefit)</t>
        </is>
      </c>
      <c r="H73" s="2" t="inlineStr">
        <is>
          <t>Cost-Minimization Analysis (CMA)</t>
        </is>
      </c>
      <c r="I73" s="8" t="inlineStr">
        <is>
          <t>1</t>
        </is>
      </c>
      <c r="J7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รูปแบบการวิจัยทางคลินิก</t>
        </is>
      </c>
      <c r="M73" s="2" t="inlineStr">
        <is>
          <t>SAP</t>
        </is>
      </c>
      <c r="N73" s="2" t="inlineStr">
        <is>
          <t>ข้อ 5 (PLE_CC1_Key_Rx20_UBU.md)</t>
        </is>
      </c>
      <c r="O73" s="2" t="inlineStr">
        <is>
          <t>Mock</t>
        </is>
      </c>
      <c r="P73" s="2" t="inlineStr">
        <is>
          <t>Mock Rx20 UBU</t>
        </is>
      </c>
    </row>
    <row r="74" ht="13.2" customHeight="1" s="49">
      <c r="A74" s="8" t="inlineStr">
        <is>
          <t>72</t>
        </is>
      </c>
      <c r="B74" s="2"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2" t="n"/>
      <c r="D74" s="2" t="inlineStr">
        <is>
          <t>Cost-Benefit Analysis (Net Monetary Benefit)</t>
        </is>
      </c>
      <c r="E74" s="2" t="inlineStr">
        <is>
          <t>Cost-Minimization Analysis (CMA)</t>
        </is>
      </c>
      <c r="F74" s="2" t="inlineStr">
        <is>
          <t>Student t-test for comparing two independent means</t>
        </is>
      </c>
      <c r="G74" s="2" t="inlineStr">
        <is>
          <t>Chi-Square Test for Categorical Independence (p &lt; 0.05)</t>
        </is>
      </c>
      <c r="H74" s="2" t="inlineStr">
        <is>
          <t>Randomized Controlled Trial (Double-blind RCT)</t>
        </is>
      </c>
      <c r="I74" s="8" t="inlineStr">
        <is>
          <t>3</t>
        </is>
      </c>
      <c r="J74" s="2"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วิธีประเมินต้นทุนและประสิทธิผล</t>
        </is>
      </c>
      <c r="M74" s="2" t="inlineStr">
        <is>
          <t>SAP</t>
        </is>
      </c>
      <c r="N74" s="2" t="inlineStr">
        <is>
          <t>ข้อ 4 (PLE_CC1_Key_Rx20_UBU.md)</t>
        </is>
      </c>
      <c r="O74" s="2" t="inlineStr">
        <is>
          <t>Mock</t>
        </is>
      </c>
      <c r="P74" s="2" t="inlineStr">
        <is>
          <t>Mock Rx20 UBU</t>
        </is>
      </c>
    </row>
    <row r="75" ht="13.2" customHeight="1" s="49">
      <c r="A75" s="8" t="inlineStr">
        <is>
          <t>73</t>
        </is>
      </c>
      <c r="B75" s="2" t="inlineStr">
        <is>
          <t>โรงพยาบาลพิจารณาเลือกยา โดยดูความคุ้มค่าของยาพ่น A และ ยาพ่น B ข้อใดถูกต้อง (Threshold ของ โรงพยาบาล = 160,000/QALYs)</t>
        </is>
      </c>
      <c r="C75" s="2" t="n"/>
      <c r="D75" s="2" t="inlineStr">
        <is>
          <t>ยา A คุ้มค่ามากกว่า เนื่องจากมีปีสุขภาวะมากกว่า</t>
        </is>
      </c>
      <c r="E75" s="2" t="inlineStr">
        <is>
          <t>ยา A คุ้มค่ามากกว่ายา B เนื่องจากมีค่า ICER ติดลบ 8,000/QALYs</t>
        </is>
      </c>
      <c r="F75" s="2" t="inlineStr">
        <is>
          <t>ยา B คุ้มค่ามากกว่ายา A เนื่องจากต้นทุนถูกกว่า</t>
        </is>
      </c>
      <c r="G75" s="2" t="inlineStr">
        <is>
          <t>ยา B คุ้มค่ามากกว่ายา A เนื่องจากมีค่า ICER บวก 8,000/QALYs</t>
        </is>
      </c>
      <c r="H75" s="2"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t>
        </is>
      </c>
      <c r="I75" s="8" t="inlineStr">
        <is>
          <t>4</t>
        </is>
      </c>
      <c r="J75" s="2"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วิธีประเมินต้นทุนและประสิทธิผล</t>
        </is>
      </c>
      <c r="M75" s="2" t="inlineStr">
        <is>
          <t>SAP</t>
        </is>
      </c>
      <c r="N75" s="2" t="inlineStr">
        <is>
          <t>ข้อ 63 (PLE_CC1_Key_Rx20_UBU.md)</t>
        </is>
      </c>
      <c r="O75" s="2" t="inlineStr">
        <is>
          <t>Mock</t>
        </is>
      </c>
      <c r="P75" s="2" t="inlineStr">
        <is>
          <t>Mock Rx20 UBU</t>
        </is>
      </c>
    </row>
    <row r="76" ht="13.2" customHeight="1" s="49">
      <c r="A76" s="2" t="n">
        <v>130</v>
      </c>
      <c r="B76" s="2"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2" t="n"/>
      <c r="D76" s="2" t="inlineStr">
        <is>
          <t>Indirect cost (ต้นทุนทางอ้อม)</t>
        </is>
      </c>
      <c r="E76" s="2" t="inlineStr">
        <is>
          <t>Intangible cost (ต้นทุนที่ไม่สามารถวัดเป็นตัวเงินได้)</t>
        </is>
      </c>
      <c r="F76" s="2" t="inlineStr">
        <is>
          <t>Direct medical cost (ต้นทุนทางตรงทางการแพทย์)</t>
        </is>
      </c>
      <c r="G76" s="2" t="inlineStr">
        <is>
          <t>Direct non-medical cost (ต้นทุนทางตรงที่ไม่ใช่ทางการแพทย์)</t>
        </is>
      </c>
      <c r="H76" s="2" t="inlineStr">
        <is>
          <t>Opportunity cost (ต้นทุนค่าเสียโอกาสเชิงนโยบาย)</t>
        </is>
      </c>
      <c r="I76" s="8" t="inlineStr">
        <is>
          <t>1</t>
        </is>
      </c>
      <c r="J76" s="2"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2" t="n"/>
      <c r="L76" s="2" t="inlineStr">
        <is>
          <t>Research &amp; Biostats</t>
        </is>
      </c>
      <c r="M76" s="2" t="inlineStr">
        <is>
          <t>SAP</t>
        </is>
      </c>
      <c r="N76" s="2" t="inlineStr">
        <is>
          <t>PLE_CC1_2567_Key ข้อ 10</t>
        </is>
      </c>
      <c r="O76" s="2" t="inlineStr">
        <is>
          <t>ข้อสอบจริง</t>
        </is>
      </c>
      <c r="P76" s="2" t="inlineStr">
        <is>
          <t>ปี 2567</t>
        </is>
      </c>
    </row>
    <row r="77" ht="13.2" customHeight="1" s="49">
      <c r="A77" t="n">
        <v>131</v>
      </c>
      <c r="B77"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D77" t="inlineStr">
        <is>
          <t>การใช้ยา Lamivudine มีประสิทธิภาพป้องกันการเกิดภาวะตับอักเสบได้มากกว่า Tenofovir/Lamivudine</t>
        </is>
      </c>
      <c r="E77" t="inlineStr">
        <is>
          <t>ผลการศึกษาดังกล่าวแสดงถึง significance level ที่ 0.05 เนื่องจากค่า 95%CI ไม่คร่อม 1</t>
        </is>
      </c>
      <c r="F77" t="inlineStr">
        <is>
          <t>ควรทำการศึกษาเพิ่มเติม เนื่องจากผลของการศึกษา RR เข้าใกล้ 0.5</t>
        </is>
      </c>
      <c r="G77" t="inlineStr">
        <is>
          <t>จำนวนอาสาสมัครที่เข้าร่วมการศึกษามีจำนวนมากจนเกินไป ผลอาจทำให้คลาดเคลื่อนได้</t>
        </is>
      </c>
      <c r="H77" t="inlineStr">
        <is>
          <t>ถูกทุกข้อ</t>
        </is>
      </c>
      <c r="I77" t="inlineStr">
        <is>
          <t>1</t>
        </is>
      </c>
      <c r="J77"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7" t="inlineStr">
        <is>
          <t>Hypertension</t>
        </is>
      </c>
      <c r="M77" t="inlineStr">
        <is>
          <t>Clinic</t>
        </is>
      </c>
      <c r="N77" t="inlineStr">
        <is>
          <t>ข้อ 116 (Pharmtutor_2024_Set1.md)</t>
        </is>
      </c>
    </row>
    <row r="78" ht="13.2" customHeight="1" s="49">
      <c r="A78" t="n">
        <v>132</v>
      </c>
      <c r="B78"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D78" t="inlineStr">
        <is>
          <t>4 9.5</t>
        </is>
      </c>
      <c r="E78" t="inlineStr">
        <is>
          <t>9 Cough</t>
        </is>
      </c>
      <c r="F78" t="inlineStr">
        <is>
          <t>Empagliflozin 10 mg OD</t>
        </is>
      </c>
      <c r="G78" t="inlineStr">
        <is>
          <t>Diltiazem 30 mg TID</t>
        </is>
      </c>
      <c r="H78" t="inlineStr">
        <is>
          <t>0 ควรใช้สถิติใดสำหรับการวิเคราะห์ดังกล่าว</t>
        </is>
      </c>
      <c r="I78" t="inlineStr">
        <is>
          <t>1</t>
        </is>
      </c>
      <c r="J78"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8" t="inlineStr">
        <is>
          <t>Hypertension</t>
        </is>
      </c>
      <c r="M78" t="inlineStr">
        <is>
          <t>Clinic</t>
        </is>
      </c>
      <c r="N78" t="inlineStr">
        <is>
          <t>ข้อ 17 (PLE_CC1_Practice_Exam.md)</t>
        </is>
      </c>
    </row>
  </sheetData>
  <mergeCells count="1">
    <mergeCell ref="A1:F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49">
      <c r="A1" s="48">
        <f>HYPERLINK("#gid=0", "🏠 กลับสู่หน้าแรก (Go to Home Page)")</f>
        <v/>
      </c>
    </row>
    <row r="2" ht="21.6" customHeight="1" s="49">
      <c r="A2" s="3" t="inlineStr">
        <is>
          <t>Username</t>
        </is>
      </c>
      <c r="B2" s="3" t="inlineStr">
        <is>
          <t>Display Name</t>
        </is>
      </c>
      <c r="C2" s="3" t="inlineStr">
        <is>
          <t>Total Answered</t>
        </is>
      </c>
      <c r="D2" s="3" t="inlineStr">
        <is>
          <t>Total Correct</t>
        </is>
      </c>
      <c r="E2" s="3" t="inlineStr">
        <is>
          <t>Accuracy (%)</t>
        </is>
      </c>
      <c r="F2" s="3" t="inlineStr">
        <is>
          <t>Current Streak (Days)</t>
        </is>
      </c>
      <c r="G2" s="3" t="inlineStr">
        <is>
          <t>Last Active</t>
        </is>
      </c>
    </row>
    <row r="3" ht="13.2" customHeight="1" s="49">
      <c r="A3" s="2" t="inlineStr">
        <is>
          <t>maxnum</t>
        </is>
      </c>
      <c r="B3" s="2" t="inlineStr">
        <is>
          <t>Maxnum</t>
        </is>
      </c>
      <c r="C3" s="2" t="n">
        <v>17</v>
      </c>
      <c r="D3" s="2" t="n">
        <v>5</v>
      </c>
      <c r="E3" s="4" t="n">
        <v>0.29</v>
      </c>
      <c r="F3" s="2" t="n">
        <v>1</v>
      </c>
      <c r="G3" s="2" t="inlineStr">
        <is>
          <t>2026-09-24T14:17:16.289Z</t>
        </is>
      </c>
    </row>
    <row r="4" ht="13.2" customHeight="1" s="49">
      <c r="A4" s="2" t="inlineStr">
        <is>
          <t>chayanit</t>
        </is>
      </c>
      <c r="B4" s="2" t="inlineStr">
        <is>
          <t>idea</t>
        </is>
      </c>
      <c r="C4" s="2" t="n">
        <v>33</v>
      </c>
      <c r="D4" s="2" t="n">
        <v>26</v>
      </c>
      <c r="E4" s="4" t="n">
        <v>0.79</v>
      </c>
      <c r="F4" s="2" t="n">
        <v>1</v>
      </c>
      <c r="G4" s="2" t="inlineStr">
        <is>
          <t>2026-09-24T13:36:51.013Z</t>
        </is>
      </c>
    </row>
    <row r="5" ht="13.2" customHeight="1" s="49">
      <c r="A5" s="2" t="inlineStr">
        <is>
          <t>supichaya</t>
        </is>
      </c>
      <c r="B5" s="2" t="inlineStr">
        <is>
          <t>bt</t>
        </is>
      </c>
      <c r="C5" s="2" t="n">
        <v>0</v>
      </c>
      <c r="D5" s="2" t="n">
        <v>0</v>
      </c>
      <c r="E5" s="4" t="n">
        <v>0</v>
      </c>
      <c r="F5" s="2" t="n">
        <v>1</v>
      </c>
      <c r="G5" s="2" t="inlineStr">
        <is>
          <t>2026-09-24T13:18:00.422Z</t>
        </is>
      </c>
    </row>
    <row r="6" ht="13.2" customHeight="1" s="49">
      <c r="A6" s="2" t="n">
        <v>6531014833</v>
      </c>
      <c r="B6" s="2" t="inlineStr">
        <is>
          <t>JN</t>
        </is>
      </c>
      <c r="C6" s="2" t="n">
        <v>0</v>
      </c>
      <c r="D6" s="2" t="n">
        <v>0</v>
      </c>
      <c r="E6" s="4" t="n">
        <v>0</v>
      </c>
      <c r="F6" s="2" t="n">
        <v>1</v>
      </c>
      <c r="G6" s="2" t="inlineStr">
        <is>
          <t>2026-09-24T13:18:27.158Z</t>
        </is>
      </c>
    </row>
    <row r="7" ht="13.2" customHeight="1" s="49">
      <c r="A7" s="2" t="inlineStr">
        <is>
          <t>j.natthida</t>
        </is>
      </c>
      <c r="B7" s="2" t="inlineStr">
        <is>
          <t>jn.</t>
        </is>
      </c>
      <c r="C7" s="2" t="n">
        <v>0</v>
      </c>
      <c r="D7" s="2" t="n">
        <v>0</v>
      </c>
      <c r="E7" s="4" t="n">
        <v>0</v>
      </c>
      <c r="F7" s="2" t="n">
        <v>1</v>
      </c>
      <c r="G7" s="2" t="inlineStr">
        <is>
          <t>2026-09-24T13:20:39.625Z</t>
        </is>
      </c>
    </row>
    <row r="8" ht="13.2" customHeight="1" s="49">
      <c r="A8" s="2" t="n">
        <v>6531024033</v>
      </c>
      <c r="B8" s="2" t="n">
        <v>6531024033</v>
      </c>
      <c r="C8" s="2" t="n">
        <v>9</v>
      </c>
      <c r="D8" s="2" t="n">
        <v>5</v>
      </c>
      <c r="E8" s="4" t="n">
        <v>0.5600000000000001</v>
      </c>
      <c r="F8" s="2" t="n">
        <v>1</v>
      </c>
      <c r="G8" s="2" t="inlineStr">
        <is>
          <t>2026-09-24T13:27:04.553Z</t>
        </is>
      </c>
    </row>
    <row r="9" ht="13.2" customHeight="1" s="49">
      <c r="E9" s="4" t="n"/>
    </row>
    <row r="10" ht="13.2" customHeight="1" s="49">
      <c r="E10" s="4" t="n"/>
    </row>
    <row r="11" ht="13.2" customHeight="1" s="49">
      <c r="E11" s="4" t="n"/>
    </row>
    <row r="12" ht="13.2" customHeight="1" s="49">
      <c r="E12" s="4" t="n"/>
    </row>
    <row r="13" ht="13.2" customHeight="1" s="49">
      <c r="E13" s="4" t="n"/>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49">
      <c r="A1" s="53">
        <f>HYPERLINK("#gid=0", "🏠 กลับสู่หน้าแรก (Go to Home Page)")</f>
        <v/>
      </c>
    </row>
    <row r="2" ht="21.6" customHeight="1" s="49">
      <c r="A2" s="26" t="inlineStr">
        <is>
          <t>MessageId</t>
        </is>
      </c>
      <c r="B2" s="26" t="inlineStr">
        <is>
          <t>Timestamp</t>
        </is>
      </c>
      <c r="C2" s="26" t="inlineStr">
        <is>
          <t>Username</t>
        </is>
      </c>
      <c r="D2" s="26" t="inlineStr">
        <is>
          <t>Display Name</t>
        </is>
      </c>
      <c r="E2" s="26" t="inlineStr">
        <is>
          <t>Message Text</t>
        </is>
      </c>
      <c r="F2" s="26" t="inlineStr">
        <is>
          <t>ReplyToId</t>
        </is>
      </c>
      <c r="G2" s="26" t="inlineStr">
        <is>
          <t>Topic Tag</t>
        </is>
      </c>
    </row>
    <row r="3" ht="13.2" customHeight="1" s="49">
      <c r="A3" s="2" t="inlineStr">
        <is>
          <t>msg_1790163390739</t>
        </is>
      </c>
      <c r="B3" s="2" t="inlineStr">
        <is>
          <t>2026-09-23T11:36:30.739Z</t>
        </is>
      </c>
      <c r="C3" s="2" t="inlineStr">
        <is>
          <t>maxnum</t>
        </is>
      </c>
      <c r="D3" s="2" t="inlineStr">
        <is>
          <t>Maxnum</t>
        </is>
      </c>
      <c r="E3" s="2" t="inlineStr">
        <is>
          <t>สวัสดีงับชาวบ้านทดสอบระบบ</t>
        </is>
      </c>
      <c r="G3" s="2" t="inlineStr">
        <is>
          <t>Clinic</t>
        </is>
      </c>
    </row>
    <row r="4" ht="13.2" customHeight="1" s="49">
      <c r="A4" s="2" t="inlineStr">
        <is>
          <t>msg_1790167308559</t>
        </is>
      </c>
      <c r="B4" s="2" t="inlineStr">
        <is>
          <t>2026-09-23T12:41:48.559Z</t>
        </is>
      </c>
      <c r="C4" s="2" t="inlineStr">
        <is>
          <t>maxnum</t>
        </is>
      </c>
      <c r="D4" s="2" t="inlineStr">
        <is>
          <t>Maxnum</t>
        </is>
      </c>
      <c r="E4" s="2" t="inlineStr">
        <is>
          <t>ยัยบ๊องตื้น</t>
        </is>
      </c>
      <c r="F4" s="2" t="inlineStr">
        <is>
          <t>msg_1790163390739</t>
        </is>
      </c>
      <c r="G4" s="2" t="inlineStr">
        <is>
          <t>1. Musculoskeleton</t>
        </is>
      </c>
    </row>
    <row r="5" ht="13.2" customHeight="1" s="49">
      <c r="A5" s="2" t="inlineStr">
        <is>
          <t>msg_1790255957466</t>
        </is>
      </c>
      <c r="B5" s="2" t="inlineStr">
        <is>
          <t>2026-09-24T13:19:17.466Z</t>
        </is>
      </c>
      <c r="C5" s="2" t="inlineStr">
        <is>
          <t>anonymous</t>
        </is>
      </c>
      <c r="D5" s="2" t="inlineStr">
        <is>
          <t>บุคคลทั่วไป</t>
        </is>
      </c>
      <c r="E5" s="2" t="inlineStr">
        <is>
          <t>☆*: .｡. o(≧▽≦)o .｡.:*☆</t>
        </is>
      </c>
      <c r="F5" s="2" t="inlineStr">
        <is>
          <t>msg_1790167308559</t>
        </is>
      </c>
      <c r="G5" s="2" t="inlineStr">
        <is>
          <t>Clinic</t>
        </is>
      </c>
    </row>
    <row r="6" ht="13.2" customHeight="1" s="49">
      <c r="A6" s="2" t="inlineStr">
        <is>
          <t>msg_1790256395477</t>
        </is>
      </c>
      <c r="B6" s="2" t="inlineStr">
        <is>
          <t>2026-09-24T13:26:35.477Z</t>
        </is>
      </c>
      <c r="C6" s="2" t="inlineStr">
        <is>
          <t>maxnum</t>
        </is>
      </c>
      <c r="D6" s="2" t="inlineStr">
        <is>
          <t>Maxnum</t>
        </is>
      </c>
      <c r="E6" s="2" t="inlineStr">
        <is>
          <t>ข้อไหนเอ๋อมันน้องเอไอกำลังทยอยแก้อยู่นะงับ กด  Report บอกน้องเอไอมันจะตามแก้ให้เอง</t>
        </is>
      </c>
      <c r="G6" s="2" t="inlineStr">
        <is>
          <t>Clinic</t>
        </is>
      </c>
    </row>
    <row r="7" ht="13.2" customHeight="1" s="49">
      <c r="A7" s="2" t="inlineStr">
        <is>
          <t>msg_1790256597256</t>
        </is>
      </c>
      <c r="B7" s="2" t="inlineStr">
        <is>
          <t>2026-09-24T13:29:57.256Z</t>
        </is>
      </c>
      <c r="C7" s="2" t="inlineStr">
        <is>
          <t>maxnum</t>
        </is>
      </c>
      <c r="D7" s="2" t="inlineStr">
        <is>
          <t>Maxnum</t>
        </is>
      </c>
      <c r="E7" s="2" t="inlineStr">
        <is>
          <t>กด Filter เล่มม่วง Pharma Plus นะครับส่วนใหญ่มันถูก</t>
        </is>
      </c>
      <c r="G7" s="2" t="inlineStr">
        <is>
          <t>1. Musculoskeleton</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20.109375" customWidth="1" style="49" min="1" max="1"/>
    <col width="16.33203125" customWidth="1" style="49" min="2" max="2"/>
    <col width="20.109375" customWidth="1" style="49" min="3" max="3"/>
    <col width="15.109375" customWidth="1" style="49" min="4" max="4"/>
    <col width="32.6640625" customWidth="1" style="49" min="5" max="5"/>
    <col width="18.88671875" customWidth="1" style="49" min="6" max="6"/>
    <col width="32.6640625" customWidth="1" style="49" min="7" max="7"/>
    <col width="23.88671875" customWidth="1" style="49" min="8" max="8"/>
  </cols>
  <sheetData>
    <row r="1" ht="26.25" customHeight="1" s="49">
      <c r="A1" s="54" t="inlineStr">
        <is>
          <t>🏠 กลับสู่หน้าแรก (Go to Home Page)</t>
        </is>
      </c>
    </row>
    <row r="2" ht="21.6" customHeight="1" s="49">
      <c r="A2" s="27" t="inlineStr">
        <is>
          <t>Timestamp (วัน-เวลา)</t>
        </is>
      </c>
      <c r="B2" s="27" t="inlineStr">
        <is>
          <t>User (ผู้แจ้ง)</t>
        </is>
      </c>
      <c r="C2" s="27" t="inlineStr">
        <is>
          <t>Category (หมวดหมู่วิชา)</t>
        </is>
      </c>
      <c r="D2" s="27" t="inlineStr">
        <is>
          <t>Question ID / Ref</t>
        </is>
      </c>
      <c r="E2" s="27" t="inlineStr">
        <is>
          <t>โจทย์คำถาม (ย่อ)</t>
        </is>
      </c>
      <c r="F2" s="27" t="inlineStr">
        <is>
          <t>ประเภทปัญหาที่พบ</t>
        </is>
      </c>
      <c r="G2" s="27" t="inlineStr">
        <is>
          <t>รายละเอียดข้อผิดพลาดที่แจ้ง</t>
        </is>
      </c>
      <c r="H2" s="27" t="inlineStr">
        <is>
          <t>สถานะการแก้ไข (Status)</t>
        </is>
      </c>
    </row>
    <row r="3" ht="21.6" customHeight="1" s="49">
      <c r="A3" s="2" t="inlineStr">
        <is>
          <t>2026-09-24T13:24:45.393Z</t>
        </is>
      </c>
      <c r="B3" s="2" t="inlineStr">
        <is>
          <t>บุคคลทั่วไป</t>
        </is>
      </c>
      <c r="C3" s="2" t="inlineStr">
        <is>
          <t>4. Endocrine</t>
        </is>
      </c>
      <c r="D3" s="2" t="inlineStr">
        <is>
          <t>4. Endocrine::164</t>
        </is>
      </c>
      <c r="E3" s="2" t="inlineStr">
        <is>
          <t>จำนวนผู$ป&amp;วยโรคเบาหวานรายใหมGตGอจำนวนประชากรที่มีความเสี่ยงที่จะเกิดโรคเบาห วาน</t>
        </is>
      </c>
      <c r="F3" s="2" t="inlineStr">
        <is>
          <t>โจทย์กำกวม / พิมพ์ตกหล่น</t>
        </is>
      </c>
      <c r="G3" s="2" t="inlineStr">
        <is>
          <t>โจทย์พิมตกหล่น</t>
        </is>
      </c>
      <c r="H3" s="28" t="inlineStr">
        <is>
          <t>Resolved (แก้ไขเรียบร้อยแล้ว)</t>
        </is>
      </c>
    </row>
    <row r="4" ht="21.6" customHeight="1" s="49">
      <c r="A4" s="2" t="inlineStr">
        <is>
          <t>2026-09-24T13:25:06.755Z</t>
        </is>
      </c>
      <c r="B4" s="2" t="inlineStr">
        <is>
          <t>บุคคลทั่วไป</t>
        </is>
      </c>
      <c r="C4" s="2" t="inlineStr">
        <is>
          <t>4. Endocrine</t>
        </is>
      </c>
      <c r="D4" s="2" t="inlineStr">
        <is>
          <t>16. Others &amp; Toxic::1752</t>
        </is>
      </c>
      <c r="E4" s="2" t="inlineStr">
        <is>
          <t>Pioglitazone</t>
        </is>
      </c>
      <c r="F4" s="2" t="inlineStr">
        <is>
          <t>โจทย์กำกวม / พิมพ์ตกหล่น</t>
        </is>
      </c>
      <c r="G4" s="2" t="inlineStr">
        <is>
          <t>ไม่มีโจทย์</t>
        </is>
      </c>
      <c r="H4" s="28" t="inlineStr">
        <is>
          <t>Resolved (แก้ไขเรียบร้อยแล้ว)</t>
        </is>
      </c>
    </row>
    <row r="5" ht="21.6" customHeight="1" s="49">
      <c r="A5" s="2" t="inlineStr">
        <is>
          <t>2026-09-24T13:33:03.933Z</t>
        </is>
      </c>
      <c r="B5" s="2" t="inlineStr">
        <is>
          <t>บุคคลทั่วไป</t>
        </is>
      </c>
      <c r="C5" s="2" t="inlineStr">
        <is>
          <t>1. Titrations</t>
        </is>
      </c>
      <c r="D5" s="2" t="inlineStr">
        <is>
          <t>1. Titrations::46</t>
        </is>
      </c>
      <c r="E5" s="2" t="inlineStr">
        <is>
          <t>การวิเคราะห_ FeSO4 ด$วยสารละลาย potassium permanganate (KMnO4) ใช$วิธีวิเคราะห_ใด (1) Acid-base titration (2) Non-aqueous acid-base titration (3) Oxid</t>
        </is>
      </c>
      <c r="F5" s="2" t="inlineStr">
        <is>
          <t>โจทย์กำกวม / พิมพ์ตกหล่น</t>
        </is>
      </c>
      <c r="G5" s="2" t="inlineStr">
        <is>
          <t>พิมพ์โจทย์ผิด เฉลยแปลกๆ</t>
        </is>
      </c>
      <c r="H5" s="28" t="inlineStr">
        <is>
          <t>Resolved (แก้ไขเรียบร้อยแล้ว)</t>
        </is>
      </c>
    </row>
    <row r="6" ht="21.6" customHeight="1" s="49">
      <c r="A6" s="2" t="inlineStr">
        <is>
          <t>2026-09-24T13:35:29.057Z</t>
        </is>
      </c>
      <c r="B6" s="2" t="inlineStr">
        <is>
          <t>idea</t>
        </is>
      </c>
      <c r="C6" s="2" t="inlineStr">
        <is>
          <t>18. Clinical Nutrition</t>
        </is>
      </c>
      <c r="D6" s="2" t="inlineStr">
        <is>
          <t>18. Clinical Nutrition::23</t>
        </is>
      </c>
      <c r="E6" s="2" t="inlineStr">
        <is>
          <t>รูปแบบของวิตามินดี ที_x001E_พร้อมออกฤทธิAคือข้อใด (1) 1,25-dihydroxycholecalciferol (2) 1-hydroxycholecalciferol (3) 25-hydroxycholecalciferol (4) Cholecalc</t>
        </is>
      </c>
      <c r="F6" s="2" t="inlineStr">
        <is>
          <t>โจทย์กำกวม / พิมพ์ตกหล่น</t>
        </is>
      </c>
      <c r="G6" s="2" t="inlineStr">
        <is>
          <t>แปกๆ</t>
        </is>
      </c>
      <c r="H6" s="28" t="inlineStr">
        <is>
          <t>Resolved (แก้ไขเรียบร้อยแล้ว)</t>
        </is>
      </c>
    </row>
    <row r="7" ht="21.6" customHeight="1" s="49">
      <c r="A7" s="2" t="inlineStr">
        <is>
          <t>2026-09-24T13:35:53.592Z</t>
        </is>
      </c>
      <c r="B7" s="2" t="inlineStr">
        <is>
          <t>idea</t>
        </is>
      </c>
      <c r="C7" s="2" t="inlineStr">
        <is>
          <t>18. Clinical Nutrition</t>
        </is>
      </c>
      <c r="D7" s="2" t="inlineStr">
        <is>
          <t>18. Clinical Nutrition::24</t>
        </is>
      </c>
      <c r="E7" s="2" t="inlineStr">
        <is>
          <t>การจ่ายยาชุดวิตามินรวม ให้เจ้าของสุนัขโดยผู้ช่วยสัตวแพทย์</t>
        </is>
      </c>
      <c r="F7" s="2" t="inlineStr">
        <is>
          <t>โจทย์กำกวม / พิมพ์ตกหล่น</t>
        </is>
      </c>
      <c r="G7" s="2" t="inlineStr">
        <is>
          <t>มะเข้าใจ</t>
        </is>
      </c>
      <c r="H7" s="28" t="inlineStr">
        <is>
          <t>Resolved (แก้ไขเรียบร้อยแล้ว)</t>
        </is>
      </c>
    </row>
    <row r="8" ht="21.6" customHeight="1" s="49">
      <c r="A8" s="2" t="inlineStr">
        <is>
          <t>2026-09-24T13:36:40.555Z</t>
        </is>
      </c>
      <c r="B8" s="2" t="inlineStr">
        <is>
          <t>idea</t>
        </is>
      </c>
      <c r="C8" s="2" t="inlineStr">
        <is>
          <t>18. Clinical Nutrition</t>
        </is>
      </c>
      <c r="D8" s="2" t="inlineStr">
        <is>
          <t>18. Clinical Nutrition::25</t>
        </is>
      </c>
      <c r="E8" s="2" t="inlineStr">
        <is>
          <t>วิตามินใดที่ใช$ในการปนองกันอาการชาของผู$ป&amp;วย</t>
        </is>
      </c>
      <c r="F8" s="2" t="inlineStr">
        <is>
          <t>โจทย์กำกวม / พิมพ์ตกหล่น</t>
        </is>
      </c>
      <c r="G8" s="2" t="inlineStr">
        <is>
          <t>พิมพ์ผิด</t>
        </is>
      </c>
      <c r="H8" s="28" t="inlineStr">
        <is>
          <t>Resolved (แก้ไขเรียบร้อยแล้ว)</t>
        </is>
      </c>
    </row>
    <row r="9" ht="21.6" customHeight="1" s="49">
      <c r="A9" s="2" t="inlineStr">
        <is>
          <t>2026-09-24T13:41:24.660Z</t>
        </is>
      </c>
      <c r="B9" s="2" t="inlineStr">
        <is>
          <t>Maxnum</t>
        </is>
      </c>
      <c r="C9" s="2" t="inlineStr">
        <is>
          <t>2. Cardiovascular</t>
        </is>
      </c>
      <c r="D9" s="2" t="inlineStr">
        <is>
          <t>2. Cardiovascular::3</t>
        </is>
      </c>
      <c r="E9"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2" t="inlineStr">
        <is>
          <t>เฉลยไม่ถูกต้อง / ขัดแย้งกับ Guideline</t>
        </is>
      </c>
      <c r="G9" s="2" t="inlineStr">
        <is>
          <t>เฉลยควรบอกเกณฑ์ BP มาเลย</t>
        </is>
      </c>
      <c r="H9" s="28" t="inlineStr">
        <is>
          <t>Resolved (แก้ไขเรียบร้อยแล้ว)</t>
        </is>
      </c>
    </row>
    <row r="10" ht="21.6" customHeight="1" s="49">
      <c r="A10" s="2" t="inlineStr">
        <is>
          <t>2026-09-24T13:42:18.204Z</t>
        </is>
      </c>
      <c r="B10" s="2" t="inlineStr">
        <is>
          <t>บุคคลทั่วไป</t>
        </is>
      </c>
      <c r="C10" s="2" t="inlineStr">
        <is>
          <t>11. Herbal Products</t>
        </is>
      </c>
      <c r="D10" s="2" t="inlineStr">
        <is>
          <t>11. Herbal Products::3</t>
        </is>
      </c>
      <c r="E10" s="2" t="inlineStr">
        <is>
          <t>แบบทดสอบความรู้ทางเภสัชกรรม ข้อที่ 1</t>
        </is>
      </c>
      <c r="F10" s="2" t="inlineStr">
        <is>
          <t>อื่นๆ</t>
        </is>
      </c>
      <c r="G10" s="2" t="inlineStr">
        <is>
          <t>ไม่มีโจทย์</t>
        </is>
      </c>
      <c r="H10" s="28" t="inlineStr">
        <is>
          <t>Resolved (แก้ไขเรียบร้อยแล้ว)</t>
        </is>
      </c>
    </row>
    <row r="11" ht="21.6" customHeight="1" s="49">
      <c r="A11" s="2" t="inlineStr">
        <is>
          <t>2026-09-24T13:43:06.372Z</t>
        </is>
      </c>
      <c r="B11" s="2" t="inlineStr">
        <is>
          <t>บุคคลทั่วไป</t>
        </is>
      </c>
      <c r="C11" s="2" t="inlineStr">
        <is>
          <t>3. Dermatologic</t>
        </is>
      </c>
      <c r="D11" s="2" t="inlineStr">
        <is>
          <t>3. Dermatologic::167</t>
        </is>
      </c>
      <c r="E11"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2" t="inlineStr">
        <is>
          <t>เฉลยไม่ถูกต้อง / ขัดแย้งกับ Guideline</t>
        </is>
      </c>
      <c r="G11" s="2" t="inlineStr">
        <is>
          <t>โจทย์เป็น allergy</t>
        </is>
      </c>
      <c r="H11" s="28" t="inlineStr">
        <is>
          <t>Resolved (แก้ไขเรียบร้อยแล้ว)</t>
        </is>
      </c>
    </row>
    <row r="12" ht="21.6" customHeight="1" s="49">
      <c r="A12" s="2" t="inlineStr">
        <is>
          <t>2026-09-24T13:43:19.108Z</t>
        </is>
      </c>
      <c r="B12" s="2" t="inlineStr">
        <is>
          <t>Maxnum</t>
        </is>
      </c>
      <c r="C12" s="2" t="inlineStr">
        <is>
          <t>2. Cardiovascular</t>
        </is>
      </c>
      <c r="D12" s="2" t="inlineStr">
        <is>
          <t>2. Cardiovascular::4</t>
        </is>
      </c>
      <c r="E12"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2" t="inlineStr">
        <is>
          <t>เฉลยไม่ถูกต้อง / ขัดแย้งกับ Guideline</t>
        </is>
      </c>
      <c r="G12" s="2" t="inlineStr">
        <is>
          <t>เฉลยควรบอกว่ามันควรงดกินอะไร HtN</t>
        </is>
      </c>
      <c r="H12" s="28" t="inlineStr">
        <is>
          <t>Resolved (แก้ไขเรียบร้อยแล้ว)</t>
        </is>
      </c>
    </row>
    <row r="13" ht="21.6" customHeight="1" s="49">
      <c r="A13" s="2" t="inlineStr">
        <is>
          <t>2026-09-24T13:44:39.585Z</t>
        </is>
      </c>
      <c r="B13" s="2" t="inlineStr">
        <is>
          <t>บุคคลทั่วไป</t>
        </is>
      </c>
      <c r="C13" s="2" t="inlineStr">
        <is>
          <t>1. Musculoskeleton</t>
        </is>
      </c>
      <c r="D13" s="2" t="inlineStr">
        <is>
          <t>16. Others &amp; Toxic::1692</t>
        </is>
      </c>
      <c r="E13" s="2" t="inlineStr">
        <is>
          <t>ยาต้านอักเสบตัวใดที่ไม่ควรใช้ในโรคเกาต์</t>
        </is>
      </c>
      <c r="F13" s="2" t="inlineStr">
        <is>
          <t>เฉลยไม่ถูกต้อง / ขัดแย้งกับ Guideline</t>
        </is>
      </c>
      <c r="G13" s="2" t="inlineStr">
        <is>
          <t>choice มีเฉลย แต่ไม่ตรงกับชื่อยา</t>
        </is>
      </c>
      <c r="H13" s="28" t="inlineStr">
        <is>
          <t>Resolved (แก้ไขเรียบร้อยแล้ว)</t>
        </is>
      </c>
    </row>
    <row r="14" ht="21.6" customHeight="1" s="49">
      <c r="A14" s="2" t="inlineStr">
        <is>
          <t>2026-09-24T13:44:51.287Z</t>
        </is>
      </c>
      <c r="B14" s="2" t="inlineStr">
        <is>
          <t>Maxnum</t>
        </is>
      </c>
      <c r="C14" s="2" t="inlineStr">
        <is>
          <t>5. Pharmaceutical Calc</t>
        </is>
      </c>
      <c r="D14" s="2" t="inlineStr">
        <is>
          <t>16. Others &amp; Toxic::90</t>
        </is>
      </c>
      <c r="E14" s="2" t="inlineStr">
        <is>
          <t>ให้ข้อมูลมาคำนวณ%assay ตัวเลือก</t>
        </is>
      </c>
      <c r="F14" s="2" t="inlineStr">
        <is>
          <t>เฉลยไม่ถูกต้อง / ขัดแย้งกับ Guideline</t>
        </is>
      </c>
      <c r="G14" s="2" t="inlineStr">
        <is>
          <t>โจทย์ไมาตรว</t>
        </is>
      </c>
      <c r="H14" s="28" t="inlineStr">
        <is>
          <t>Resolved (แก้ไขเรียบร้อยแล้ว)</t>
        </is>
      </c>
    </row>
    <row r="15" ht="21.6" customHeight="1" s="49">
      <c r="A15" s="2" t="inlineStr">
        <is>
          <t>2026-09-24T13:45:09.913Z</t>
        </is>
      </c>
      <c r="B15" s="2" t="inlineStr">
        <is>
          <t>Maxnum</t>
        </is>
      </c>
      <c r="C15" s="2" t="inlineStr">
        <is>
          <t>5. Pharmaceutical Calc</t>
        </is>
      </c>
      <c r="D15" s="2" t="inlineStr">
        <is>
          <t>16. Others &amp; Toxic::90</t>
        </is>
      </c>
      <c r="E15" s="2" t="inlineStr">
        <is>
          <t>ให้ข้อมูลมาคำนวณ%assay ตัวเลือก</t>
        </is>
      </c>
      <c r="F15" s="2" t="inlineStr">
        <is>
          <t>โจทย์กำกวม / พิมพ์ตกหล่น</t>
        </is>
      </c>
      <c r="G15" s="2" t="inlineStr">
        <is>
          <t>โจทย์ตัวเลือดไม่ตรงกัน</t>
        </is>
      </c>
      <c r="H15" s="28" t="inlineStr">
        <is>
          <t>Resolved (แก้ไขเรียบร้อยแล้ว)</t>
        </is>
      </c>
    </row>
    <row r="16" ht="21.6" customHeight="1" s="49">
      <c r="A16" s="2" t="inlineStr">
        <is>
          <t>2026-09-24T13:47:03.540Z</t>
        </is>
      </c>
      <c r="B16" s="2" t="inlineStr">
        <is>
          <t>บุคคลทั่วไป</t>
        </is>
      </c>
      <c r="C16" s="2" t="inlineStr">
        <is>
          <t>2. Cardiovascular</t>
        </is>
      </c>
      <c r="D16" s="2" t="inlineStr">
        <is>
          <t>2. Cardiovascular::343</t>
        </is>
      </c>
      <c r="E16" s="2" t="inlineStr">
        <is>
          <t>Amitriptyline ใช้ได้ แต่เนื่องจากยามีหลาย mechanism จึงทำให้เกิดอาการไม่พึงประสงค์มาก จึงไม่เหมาะสม</t>
        </is>
      </c>
      <c r="F16" s="2" t="inlineStr">
        <is>
          <t>โจทย์กำกวม / พิมพ์ตกหล่น</t>
        </is>
      </c>
      <c r="G16" s="2" t="inlineStr">
        <is>
          <t>ไม่ระบุคำถาม</t>
        </is>
      </c>
      <c r="H16" s="28" t="inlineStr">
        <is>
          <t>Resolved (แก้ไขเรียบร้อยแล้ว)</t>
        </is>
      </c>
    </row>
    <row r="17" ht="21.6" customHeight="1" s="49">
      <c r="A17" s="2" t="inlineStr">
        <is>
          <t>2026-09-24T14:03:13.737Z</t>
        </is>
      </c>
      <c r="B17" s="2" t="inlineStr">
        <is>
          <t>บุคคลทั่วไป</t>
        </is>
      </c>
      <c r="C17" s="2" t="inlineStr">
        <is>
          <t>13. Medicinal Chemistry</t>
        </is>
      </c>
      <c r="D17" s="2" t="inlineStr">
        <is>
          <t>13. Medicinal Chemistry::45</t>
        </is>
      </c>
      <c r="E17" s="2" t="inlineStr">
        <is>
          <t>ความเข$มข$น adrenaline 0.01% คืออะไร</t>
        </is>
      </c>
      <c r="F17" s="2" t="inlineStr">
        <is>
          <t>โจทย์กำกวม / พิมพ์ตกหล่น</t>
        </is>
      </c>
      <c r="G17" s="2" t="inlineStr">
        <is>
          <t>ผิดไปหมดเลย555555</t>
        </is>
      </c>
      <c r="H17" s="28" t="inlineStr">
        <is>
          <t>Resolved (แก้ไขเรียบร้อยแล้ว)</t>
        </is>
      </c>
    </row>
    <row r="18" ht="21.6" customHeight="1" s="49">
      <c r="H18" s="28" t="n"/>
    </row>
    <row r="19" ht="21.6" customHeight="1" s="49">
      <c r="H19" s="28" t="n"/>
    </row>
    <row r="20" ht="21.6" customHeight="1" s="49">
      <c r="H20" s="28" t="n"/>
    </row>
    <row r="21" ht="21.6" customHeight="1" s="49">
      <c r="H21" s="28" t="n"/>
    </row>
    <row r="22" ht="21.6" customHeight="1" s="49">
      <c r="H22" s="28" t="n"/>
    </row>
    <row r="23" ht="21.6" customHeight="1" s="49">
      <c r="H23" s="28" t="n"/>
    </row>
    <row r="24" ht="21.6" customHeight="1" s="49">
      <c r="H24" s="28" t="n"/>
    </row>
    <row r="25" ht="21.6" customHeight="1" s="49">
      <c r="H25" s="28" t="n"/>
    </row>
    <row r="26" ht="21.6" customHeight="1" s="49">
      <c r="H26" s="28" t="n"/>
    </row>
    <row r="27" ht="21.6" customHeight="1" s="49">
      <c r="H27" s="28" t="n"/>
    </row>
    <row r="28" ht="21.6" customHeight="1" s="49">
      <c r="H28" s="28" t="n"/>
    </row>
    <row r="29" ht="21.6" customHeight="1" s="49">
      <c r="H29" s="28" t="n"/>
    </row>
    <row r="30" ht="21.6" customHeight="1" s="49">
      <c r="H30" s="28" t="n"/>
    </row>
    <row r="31" ht="21.6" customHeight="1" s="49">
      <c r="H31" s="28" t="n"/>
    </row>
    <row r="32" ht="21.6" customHeight="1" s="49">
      <c r="H32" s="28" t="n"/>
    </row>
    <row r="33" ht="21.6" customHeight="1" s="49">
      <c r="H33" s="28" t="n"/>
    </row>
    <row r="34" ht="21.6" customHeight="1" s="49">
      <c r="H34" s="28" t="n"/>
    </row>
    <row r="35" ht="21.6" customHeight="1" s="49">
      <c r="H35" s="28" t="n"/>
    </row>
    <row r="36" ht="21.6" customHeight="1" s="49">
      <c r="H36" s="28" t="n"/>
    </row>
    <row r="37" ht="21.6" customHeight="1" s="49">
      <c r="H37" s="28" t="n"/>
    </row>
    <row r="38" ht="21.6" customHeight="1" s="49">
      <c r="H38" s="28" t="n"/>
    </row>
    <row r="39" ht="21.6" customHeight="1" s="49">
      <c r="H39" s="28" t="n"/>
    </row>
    <row r="40" ht="21.6" customHeight="1" s="49">
      <c r="H40" s="28" t="n"/>
    </row>
    <row r="41" ht="21.6" customHeight="1" s="49">
      <c r="H41" s="28" t="n"/>
    </row>
    <row r="42" ht="21.6" customHeight="1" s="49">
      <c r="H42" s="28" t="n"/>
    </row>
    <row r="43" ht="21.6" customHeight="1" s="49">
      <c r="H43" s="28" t="n"/>
    </row>
    <row r="44" ht="21.6" customHeight="1" s="49">
      <c r="H44" s="28" t="n"/>
    </row>
    <row r="45" ht="21.6" customHeight="1" s="49">
      <c r="H45" s="28" t="n"/>
    </row>
    <row r="46" ht="21.6" customHeight="1" s="49">
      <c r="H46" s="28" t="n"/>
    </row>
    <row r="47" ht="21.6" customHeight="1" s="49">
      <c r="H47" s="28" t="n"/>
    </row>
    <row r="48" ht="21.6" customHeight="1" s="49">
      <c r="H48" s="28" t="n"/>
    </row>
    <row r="49" ht="21.6" customHeight="1" s="49">
      <c r="H49" s="28" t="n"/>
    </row>
    <row r="50" ht="21.6" customHeight="1" s="49">
      <c r="H50" s="28" t="n"/>
    </row>
    <row r="51" ht="21.6" customHeight="1" s="49">
      <c r="H51" s="28" t="n"/>
    </row>
    <row r="52" ht="21.6" customHeight="1" s="49">
      <c r="H52" s="28" t="n"/>
    </row>
    <row r="53" ht="21.6" customHeight="1" s="49">
      <c r="H53" s="28" t="n"/>
    </row>
    <row r="54" ht="21.6" customHeight="1" s="49">
      <c r="H54" s="28" t="n"/>
    </row>
    <row r="55" ht="21.6" customHeight="1" s="49">
      <c r="H55" s="28" t="n"/>
    </row>
    <row r="56" ht="21.6" customHeight="1" s="49">
      <c r="H56" s="28" t="n"/>
    </row>
    <row r="57" ht="21.6" customHeight="1" s="49">
      <c r="H57" s="28" t="n"/>
    </row>
    <row r="58" ht="21.6" customHeight="1" s="49">
      <c r="H58" s="28" t="n"/>
    </row>
    <row r="59" ht="21.6" customHeight="1" s="49">
      <c r="H59" s="28" t="n"/>
    </row>
    <row r="60" ht="21.6" customHeight="1" s="49">
      <c r="H60" s="28" t="n"/>
    </row>
    <row r="61" ht="21.6" customHeight="1" s="49">
      <c r="H61" s="28" t="n"/>
    </row>
    <row r="62" ht="21.6" customHeight="1" s="49">
      <c r="H62" s="28" t="n"/>
    </row>
    <row r="63" ht="21.6" customHeight="1" s="49">
      <c r="H63" s="28" t="n"/>
    </row>
    <row r="64" ht="21.6" customHeight="1" s="49">
      <c r="H64" s="28" t="n"/>
    </row>
    <row r="65" ht="21.6" customHeight="1" s="49">
      <c r="H65" s="28" t="n"/>
    </row>
    <row r="66" ht="21.6" customHeight="1" s="49">
      <c r="H66" s="28" t="n"/>
    </row>
    <row r="67" ht="21.6" customHeight="1" s="49">
      <c r="H67" s="28" t="n"/>
    </row>
    <row r="68" ht="21.6" customHeight="1" s="49">
      <c r="H68" s="28" t="n"/>
    </row>
    <row r="69" ht="21.6" customHeight="1" s="49">
      <c r="H69" s="28" t="n"/>
    </row>
    <row r="70" ht="21.6" customHeight="1" s="49">
      <c r="H70" s="28" t="n"/>
    </row>
    <row r="71" ht="21.6" customHeight="1" s="49">
      <c r="H71" s="28" t="n"/>
    </row>
    <row r="72" ht="21.6" customHeight="1" s="49">
      <c r="H72" s="28" t="n"/>
    </row>
    <row r="73" ht="21.6" customHeight="1" s="49">
      <c r="H73" s="28" t="n"/>
    </row>
    <row r="74" ht="21.6" customHeight="1" s="49">
      <c r="H74" s="28" t="n"/>
    </row>
    <row r="75" ht="21.6" customHeight="1" s="49">
      <c r="H75" s="28" t="n"/>
    </row>
    <row r="76" ht="21.6" customHeight="1" s="49">
      <c r="H76" s="28" t="n"/>
    </row>
    <row r="77" ht="21.6" customHeight="1" s="49">
      <c r="H77" s="28" t="n"/>
    </row>
    <row r="78" ht="21.6" customHeight="1" s="49">
      <c r="H78" s="28" t="n"/>
    </row>
    <row r="79" ht="21.6" customHeight="1" s="49">
      <c r="H79" s="28" t="n"/>
    </row>
    <row r="80" ht="21.6" customHeight="1" s="49">
      <c r="H80" s="28" t="n"/>
    </row>
    <row r="81" ht="21.6" customHeight="1" s="49">
      <c r="H81" s="28" t="n"/>
    </row>
    <row r="82" ht="21.6" customHeight="1" s="49">
      <c r="H82" s="28" t="n"/>
    </row>
    <row r="83" ht="21.6" customHeight="1" s="49">
      <c r="H83" s="28" t="n"/>
    </row>
    <row r="84" ht="21.6" customHeight="1" s="49">
      <c r="H84" s="28" t="n"/>
    </row>
    <row r="85" ht="21.6" customHeight="1" s="49">
      <c r="H85" s="28" t="n"/>
    </row>
    <row r="86" ht="21.6" customHeight="1" s="49">
      <c r="H86" s="28" t="n"/>
    </row>
    <row r="87" ht="21.6" customHeight="1" s="49">
      <c r="H87" s="28" t="n"/>
    </row>
    <row r="88" ht="21.6" customHeight="1" s="49">
      <c r="H88" s="28" t="n"/>
    </row>
    <row r="89" ht="21.6" customHeight="1" s="49">
      <c r="H89" s="28" t="n"/>
    </row>
    <row r="90" ht="21.6" customHeight="1" s="49">
      <c r="H90" s="28" t="n"/>
    </row>
    <row r="91" ht="21.6" customHeight="1" s="49">
      <c r="H91" s="28" t="n"/>
    </row>
    <row r="92" ht="21.6" customHeight="1" s="49">
      <c r="H92" s="28" t="n"/>
    </row>
    <row r="93" ht="21.6" customHeight="1" s="49">
      <c r="H93" s="28" t="n"/>
    </row>
    <row r="94" ht="21.6" customHeight="1" s="49">
      <c r="H94" s="28" t="n"/>
    </row>
    <row r="95" ht="21.6" customHeight="1" s="49">
      <c r="H95" s="28" t="n"/>
    </row>
    <row r="96" ht="21.6" customHeight="1" s="49">
      <c r="H96" s="28" t="n"/>
    </row>
    <row r="97" ht="21.6" customHeight="1" s="49">
      <c r="H97" s="28" t="n"/>
    </row>
    <row r="98" ht="21.6" customHeight="1" s="49">
      <c r="H98" s="28" t="n"/>
    </row>
    <row r="99" ht="21.6" customHeight="1" s="49">
      <c r="H99" s="28" t="n"/>
    </row>
    <row r="100" ht="21.6" customHeight="1" s="49">
      <c r="H100" s="28" t="n"/>
    </row>
    <row r="101" ht="21.6" customHeight="1" s="49">
      <c r="H101" s="28" t="n"/>
    </row>
    <row r="102" ht="21.6" customHeight="1" s="49">
      <c r="H102" s="28" t="n"/>
    </row>
    <row r="103" ht="21.6" customHeight="1" s="49">
      <c r="H103" s="28" t="n"/>
    </row>
    <row r="104" ht="21.6" customHeight="1" s="49">
      <c r="H104" s="28" t="n"/>
    </row>
    <row r="105" ht="21.6" customHeight="1" s="49">
      <c r="H105" s="28" t="n"/>
    </row>
    <row r="106" ht="21.6" customHeight="1" s="49">
      <c r="H106" s="28" t="n"/>
    </row>
    <row r="107" ht="21.6" customHeight="1" s="49">
      <c r="H107" s="28" t="n"/>
    </row>
    <row r="108" ht="21.6" customHeight="1" s="49">
      <c r="H108" s="28" t="n"/>
    </row>
    <row r="109" ht="21.6" customHeight="1" s="49">
      <c r="H109" s="28" t="n"/>
    </row>
    <row r="110" ht="21.6" customHeight="1" s="49">
      <c r="H110" s="28" t="n"/>
    </row>
    <row r="111" ht="21.6" customHeight="1" s="49">
      <c r="H111" s="28" t="n"/>
    </row>
    <row r="112" ht="21.6" customHeight="1" s="49">
      <c r="H112" s="28" t="n"/>
    </row>
    <row r="113" ht="21.6" customHeight="1" s="49">
      <c r="H113" s="28" t="n"/>
    </row>
    <row r="114" ht="21.6" customHeight="1" s="49">
      <c r="H114" s="28" t="n"/>
    </row>
    <row r="115" ht="21.6" customHeight="1" s="49">
      <c r="H115" s="28" t="n"/>
    </row>
    <row r="116" ht="21.6" customHeight="1" s="49">
      <c r="H116" s="28" t="n"/>
    </row>
    <row r="117" ht="21.6" customHeight="1" s="49">
      <c r="H117" s="28" t="n"/>
    </row>
    <row r="118" ht="21.6" customHeight="1" s="49">
      <c r="H118" s="28" t="n"/>
    </row>
    <row r="119" ht="21.6" customHeight="1" s="49">
      <c r="H119" s="28" t="n"/>
    </row>
    <row r="120" ht="21.6" customHeight="1" s="49">
      <c r="H120" s="28" t="n"/>
    </row>
    <row r="121" ht="21.6" customHeight="1" s="49">
      <c r="H121" s="28" t="n"/>
    </row>
    <row r="122" ht="21.6" customHeight="1" s="49">
      <c r="H122" s="28" t="n"/>
    </row>
    <row r="123" ht="21.6" customHeight="1" s="49">
      <c r="H123" s="28" t="n"/>
    </row>
    <row r="124" ht="21.6" customHeight="1" s="49">
      <c r="H124" s="28" t="n"/>
    </row>
    <row r="125" ht="21.6" customHeight="1" s="49">
      <c r="H125" s="28" t="n"/>
    </row>
    <row r="126" ht="21.6" customHeight="1" s="49">
      <c r="H126" s="28" t="n"/>
    </row>
    <row r="127" ht="21.6" customHeight="1" s="49">
      <c r="H127" s="28" t="n"/>
    </row>
    <row r="128" ht="21.6" customHeight="1" s="49">
      <c r="H128" s="28" t="n"/>
    </row>
    <row r="129" ht="21.6" customHeight="1" s="49">
      <c r="H129" s="28" t="n"/>
    </row>
    <row r="130" ht="21.6" customHeight="1" s="49">
      <c r="H130" s="28" t="n"/>
    </row>
    <row r="131" ht="21.6" customHeight="1" s="49">
      <c r="H131" s="28" t="n"/>
    </row>
    <row r="132" ht="21.6" customHeight="1" s="49">
      <c r="H132" s="28" t="n"/>
    </row>
    <row r="133" ht="21.6" customHeight="1" s="49">
      <c r="H133" s="28" t="n"/>
    </row>
    <row r="134" ht="21.6" customHeight="1" s="49">
      <c r="H134" s="28" t="n"/>
    </row>
    <row r="135" ht="21.6" customHeight="1" s="49">
      <c r="H135" s="28" t="n"/>
    </row>
    <row r="136" ht="21.6" customHeight="1" s="49">
      <c r="H136" s="28" t="n"/>
    </row>
    <row r="137" ht="21.6" customHeight="1" s="49">
      <c r="H137" s="28" t="n"/>
    </row>
    <row r="138" ht="21.6" customHeight="1" s="49">
      <c r="H138" s="28" t="n"/>
    </row>
    <row r="139" ht="21.6" customHeight="1" s="49">
      <c r="H139" s="28" t="n"/>
    </row>
    <row r="140" ht="21.6" customHeight="1" s="49">
      <c r="H140" s="28" t="n"/>
    </row>
    <row r="141" ht="21.6" customHeight="1" s="49">
      <c r="H141" s="28" t="n"/>
    </row>
    <row r="142" ht="21.6" customHeight="1" s="49">
      <c r="H142" s="28" t="n"/>
    </row>
    <row r="143" ht="21.6" customHeight="1" s="49">
      <c r="H143" s="28" t="n"/>
    </row>
    <row r="144" ht="21.6" customHeight="1" s="49">
      <c r="H144" s="28" t="n"/>
    </row>
    <row r="145" ht="21.6" customHeight="1" s="49">
      <c r="H145" s="28" t="n"/>
    </row>
    <row r="146" ht="21.6" customHeight="1" s="49">
      <c r="H146" s="28" t="n"/>
    </row>
    <row r="147" ht="21.6" customHeight="1" s="49">
      <c r="H147" s="28" t="n"/>
    </row>
    <row r="148" ht="21.6" customHeight="1" s="49">
      <c r="H148" s="28" t="n"/>
    </row>
    <row r="149" ht="21.6" customHeight="1" s="49">
      <c r="H149" s="28" t="n"/>
    </row>
    <row r="150" ht="21.6" customHeight="1" s="49">
      <c r="H150" s="28" t="n"/>
    </row>
    <row r="151" ht="21.6" customHeight="1" s="49">
      <c r="H151" s="28" t="n"/>
    </row>
    <row r="152" ht="21.6" customHeight="1" s="49">
      <c r="H152" s="28" t="n"/>
    </row>
    <row r="153" ht="21.6" customHeight="1" s="49">
      <c r="H153" s="28" t="n"/>
    </row>
    <row r="154" ht="21.6" customHeight="1" s="49">
      <c r="H154" s="28" t="n"/>
    </row>
    <row r="155" ht="21.6" customHeight="1" s="49">
      <c r="H155" s="28" t="n"/>
    </row>
    <row r="156" ht="21.6" customHeight="1" s="49">
      <c r="H156" s="28" t="n"/>
    </row>
    <row r="157" ht="21.6" customHeight="1" s="49">
      <c r="H157" s="28" t="n"/>
    </row>
    <row r="158" ht="21.6" customHeight="1" s="49">
      <c r="H158" s="28" t="n"/>
    </row>
    <row r="159" ht="21.6" customHeight="1" s="49">
      <c r="H159" s="28" t="n"/>
    </row>
    <row r="160" ht="21.6" customHeight="1" s="49">
      <c r="H160" s="28" t="n"/>
    </row>
    <row r="161" ht="21.6" customHeight="1" s="49">
      <c r="H161" s="28" t="n"/>
    </row>
    <row r="162" ht="21.6" customHeight="1" s="49">
      <c r="H162" s="28" t="n"/>
    </row>
    <row r="163" ht="21.6" customHeight="1" s="49">
      <c r="H163" s="28" t="n"/>
    </row>
    <row r="164" ht="21.6" customHeight="1" s="49">
      <c r="H164" s="28" t="n"/>
    </row>
    <row r="165" ht="21.6" customHeight="1" s="49">
      <c r="H165" s="28" t="n"/>
    </row>
    <row r="166" ht="21.6" customHeight="1" s="49">
      <c r="H166" s="28" t="n"/>
    </row>
    <row r="167" ht="21.6" customHeight="1" s="49">
      <c r="H167" s="28" t="n"/>
    </row>
    <row r="168" ht="21.6" customHeight="1" s="49">
      <c r="H168" s="28" t="n"/>
    </row>
    <row r="169" ht="21.6" customHeight="1" s="49">
      <c r="H169" s="28" t="n"/>
    </row>
    <row r="170" ht="21.6" customHeight="1" s="49">
      <c r="H170" s="28" t="n"/>
    </row>
    <row r="171" ht="21.6" customHeight="1" s="49">
      <c r="H171" s="28" t="n"/>
    </row>
    <row r="172" ht="21.6" customHeight="1" s="49">
      <c r="H172" s="28" t="n"/>
    </row>
    <row r="173" ht="21.6" customHeight="1" s="49">
      <c r="H173" s="28" t="n"/>
    </row>
    <row r="174" ht="21.6" customHeight="1" s="49">
      <c r="H174" s="28" t="n"/>
    </row>
    <row r="175" ht="21.6" customHeight="1" s="49">
      <c r="H175" s="28" t="n"/>
    </row>
    <row r="176" ht="21.6" customHeight="1" s="49">
      <c r="H176" s="28" t="n"/>
    </row>
    <row r="177" ht="21.6" customHeight="1" s="49">
      <c r="H177" s="28" t="n"/>
    </row>
    <row r="178" ht="21.6" customHeight="1" s="49">
      <c r="H178" s="28" t="n"/>
    </row>
    <row r="179" ht="21.6" customHeight="1" s="49">
      <c r="H179" s="28" t="n"/>
    </row>
    <row r="180" ht="21.6" customHeight="1" s="49">
      <c r="H180" s="28" t="n"/>
    </row>
    <row r="181" ht="21.6" customHeight="1" s="49">
      <c r="H181" s="28" t="n"/>
    </row>
    <row r="182" ht="21.6" customHeight="1" s="49">
      <c r="H182" s="28" t="n"/>
    </row>
    <row r="183" ht="21.6" customHeight="1" s="49">
      <c r="H183" s="28" t="n"/>
    </row>
    <row r="184" ht="21.6" customHeight="1" s="49">
      <c r="H184" s="28" t="n"/>
    </row>
    <row r="185" ht="21.6" customHeight="1" s="49">
      <c r="H185" s="28" t="n"/>
    </row>
    <row r="186" ht="21.6" customHeight="1" s="49">
      <c r="H186" s="28" t="n"/>
    </row>
    <row r="187" ht="21.6" customHeight="1" s="49">
      <c r="H187" s="28" t="n"/>
    </row>
    <row r="188" ht="21.6" customHeight="1" s="49">
      <c r="H188" s="28" t="n"/>
    </row>
    <row r="189" ht="21.6" customHeight="1" s="49">
      <c r="H189" s="28" t="n"/>
    </row>
    <row r="190" ht="21.6" customHeight="1" s="49">
      <c r="H190" s="28" t="n"/>
    </row>
    <row r="191" ht="21.6" customHeight="1" s="49">
      <c r="H191" s="28" t="n"/>
    </row>
    <row r="192" ht="21.6" customHeight="1" s="49">
      <c r="H192" s="28" t="n"/>
    </row>
    <row r="193" ht="21.6" customHeight="1" s="49">
      <c r="H193" s="28" t="n"/>
    </row>
    <row r="194" ht="21.6" customHeight="1" s="49">
      <c r="H194" s="28" t="n"/>
    </row>
    <row r="195" ht="21.6" customHeight="1" s="49">
      <c r="H195" s="28" t="n"/>
    </row>
    <row r="196" ht="21.6" customHeight="1" s="49">
      <c r="H196" s="28" t="n"/>
    </row>
    <row r="197" ht="21.6" customHeight="1" s="49">
      <c r="H197" s="28" t="n"/>
    </row>
    <row r="198" ht="21.6" customHeight="1" s="49">
      <c r="H198" s="28" t="n"/>
    </row>
    <row r="199" ht="21.6" customHeight="1" s="49">
      <c r="H199" s="28" t="n"/>
    </row>
    <row r="200" ht="21.6" customHeight="1" s="49">
      <c r="H200" s="28" t="n"/>
    </row>
    <row r="201" ht="21.6" customHeight="1" s="49">
      <c r="H201" s="28" t="n"/>
    </row>
    <row r="202" ht="21.6" customHeight="1" s="49">
      <c r="H202" s="28" t="n"/>
    </row>
    <row r="203" ht="21.6" customHeight="1" s="49">
      <c r="H203" s="28" t="n"/>
    </row>
    <row r="204" ht="21.6" customHeight="1" s="49">
      <c r="H204" s="28" t="n"/>
    </row>
    <row r="205" ht="21.6" customHeight="1" s="49">
      <c r="H205" s="28" t="n"/>
    </row>
    <row r="206" ht="21.6" customHeight="1" s="49">
      <c r="H206" s="28" t="n"/>
    </row>
    <row r="207" ht="21.6" customHeight="1" s="49">
      <c r="H207" s="28" t="n"/>
    </row>
    <row r="208" ht="21.6" customHeight="1" s="49">
      <c r="H208" s="28" t="n"/>
    </row>
    <row r="209" ht="21.6" customHeight="1" s="49">
      <c r="H209" s="28" t="n"/>
    </row>
    <row r="210" ht="21.6" customHeight="1" s="49">
      <c r="H210" s="28" t="n"/>
    </row>
    <row r="211" ht="21.6" customHeight="1" s="49">
      <c r="H211" s="28" t="n"/>
    </row>
    <row r="212" ht="21.6" customHeight="1" s="49">
      <c r="H212" s="28" t="n"/>
    </row>
    <row r="213" ht="21.6" customHeight="1" s="49">
      <c r="H213" s="28" t="n"/>
    </row>
    <row r="214" ht="21.6" customHeight="1" s="49">
      <c r="H214" s="28" t="n"/>
    </row>
    <row r="215" ht="21.6" customHeight="1" s="49">
      <c r="H215" s="28" t="n"/>
    </row>
    <row r="216" ht="21.6" customHeight="1" s="49">
      <c r="H216" s="28" t="n"/>
    </row>
    <row r="217" ht="21.6" customHeight="1" s="49">
      <c r="H217" s="28" t="n"/>
    </row>
    <row r="218" ht="21.6" customHeight="1" s="49">
      <c r="H218" s="28" t="n"/>
    </row>
    <row r="219" ht="21.6" customHeight="1" s="49">
      <c r="H219" s="28" t="n"/>
    </row>
    <row r="220" ht="21.6" customHeight="1" s="49">
      <c r="H220" s="28" t="n"/>
    </row>
    <row r="221" ht="21.6" customHeight="1" s="49">
      <c r="H221" s="28" t="n"/>
    </row>
    <row r="222" ht="21.6" customHeight="1" s="49">
      <c r="H222" s="28" t="n"/>
    </row>
    <row r="223" ht="21.6" customHeight="1" s="49">
      <c r="H223" s="28" t="n"/>
    </row>
    <row r="224" ht="21.6" customHeight="1" s="49">
      <c r="H224" s="28" t="n"/>
    </row>
    <row r="225" ht="21.6" customHeight="1" s="49">
      <c r="H225" s="28" t="n"/>
    </row>
    <row r="226" ht="21.6" customHeight="1" s="49">
      <c r="H226" s="28" t="n"/>
    </row>
    <row r="227" ht="21.6" customHeight="1" s="49">
      <c r="H227" s="28" t="n"/>
    </row>
    <row r="228" ht="21.6" customHeight="1" s="49">
      <c r="H228" s="28" t="n"/>
    </row>
    <row r="229" ht="21.6" customHeight="1" s="49">
      <c r="H229" s="28" t="n"/>
    </row>
    <row r="230" ht="21.6" customHeight="1" s="49">
      <c r="H230" s="28" t="n"/>
    </row>
    <row r="231" ht="21.6" customHeight="1" s="49">
      <c r="H231" s="28" t="n"/>
    </row>
    <row r="232" ht="21.6" customHeight="1" s="49">
      <c r="H232" s="28" t="n"/>
    </row>
    <row r="233" ht="21.6" customHeight="1" s="49">
      <c r="H233" s="28" t="n"/>
    </row>
    <row r="234" ht="21.6" customHeight="1" s="49">
      <c r="H234" s="28" t="n"/>
    </row>
    <row r="235" ht="21.6" customHeight="1" s="49">
      <c r="H235" s="28" t="n"/>
    </row>
    <row r="236" ht="21.6" customHeight="1" s="49">
      <c r="H236" s="28" t="n"/>
    </row>
    <row r="237" ht="21.6" customHeight="1" s="49">
      <c r="H237" s="28" t="n"/>
    </row>
    <row r="238" ht="21.6" customHeight="1" s="49">
      <c r="H238" s="28" t="n"/>
    </row>
    <row r="239" ht="21.6" customHeight="1" s="49">
      <c r="H239" s="28" t="n"/>
    </row>
    <row r="240" ht="21.6" customHeight="1" s="49">
      <c r="H240" s="28" t="n"/>
    </row>
    <row r="241" ht="21.6" customHeight="1" s="49">
      <c r="H241" s="28" t="n"/>
    </row>
    <row r="242" ht="21.6" customHeight="1" s="49">
      <c r="H242" s="28" t="n"/>
    </row>
    <row r="243" ht="21.6" customHeight="1" s="49">
      <c r="H243" s="28" t="n"/>
    </row>
    <row r="244" ht="21.6" customHeight="1" s="49">
      <c r="H244" s="28" t="n"/>
    </row>
    <row r="245" ht="21.6" customHeight="1" s="49">
      <c r="H245" s="28" t="n"/>
    </row>
    <row r="246" ht="21.6" customHeight="1" s="49">
      <c r="H246" s="28" t="n"/>
    </row>
    <row r="247" ht="21.6" customHeight="1" s="49">
      <c r="H247" s="28" t="n"/>
    </row>
    <row r="248" ht="21.6" customHeight="1" s="49">
      <c r="H248" s="28" t="n"/>
    </row>
    <row r="249" ht="21.6" customHeight="1" s="49">
      <c r="H249" s="28" t="n"/>
    </row>
    <row r="250" ht="21.6" customHeight="1" s="49">
      <c r="H250" s="28" t="n"/>
    </row>
    <row r="251" ht="21.6" customHeight="1" s="49">
      <c r="H251" s="28" t="n"/>
    </row>
    <row r="252" ht="21.6" customHeight="1" s="49">
      <c r="H252" s="28" t="n"/>
    </row>
    <row r="253" ht="21.6" customHeight="1" s="49">
      <c r="H253" s="28" t="n"/>
    </row>
    <row r="254" ht="21.6" customHeight="1" s="49">
      <c r="H254" s="28" t="n"/>
    </row>
    <row r="255" ht="21.6" customHeight="1" s="49">
      <c r="H255" s="28" t="n"/>
    </row>
    <row r="256" ht="21.6" customHeight="1" s="49">
      <c r="H256" s="28" t="n"/>
    </row>
    <row r="257" ht="21.6" customHeight="1" s="49">
      <c r="H257" s="28" t="n"/>
    </row>
    <row r="258" ht="21.6" customHeight="1" s="49">
      <c r="H258" s="28" t="n"/>
    </row>
    <row r="259" ht="21.6" customHeight="1" s="49">
      <c r="H259" s="28" t="n"/>
    </row>
    <row r="260" ht="21.6" customHeight="1" s="49">
      <c r="H260" s="28" t="n"/>
    </row>
    <row r="261" ht="21.6" customHeight="1" s="49">
      <c r="H261" s="28" t="n"/>
    </row>
    <row r="262" ht="21.6" customHeight="1" s="49">
      <c r="H262" s="28" t="n"/>
    </row>
    <row r="263" ht="21.6" customHeight="1" s="49">
      <c r="H263" s="28" t="n"/>
    </row>
    <row r="264" ht="21.6" customHeight="1" s="49">
      <c r="H264" s="28" t="n"/>
    </row>
    <row r="265" ht="21.6" customHeight="1" s="49">
      <c r="H265" s="28" t="n"/>
    </row>
    <row r="266" ht="21.6" customHeight="1" s="49">
      <c r="H266" s="28" t="n"/>
    </row>
    <row r="267" ht="21.6" customHeight="1" s="49">
      <c r="H267" s="28" t="n"/>
    </row>
    <row r="268" ht="21.6" customHeight="1" s="49">
      <c r="H268" s="28" t="n"/>
    </row>
    <row r="269" ht="21.6" customHeight="1" s="49">
      <c r="H269" s="28" t="n"/>
    </row>
    <row r="270" ht="21.6" customHeight="1" s="49">
      <c r="H270" s="28" t="n"/>
    </row>
    <row r="271" ht="21.6" customHeight="1" s="49">
      <c r="H271" s="28" t="n"/>
    </row>
    <row r="272" ht="21.6" customHeight="1" s="49">
      <c r="H272" s="28" t="n"/>
    </row>
    <row r="273" ht="21.6" customHeight="1" s="49">
      <c r="H273" s="28" t="n"/>
    </row>
    <row r="274" ht="21.6" customHeight="1" s="49">
      <c r="H274" s="28" t="n"/>
    </row>
    <row r="275" ht="21.6" customHeight="1" s="49">
      <c r="H275" s="28" t="n"/>
    </row>
    <row r="276" ht="21.6" customHeight="1" s="49">
      <c r="H276" s="28" t="n"/>
    </row>
    <row r="277" ht="21.6" customHeight="1" s="49">
      <c r="H277" s="28" t="n"/>
    </row>
    <row r="278" ht="21.6" customHeight="1" s="49">
      <c r="H278" s="28" t="n"/>
    </row>
    <row r="279" ht="21.6" customHeight="1" s="49">
      <c r="H279" s="28" t="n"/>
    </row>
    <row r="280" ht="21.6" customHeight="1" s="49">
      <c r="H280" s="28" t="n"/>
    </row>
    <row r="281" ht="21.6" customHeight="1" s="49">
      <c r="H281" s="28" t="n"/>
    </row>
    <row r="282" ht="21.6" customHeight="1" s="49">
      <c r="H282" s="28" t="n"/>
    </row>
    <row r="283" ht="21.6" customHeight="1" s="49">
      <c r="H283" s="28" t="n"/>
    </row>
    <row r="284" ht="21.6" customHeight="1" s="49">
      <c r="H284" s="28" t="n"/>
    </row>
    <row r="285" ht="21.6" customHeight="1" s="49">
      <c r="H285" s="28" t="n"/>
    </row>
    <row r="286" ht="21.6" customHeight="1" s="49">
      <c r="H286" s="28" t="n"/>
    </row>
    <row r="287" ht="21.6" customHeight="1" s="49">
      <c r="H287" s="28" t="n"/>
    </row>
    <row r="288" ht="21.6" customHeight="1" s="49">
      <c r="H288" s="28" t="n"/>
    </row>
    <row r="289" ht="21.6" customHeight="1" s="49">
      <c r="H289" s="28" t="n"/>
    </row>
    <row r="290" ht="21.6" customHeight="1" s="49">
      <c r="H290" s="28" t="n"/>
    </row>
    <row r="291" ht="21.6" customHeight="1" s="49">
      <c r="H291" s="28" t="n"/>
    </row>
    <row r="292" ht="21.6" customHeight="1" s="49">
      <c r="H292" s="28" t="n"/>
    </row>
    <row r="293" ht="21.6" customHeight="1" s="49">
      <c r="H293" s="28" t="n"/>
    </row>
    <row r="294" ht="21.6" customHeight="1" s="49">
      <c r="H294" s="28" t="n"/>
    </row>
    <row r="295" ht="21.6" customHeight="1" s="49">
      <c r="H295" s="28" t="n"/>
    </row>
    <row r="296" ht="21.6" customHeight="1" s="49">
      <c r="H296" s="28" t="n"/>
    </row>
    <row r="297" ht="21.6" customHeight="1" s="49">
      <c r="H297" s="28" t="n"/>
    </row>
    <row r="298" ht="21.6" customHeight="1" s="49">
      <c r="H298" s="28" t="n"/>
    </row>
    <row r="299" ht="21.6" customHeight="1" s="49">
      <c r="H299" s="28" t="n"/>
    </row>
    <row r="300" ht="21.6" customHeight="1" s="49">
      <c r="H300" s="28" t="n"/>
    </row>
    <row r="301" ht="21.6" customHeight="1" s="49">
      <c r="H301" s="28" t="n"/>
    </row>
    <row r="302" ht="21.6" customHeight="1" s="49">
      <c r="H302" s="28" t="n"/>
    </row>
    <row r="303" ht="21.6" customHeight="1" s="49">
      <c r="H303" s="28" t="n"/>
    </row>
    <row r="304" ht="21.6" customHeight="1" s="49">
      <c r="H304" s="28" t="n"/>
    </row>
    <row r="305" ht="21.6" customHeight="1" s="49">
      <c r="H305" s="28" t="n"/>
    </row>
    <row r="306" ht="21.6" customHeight="1" s="49">
      <c r="H306" s="28" t="n"/>
    </row>
    <row r="307" ht="21.6" customHeight="1" s="49">
      <c r="H307" s="28" t="n"/>
    </row>
    <row r="308" ht="21.6" customHeight="1" s="49">
      <c r="H308" s="28" t="n"/>
    </row>
    <row r="309" ht="21.6" customHeight="1" s="49">
      <c r="H309" s="28" t="n"/>
    </row>
    <row r="310" ht="21.6" customHeight="1" s="49">
      <c r="H310" s="28" t="n"/>
    </row>
    <row r="311" ht="21.6" customHeight="1" s="49">
      <c r="H311" s="28" t="n"/>
    </row>
    <row r="312" ht="21.6" customHeight="1" s="49">
      <c r="H312" s="28" t="n"/>
    </row>
    <row r="313" ht="21.6" customHeight="1" s="49">
      <c r="H313" s="28" t="n"/>
    </row>
    <row r="314" ht="21.6" customHeight="1" s="49">
      <c r="H314" s="28" t="n"/>
    </row>
    <row r="315" ht="21.6" customHeight="1" s="49">
      <c r="H315" s="28" t="n"/>
    </row>
    <row r="316" ht="21.6" customHeight="1" s="49">
      <c r="H316" s="28" t="n"/>
    </row>
    <row r="317" ht="21.6" customHeight="1" s="49">
      <c r="H317" s="28" t="n"/>
    </row>
    <row r="318" ht="21.6" customHeight="1" s="49">
      <c r="H318" s="28" t="n"/>
    </row>
    <row r="319" ht="21.6" customHeight="1" s="49">
      <c r="H319" s="28" t="n"/>
    </row>
    <row r="320" ht="21.6" customHeight="1" s="49">
      <c r="H320" s="28" t="n"/>
    </row>
    <row r="321" ht="21.6" customHeight="1" s="49">
      <c r="H321" s="28" t="n"/>
    </row>
    <row r="322" ht="21.6" customHeight="1" s="49">
      <c r="H322" s="28" t="n"/>
    </row>
    <row r="323" ht="21.6" customHeight="1" s="49">
      <c r="H323" s="28" t="n"/>
    </row>
    <row r="324" ht="21.6" customHeight="1" s="49">
      <c r="H324" s="28" t="n"/>
    </row>
    <row r="325" ht="21.6" customHeight="1" s="49">
      <c r="H325" s="28" t="n"/>
    </row>
    <row r="326" ht="21.6" customHeight="1" s="49">
      <c r="H326" s="28" t="n"/>
    </row>
    <row r="327" ht="21.6" customHeight="1" s="49">
      <c r="H327" s="28" t="n"/>
    </row>
    <row r="328" ht="21.6" customHeight="1" s="49">
      <c r="H328" s="28" t="n"/>
    </row>
    <row r="329" ht="21.6" customHeight="1" s="49">
      <c r="H329" s="28" t="n"/>
    </row>
    <row r="330" ht="21.6" customHeight="1" s="49">
      <c r="H330" s="28" t="n"/>
    </row>
    <row r="331" ht="21.6" customHeight="1" s="49">
      <c r="H331" s="28" t="n"/>
    </row>
    <row r="332" ht="21.6" customHeight="1" s="49">
      <c r="H332" s="28" t="n"/>
    </row>
    <row r="333" ht="21.6" customHeight="1" s="49">
      <c r="H333" s="28" t="n"/>
    </row>
    <row r="334" ht="21.6" customHeight="1" s="49">
      <c r="H334" s="28" t="n"/>
    </row>
    <row r="335" ht="21.6" customHeight="1" s="49">
      <c r="H335" s="28" t="n"/>
    </row>
    <row r="336" ht="21.6" customHeight="1" s="49">
      <c r="H336" s="28" t="n"/>
    </row>
    <row r="337" ht="21.6" customHeight="1" s="49">
      <c r="H337" s="28" t="n"/>
    </row>
    <row r="338" ht="21.6" customHeight="1" s="49">
      <c r="H338" s="28" t="n"/>
    </row>
    <row r="339" ht="21.6" customHeight="1" s="49">
      <c r="H339" s="28" t="n"/>
    </row>
    <row r="340" ht="21.6" customHeight="1" s="49">
      <c r="H340" s="28" t="n"/>
    </row>
    <row r="341" ht="21.6" customHeight="1" s="49">
      <c r="H341" s="28" t="n"/>
    </row>
    <row r="342" ht="21.6" customHeight="1" s="49">
      <c r="H342" s="28" t="n"/>
    </row>
    <row r="343" ht="21.6" customHeight="1" s="49">
      <c r="H343" s="28" t="n"/>
    </row>
    <row r="344" ht="21.6" customHeight="1" s="49">
      <c r="H344" s="28" t="n"/>
    </row>
    <row r="345" ht="21.6" customHeight="1" s="49">
      <c r="H345" s="28" t="n"/>
    </row>
    <row r="346" ht="21.6" customHeight="1" s="49">
      <c r="H346" s="28" t="n"/>
    </row>
    <row r="347" ht="21.6" customHeight="1" s="49">
      <c r="H347" s="28" t="n"/>
    </row>
    <row r="348" ht="21.6" customHeight="1" s="49">
      <c r="H348" s="28" t="n"/>
    </row>
    <row r="349" ht="21.6" customHeight="1" s="49">
      <c r="H349" s="28" t="n"/>
    </row>
    <row r="350" ht="21.6" customHeight="1" s="49">
      <c r="H350" s="28" t="n"/>
    </row>
    <row r="351" ht="21.6" customHeight="1" s="49">
      <c r="H351" s="28" t="n"/>
    </row>
    <row r="352" ht="21.6" customHeight="1" s="49">
      <c r="H352" s="28" t="n"/>
    </row>
    <row r="353" ht="21.6" customHeight="1" s="49">
      <c r="H353" s="28" t="n"/>
    </row>
    <row r="354" ht="21.6" customHeight="1" s="49">
      <c r="H354" s="28" t="n"/>
    </row>
    <row r="355" ht="21.6" customHeight="1" s="49">
      <c r="H355" s="28" t="n"/>
    </row>
    <row r="356" ht="21.6" customHeight="1" s="49">
      <c r="H356" s="28" t="n"/>
    </row>
    <row r="357" ht="21.6" customHeight="1" s="49">
      <c r="H357" s="28" t="n"/>
    </row>
    <row r="358" ht="21.6" customHeight="1" s="49">
      <c r="H358" s="28" t="n"/>
    </row>
    <row r="359" ht="21.6" customHeight="1" s="49">
      <c r="H359" s="28" t="n"/>
    </row>
    <row r="360" ht="21.6" customHeight="1" s="49">
      <c r="H360" s="28" t="n"/>
    </row>
    <row r="361" ht="21.6" customHeight="1" s="49">
      <c r="H361" s="28" t="n"/>
    </row>
    <row r="362" ht="21.6" customHeight="1" s="49">
      <c r="H362" s="28" t="n"/>
    </row>
    <row r="363" ht="21.6" customHeight="1" s="49">
      <c r="H363" s="28" t="n"/>
    </row>
    <row r="364" ht="21.6" customHeight="1" s="49">
      <c r="H364" s="28" t="n"/>
    </row>
    <row r="365" ht="21.6" customHeight="1" s="49">
      <c r="H365" s="28" t="n"/>
    </row>
    <row r="366" ht="21.6" customHeight="1" s="49">
      <c r="H366" s="28" t="n"/>
    </row>
    <row r="367" ht="21.6" customHeight="1" s="49">
      <c r="H367" s="28" t="n"/>
    </row>
    <row r="368" ht="21.6" customHeight="1" s="49">
      <c r="H368" s="28" t="n"/>
    </row>
    <row r="369" ht="21.6" customHeight="1" s="49">
      <c r="H369" s="28" t="n"/>
    </row>
    <row r="370" ht="21.6" customHeight="1" s="49">
      <c r="H370" s="28" t="n"/>
    </row>
    <row r="371" ht="21.6" customHeight="1" s="49">
      <c r="H371" s="28" t="n"/>
    </row>
    <row r="372" ht="21.6" customHeight="1" s="49">
      <c r="H372" s="28" t="n"/>
    </row>
    <row r="373" ht="21.6" customHeight="1" s="49">
      <c r="H373" s="28" t="n"/>
    </row>
    <row r="374" ht="21.6" customHeight="1" s="49">
      <c r="H374" s="28" t="n"/>
    </row>
    <row r="375" ht="21.6" customHeight="1" s="49">
      <c r="H375" s="28" t="n"/>
    </row>
    <row r="376" ht="21.6" customHeight="1" s="49">
      <c r="H376" s="28" t="n"/>
    </row>
    <row r="377" ht="21.6" customHeight="1" s="49">
      <c r="H377" s="28" t="n"/>
    </row>
    <row r="378" ht="21.6" customHeight="1" s="49">
      <c r="H378" s="28" t="n"/>
    </row>
    <row r="379" ht="21.6" customHeight="1" s="49">
      <c r="H379" s="28" t="n"/>
    </row>
    <row r="380" ht="21.6" customHeight="1" s="49">
      <c r="H380" s="28" t="n"/>
    </row>
    <row r="381" ht="21.6" customHeight="1" s="49">
      <c r="H381" s="28" t="n"/>
    </row>
    <row r="382" ht="21.6" customHeight="1" s="49">
      <c r="H382" s="28" t="n"/>
    </row>
    <row r="383" ht="21.6" customHeight="1" s="49">
      <c r="H383" s="28" t="n"/>
    </row>
    <row r="384" ht="21.6" customHeight="1" s="49">
      <c r="H384" s="28" t="n"/>
    </row>
    <row r="385" ht="21.6" customHeight="1" s="49">
      <c r="H385" s="28" t="n"/>
    </row>
    <row r="386" ht="21.6" customHeight="1" s="49">
      <c r="H386" s="28" t="n"/>
    </row>
    <row r="387" ht="21.6" customHeight="1" s="49">
      <c r="H387" s="28" t="n"/>
    </row>
    <row r="388" ht="21.6" customHeight="1" s="49">
      <c r="H388" s="28" t="n"/>
    </row>
    <row r="389" ht="21.6" customHeight="1" s="49">
      <c r="H389" s="28" t="n"/>
    </row>
    <row r="390" ht="21.6" customHeight="1" s="49">
      <c r="H390" s="28" t="n"/>
    </row>
    <row r="391" ht="21.6" customHeight="1" s="49">
      <c r="H391" s="28" t="n"/>
    </row>
    <row r="392" ht="21.6" customHeight="1" s="49">
      <c r="H392" s="28" t="n"/>
    </row>
    <row r="393" ht="21.6" customHeight="1" s="49">
      <c r="H393" s="28" t="n"/>
    </row>
    <row r="394" ht="21.6" customHeight="1" s="49">
      <c r="H394" s="28" t="n"/>
    </row>
    <row r="395" ht="21.6" customHeight="1" s="49">
      <c r="H395" s="28" t="n"/>
    </row>
    <row r="396" ht="21.6" customHeight="1" s="49">
      <c r="H396" s="28" t="n"/>
    </row>
    <row r="397" ht="21.6" customHeight="1" s="49">
      <c r="H397" s="28" t="n"/>
    </row>
    <row r="398" ht="21.6" customHeight="1" s="49">
      <c r="H398" s="28" t="n"/>
    </row>
    <row r="399" ht="21.6" customHeight="1" s="49">
      <c r="H399" s="28" t="n"/>
    </row>
    <row r="400" ht="21.6" customHeight="1" s="49">
      <c r="H400" s="28" t="n"/>
    </row>
    <row r="401" ht="21.6" customHeight="1" s="49">
      <c r="H401" s="28" t="n"/>
    </row>
    <row r="402" ht="21.6" customHeight="1" s="49">
      <c r="H402" s="28" t="n"/>
    </row>
    <row r="403" ht="21.6" customHeight="1" s="49">
      <c r="H403" s="28" t="n"/>
    </row>
    <row r="404" ht="21.6" customHeight="1" s="49">
      <c r="H404" s="28" t="n"/>
    </row>
    <row r="405" ht="21.6" customHeight="1" s="49">
      <c r="H405" s="28" t="n"/>
    </row>
    <row r="406" ht="21.6" customHeight="1" s="49">
      <c r="H406" s="28" t="n"/>
    </row>
    <row r="407" ht="21.6" customHeight="1" s="49">
      <c r="H407" s="28" t="n"/>
    </row>
    <row r="408" ht="21.6" customHeight="1" s="49">
      <c r="H408" s="28" t="n"/>
    </row>
    <row r="409" ht="21.6" customHeight="1" s="49">
      <c r="H409" s="28" t="n"/>
    </row>
    <row r="410" ht="21.6" customHeight="1" s="49">
      <c r="H410" s="28" t="n"/>
    </row>
    <row r="411" ht="21.6" customHeight="1" s="49">
      <c r="H411" s="28" t="n"/>
    </row>
    <row r="412" ht="21.6" customHeight="1" s="49">
      <c r="H412" s="28" t="n"/>
    </row>
    <row r="413" ht="21.6" customHeight="1" s="49">
      <c r="H413" s="28" t="n"/>
    </row>
    <row r="414" ht="21.6" customHeight="1" s="49">
      <c r="H414" s="28" t="n"/>
    </row>
    <row r="415" ht="21.6" customHeight="1" s="49">
      <c r="H415" s="28" t="n"/>
    </row>
    <row r="416" ht="21.6" customHeight="1" s="49">
      <c r="H416" s="28" t="n"/>
    </row>
    <row r="417" ht="21.6" customHeight="1" s="49">
      <c r="H417" s="28" t="n"/>
    </row>
    <row r="418" ht="21.6" customHeight="1" s="49">
      <c r="H418" s="28" t="n"/>
    </row>
    <row r="419" ht="21.6" customHeight="1" s="49">
      <c r="H419" s="28" t="n"/>
    </row>
    <row r="420" ht="21.6" customHeight="1" s="49">
      <c r="H420" s="28" t="n"/>
    </row>
    <row r="421" ht="21.6" customHeight="1" s="49">
      <c r="H421" s="28" t="n"/>
    </row>
    <row r="422" ht="21.6" customHeight="1" s="49">
      <c r="H422" s="28" t="n"/>
    </row>
    <row r="423" ht="21.6" customHeight="1" s="49">
      <c r="H423" s="28" t="n"/>
    </row>
    <row r="424" ht="21.6" customHeight="1" s="49">
      <c r="H424" s="28" t="n"/>
    </row>
    <row r="425" ht="21.6" customHeight="1" s="49">
      <c r="H425" s="28" t="n"/>
    </row>
    <row r="426" ht="21.6" customHeight="1" s="49">
      <c r="H426" s="28" t="n"/>
    </row>
    <row r="427" ht="21.6" customHeight="1" s="49">
      <c r="H427" s="28" t="n"/>
    </row>
    <row r="428" ht="21.6" customHeight="1" s="49">
      <c r="H428" s="28" t="n"/>
    </row>
    <row r="429" ht="21.6" customHeight="1" s="49">
      <c r="H429" s="28" t="n"/>
    </row>
    <row r="430" ht="21.6" customHeight="1" s="49">
      <c r="H430" s="28" t="n"/>
    </row>
    <row r="431" ht="21.6" customHeight="1" s="49">
      <c r="H431" s="28" t="n"/>
    </row>
    <row r="432" ht="21.6" customHeight="1" s="49">
      <c r="H432" s="28" t="n"/>
    </row>
    <row r="433" ht="21.6" customHeight="1" s="49">
      <c r="H433" s="28" t="n"/>
    </row>
    <row r="434" ht="21.6" customHeight="1" s="49">
      <c r="H434" s="28" t="n"/>
    </row>
    <row r="435" ht="21.6" customHeight="1" s="49">
      <c r="H435" s="28" t="n"/>
    </row>
    <row r="436" ht="21.6" customHeight="1" s="49">
      <c r="H436" s="28" t="n"/>
    </row>
    <row r="437" ht="21.6" customHeight="1" s="49">
      <c r="H437" s="28" t="n"/>
    </row>
    <row r="438" ht="21.6" customHeight="1" s="49">
      <c r="H438" s="28" t="n"/>
    </row>
    <row r="439" ht="21.6" customHeight="1" s="49">
      <c r="H439" s="28" t="n"/>
    </row>
    <row r="440" ht="21.6" customHeight="1" s="49">
      <c r="H440" s="28" t="n"/>
    </row>
    <row r="441" ht="21.6" customHeight="1" s="49">
      <c r="H441" s="28" t="n"/>
    </row>
    <row r="442" ht="21.6" customHeight="1" s="49">
      <c r="H442" s="28" t="n"/>
    </row>
    <row r="443" ht="21.6" customHeight="1" s="49">
      <c r="H443" s="28" t="n"/>
    </row>
    <row r="444" ht="21.6" customHeight="1" s="49">
      <c r="H444" s="28" t="n"/>
    </row>
    <row r="445" ht="21.6" customHeight="1" s="49">
      <c r="H445" s="28" t="n"/>
    </row>
    <row r="446" ht="21.6" customHeight="1" s="49">
      <c r="H446" s="28" t="n"/>
    </row>
    <row r="447" ht="21.6" customHeight="1" s="49">
      <c r="H447" s="28" t="n"/>
    </row>
    <row r="448" ht="21.6" customHeight="1" s="49">
      <c r="H448" s="28" t="n"/>
    </row>
    <row r="449" ht="21.6" customHeight="1" s="49">
      <c r="H449" s="28" t="n"/>
    </row>
    <row r="450" ht="21.6" customHeight="1" s="49">
      <c r="H450" s="28" t="n"/>
    </row>
    <row r="451" ht="21.6" customHeight="1" s="49">
      <c r="H451" s="28" t="n"/>
    </row>
    <row r="452" ht="21.6" customHeight="1" s="49">
      <c r="H452" s="28" t="n"/>
    </row>
    <row r="453" ht="21.6" customHeight="1" s="49">
      <c r="H453" s="28" t="n"/>
    </row>
    <row r="454" ht="21.6" customHeight="1" s="49">
      <c r="H454" s="28" t="n"/>
    </row>
    <row r="455" ht="21.6" customHeight="1" s="49">
      <c r="H455" s="28" t="n"/>
    </row>
    <row r="456" ht="21.6" customHeight="1" s="49">
      <c r="H456" s="28" t="n"/>
    </row>
    <row r="457" ht="21.6" customHeight="1" s="49">
      <c r="H457" s="28" t="n"/>
    </row>
    <row r="458" ht="21.6" customHeight="1" s="49">
      <c r="H458" s="28" t="n"/>
    </row>
    <row r="459" ht="21.6" customHeight="1" s="49">
      <c r="H459" s="28" t="n"/>
    </row>
    <row r="460" ht="21.6" customHeight="1" s="49">
      <c r="H460" s="28" t="n"/>
    </row>
    <row r="461" ht="21.6" customHeight="1" s="49">
      <c r="H461" s="28" t="n"/>
    </row>
    <row r="462" ht="21.6" customHeight="1" s="49">
      <c r="H462" s="28" t="n"/>
    </row>
    <row r="463" ht="21.6" customHeight="1" s="49">
      <c r="H463" s="28" t="n"/>
    </row>
    <row r="464" ht="21.6" customHeight="1" s="49">
      <c r="H464" s="28" t="n"/>
    </row>
    <row r="465" ht="21.6" customHeight="1" s="49">
      <c r="H465" s="28" t="n"/>
    </row>
    <row r="466" ht="21.6" customHeight="1" s="49">
      <c r="H466" s="28" t="n"/>
    </row>
    <row r="467" ht="21.6" customHeight="1" s="49">
      <c r="H467" s="28" t="n"/>
    </row>
    <row r="468" ht="21.6" customHeight="1" s="49">
      <c r="H468" s="28" t="n"/>
    </row>
    <row r="469" ht="21.6" customHeight="1" s="49">
      <c r="H469" s="28" t="n"/>
    </row>
    <row r="470" ht="21.6" customHeight="1" s="49">
      <c r="H470" s="28" t="n"/>
    </row>
    <row r="471" ht="21.6" customHeight="1" s="49">
      <c r="H471" s="28" t="n"/>
    </row>
    <row r="472" ht="21.6" customHeight="1" s="49">
      <c r="H472" s="28" t="n"/>
    </row>
    <row r="473" ht="21.6" customHeight="1" s="49">
      <c r="H473" s="28" t="n"/>
    </row>
    <row r="474" ht="21.6" customHeight="1" s="49">
      <c r="H474" s="28" t="n"/>
    </row>
    <row r="475" ht="21.6" customHeight="1" s="49">
      <c r="H475" s="28" t="n"/>
    </row>
    <row r="476" ht="21.6" customHeight="1" s="49">
      <c r="H476" s="28" t="n"/>
    </row>
    <row r="477" ht="21.6" customHeight="1" s="49">
      <c r="H477" s="28" t="n"/>
    </row>
    <row r="478" ht="21.6" customHeight="1" s="49">
      <c r="H478" s="28" t="n"/>
    </row>
    <row r="479" ht="21.6" customHeight="1" s="49">
      <c r="H479" s="28" t="n"/>
    </row>
    <row r="480" ht="21.6" customHeight="1" s="49">
      <c r="H480" s="28" t="n"/>
    </row>
    <row r="481" ht="21.6" customHeight="1" s="49">
      <c r="H481" s="28" t="n"/>
    </row>
    <row r="482" ht="21.6" customHeight="1" s="49">
      <c r="H482" s="28" t="n"/>
    </row>
    <row r="483" ht="21.6" customHeight="1" s="49">
      <c r="H483" s="28" t="n"/>
    </row>
    <row r="484" ht="21.6" customHeight="1" s="49">
      <c r="H484" s="28" t="n"/>
    </row>
    <row r="485" ht="21.6" customHeight="1" s="49">
      <c r="H485" s="28" t="n"/>
    </row>
    <row r="486" ht="21.6" customHeight="1" s="49">
      <c r="H486" s="28" t="n"/>
    </row>
    <row r="487" ht="21.6" customHeight="1" s="49">
      <c r="H487" s="28" t="n"/>
    </row>
    <row r="488" ht="21.6" customHeight="1" s="49">
      <c r="H488" s="28" t="n"/>
    </row>
    <row r="489" ht="21.6" customHeight="1" s="49">
      <c r="H489" s="28" t="n"/>
    </row>
    <row r="490" ht="21.6" customHeight="1" s="49">
      <c r="H490" s="28" t="n"/>
    </row>
    <row r="491" ht="21.6" customHeight="1" s="49">
      <c r="H491" s="28" t="n"/>
    </row>
    <row r="492" ht="21.6" customHeight="1" s="49">
      <c r="H492" s="28" t="n"/>
    </row>
    <row r="493" ht="21.6" customHeight="1" s="49">
      <c r="H493" s="28" t="n"/>
    </row>
    <row r="494" ht="21.6" customHeight="1" s="49">
      <c r="H494" s="28" t="n"/>
    </row>
    <row r="495" ht="21.6" customHeight="1" s="49">
      <c r="H495" s="28" t="n"/>
    </row>
    <row r="496" ht="21.6" customHeight="1" s="49">
      <c r="H496" s="28" t="n"/>
    </row>
    <row r="497" ht="21.6" customHeight="1" s="49">
      <c r="H497" s="28" t="n"/>
    </row>
    <row r="498" ht="21.6" customHeight="1" s="49">
      <c r="H498" s="28" t="n"/>
    </row>
    <row r="499" ht="21.6" customHeight="1" s="49">
      <c r="H499" s="28" t="n"/>
    </row>
    <row r="500" ht="21.6" customHeight="1" s="49">
      <c r="H500" s="28" t="n"/>
    </row>
    <row r="501" ht="21.6" customHeight="1" s="49">
      <c r="H501" s="28" t="n"/>
    </row>
    <row r="502" ht="21.6" customHeight="1" s="49">
      <c r="H502" s="28" t="n"/>
    </row>
    <row r="503" ht="21.6" customHeight="1" s="49">
      <c r="H503" s="28" t="n"/>
    </row>
    <row r="504" ht="21.6" customHeight="1" s="49">
      <c r="H504" s="28" t="n"/>
    </row>
    <row r="505" ht="21.6" customHeight="1" s="49">
      <c r="H505" s="28" t="n"/>
    </row>
    <row r="506" ht="21.6" customHeight="1" s="49">
      <c r="H506" s="28" t="n"/>
    </row>
    <row r="507" ht="21.6" customHeight="1" s="49">
      <c r="H507" s="28" t="n"/>
    </row>
    <row r="508" ht="21.6" customHeight="1" s="49">
      <c r="H508" s="28" t="n"/>
    </row>
    <row r="509" ht="21.6" customHeight="1" s="49">
      <c r="H509" s="28" t="n"/>
    </row>
    <row r="510" ht="21.6" customHeight="1" s="49">
      <c r="H510" s="28" t="n"/>
    </row>
    <row r="511" ht="21.6" customHeight="1" s="49">
      <c r="H511" s="28" t="n"/>
    </row>
    <row r="512" ht="21.6" customHeight="1" s="49">
      <c r="H512" s="28" t="n"/>
    </row>
    <row r="513" ht="21.6" customHeight="1" s="49">
      <c r="H513" s="28" t="n"/>
    </row>
    <row r="514" ht="21.6" customHeight="1" s="49">
      <c r="H514" s="28" t="n"/>
    </row>
    <row r="515" ht="21.6" customHeight="1" s="49">
      <c r="H515" s="28" t="n"/>
    </row>
    <row r="516" ht="21.6" customHeight="1" s="49">
      <c r="H516" s="28" t="n"/>
    </row>
    <row r="517" ht="21.6" customHeight="1" s="49">
      <c r="H517" s="28" t="n"/>
    </row>
    <row r="518" ht="21.6" customHeight="1" s="49">
      <c r="H518" s="28" t="n"/>
    </row>
    <row r="519" ht="21.6" customHeight="1" s="49">
      <c r="H519" s="28" t="n"/>
    </row>
    <row r="520" ht="21.6" customHeight="1" s="49">
      <c r="H520" s="28" t="n"/>
    </row>
    <row r="521" ht="21.6" customHeight="1" s="49">
      <c r="H521" s="28" t="n"/>
    </row>
    <row r="522" ht="21.6" customHeight="1" s="49">
      <c r="H522" s="28" t="n"/>
    </row>
    <row r="523" ht="21.6" customHeight="1" s="49">
      <c r="H523" s="28" t="n"/>
    </row>
    <row r="524" ht="21.6" customHeight="1" s="49">
      <c r="H524" s="28" t="n"/>
    </row>
    <row r="525" ht="21.6" customHeight="1" s="49">
      <c r="H525" s="28" t="n"/>
    </row>
    <row r="526" ht="21.6" customHeight="1" s="49">
      <c r="H526" s="28" t="n"/>
    </row>
    <row r="527" ht="21.6" customHeight="1" s="49">
      <c r="H527" s="28" t="n"/>
    </row>
    <row r="528" ht="21.6" customHeight="1" s="49">
      <c r="H528" s="28" t="n"/>
    </row>
    <row r="529" ht="21.6" customHeight="1" s="49">
      <c r="H529" s="28" t="n"/>
    </row>
    <row r="530" ht="21.6" customHeight="1" s="49">
      <c r="H530" s="28" t="n"/>
    </row>
    <row r="531" ht="21.6" customHeight="1" s="49">
      <c r="H531" s="28" t="n"/>
    </row>
    <row r="532" ht="21.6" customHeight="1" s="49">
      <c r="H532" s="28" t="n"/>
    </row>
    <row r="533" ht="21.6" customHeight="1" s="49">
      <c r="H533" s="28" t="n"/>
    </row>
    <row r="534" ht="21.6" customHeight="1" s="49">
      <c r="H534" s="28" t="n"/>
    </row>
    <row r="535" ht="21.6" customHeight="1" s="49">
      <c r="H535" s="28" t="n"/>
    </row>
    <row r="536" ht="21.6" customHeight="1" s="49">
      <c r="H536" s="28" t="n"/>
    </row>
    <row r="537" ht="21.6" customHeight="1" s="49">
      <c r="H537" s="28" t="n"/>
    </row>
    <row r="538" ht="21.6" customHeight="1" s="49">
      <c r="H538" s="28" t="n"/>
    </row>
    <row r="539" ht="21.6" customHeight="1" s="49">
      <c r="H539" s="28" t="n"/>
    </row>
    <row r="540" ht="21.6" customHeight="1" s="49">
      <c r="H540" s="28" t="n"/>
    </row>
    <row r="541" ht="21.6" customHeight="1" s="49">
      <c r="H541" s="28" t="n"/>
    </row>
    <row r="542" ht="21.6" customHeight="1" s="49">
      <c r="H542" s="28" t="n"/>
    </row>
    <row r="543" ht="21.6" customHeight="1" s="49">
      <c r="H543" s="28" t="n"/>
    </row>
    <row r="544" ht="21.6" customHeight="1" s="49">
      <c r="H544" s="28" t="n"/>
    </row>
    <row r="545" ht="21.6" customHeight="1" s="49">
      <c r="H545" s="28" t="n"/>
    </row>
    <row r="546" ht="21.6" customHeight="1" s="49">
      <c r="H546" s="28" t="n"/>
    </row>
    <row r="547" ht="21.6" customHeight="1" s="49">
      <c r="H547" s="28" t="n"/>
    </row>
    <row r="548" ht="21.6" customHeight="1" s="49">
      <c r="H548" s="28" t="n"/>
    </row>
    <row r="549" ht="21.6" customHeight="1" s="49">
      <c r="H549" s="28" t="n"/>
    </row>
    <row r="550" ht="21.6" customHeight="1" s="49">
      <c r="H550" s="28" t="n"/>
    </row>
    <row r="551" ht="21.6" customHeight="1" s="49">
      <c r="H551" s="28" t="n"/>
    </row>
    <row r="552" ht="21.6" customHeight="1" s="49">
      <c r="H552" s="28" t="n"/>
    </row>
    <row r="553" ht="21.6" customHeight="1" s="49">
      <c r="H553" s="28" t="n"/>
    </row>
    <row r="554" ht="21.6" customHeight="1" s="49">
      <c r="H554" s="28" t="n"/>
    </row>
    <row r="555" ht="21.6" customHeight="1" s="49">
      <c r="H555" s="28" t="n"/>
    </row>
    <row r="556" ht="21.6" customHeight="1" s="49">
      <c r="H556" s="28" t="n"/>
    </row>
    <row r="557" ht="21.6" customHeight="1" s="49">
      <c r="H557" s="28" t="n"/>
    </row>
    <row r="558" ht="21.6" customHeight="1" s="49">
      <c r="H558" s="28" t="n"/>
    </row>
    <row r="559" ht="21.6" customHeight="1" s="49">
      <c r="H559" s="28" t="n"/>
    </row>
    <row r="560" ht="21.6" customHeight="1" s="49">
      <c r="H560" s="28" t="n"/>
    </row>
    <row r="561" ht="21.6" customHeight="1" s="49">
      <c r="H561" s="28" t="n"/>
    </row>
    <row r="562" ht="21.6" customHeight="1" s="49">
      <c r="H562" s="28" t="n"/>
    </row>
    <row r="563" ht="21.6" customHeight="1" s="49">
      <c r="H563" s="28" t="n"/>
    </row>
    <row r="564" ht="21.6" customHeight="1" s="49">
      <c r="H564" s="28" t="n"/>
    </row>
    <row r="565" ht="21.6" customHeight="1" s="49">
      <c r="H565" s="28" t="n"/>
    </row>
    <row r="566" ht="21.6" customHeight="1" s="49">
      <c r="H566" s="28" t="n"/>
    </row>
    <row r="567" ht="21.6" customHeight="1" s="49">
      <c r="H567" s="28" t="n"/>
    </row>
    <row r="568" ht="21.6" customHeight="1" s="49">
      <c r="H568" s="28" t="n"/>
    </row>
    <row r="569" ht="21.6" customHeight="1" s="49">
      <c r="H569" s="28" t="n"/>
    </row>
    <row r="570" ht="21.6" customHeight="1" s="49">
      <c r="H570" s="28" t="n"/>
    </row>
    <row r="571" ht="21.6" customHeight="1" s="49">
      <c r="H571" s="28" t="n"/>
    </row>
    <row r="572" ht="21.6" customHeight="1" s="49">
      <c r="H572" s="28" t="n"/>
    </row>
    <row r="573" ht="21.6" customHeight="1" s="49">
      <c r="H573" s="28" t="n"/>
    </row>
    <row r="574" ht="21.6" customHeight="1" s="49">
      <c r="H574" s="28" t="n"/>
    </row>
    <row r="575" ht="21.6" customHeight="1" s="49">
      <c r="H575" s="28" t="n"/>
    </row>
    <row r="576" ht="21.6" customHeight="1" s="49">
      <c r="H576" s="28" t="n"/>
    </row>
    <row r="577" ht="21.6" customHeight="1" s="49">
      <c r="H577" s="28" t="n"/>
    </row>
    <row r="578" ht="21.6" customHeight="1" s="49">
      <c r="H578" s="28" t="n"/>
    </row>
    <row r="579" ht="21.6" customHeight="1" s="49">
      <c r="H579" s="28" t="n"/>
    </row>
    <row r="580" ht="21.6" customHeight="1" s="49">
      <c r="H580" s="28" t="n"/>
    </row>
    <row r="581" ht="21.6" customHeight="1" s="49">
      <c r="H581" s="28" t="n"/>
    </row>
    <row r="582" ht="21.6" customHeight="1" s="49">
      <c r="H582" s="28" t="n"/>
    </row>
    <row r="583" ht="21.6" customHeight="1" s="49">
      <c r="H583" s="28" t="n"/>
    </row>
    <row r="584" ht="21.6" customHeight="1" s="49">
      <c r="H584" s="28" t="n"/>
    </row>
    <row r="585" ht="21.6" customHeight="1" s="49">
      <c r="H585" s="28" t="n"/>
    </row>
    <row r="586" ht="21.6" customHeight="1" s="49">
      <c r="H586" s="28" t="n"/>
    </row>
    <row r="587" ht="21.6" customHeight="1" s="49">
      <c r="H587" s="28" t="n"/>
    </row>
    <row r="588" ht="21.6" customHeight="1" s="49">
      <c r="H588" s="28" t="n"/>
    </row>
    <row r="589" ht="21.6" customHeight="1" s="49">
      <c r="H589" s="28" t="n"/>
    </row>
    <row r="590" ht="21.6" customHeight="1" s="49">
      <c r="H590" s="28" t="n"/>
    </row>
    <row r="591" ht="21.6" customHeight="1" s="49">
      <c r="H591" s="28" t="n"/>
    </row>
    <row r="592" ht="21.6" customHeight="1" s="49">
      <c r="H592" s="28" t="n"/>
    </row>
    <row r="593" ht="21.6" customHeight="1" s="49">
      <c r="H593" s="28" t="n"/>
    </row>
    <row r="594" ht="21.6" customHeight="1" s="49">
      <c r="H594" s="28" t="n"/>
    </row>
    <row r="595" ht="21.6" customHeight="1" s="49">
      <c r="H595" s="28" t="n"/>
    </row>
    <row r="596" ht="21.6" customHeight="1" s="49">
      <c r="H596" s="28" t="n"/>
    </row>
    <row r="597" ht="21.6" customHeight="1" s="49">
      <c r="H597" s="28" t="n"/>
    </row>
    <row r="598" ht="21.6" customHeight="1" s="49">
      <c r="H598" s="28" t="n"/>
    </row>
    <row r="599" ht="21.6" customHeight="1" s="49">
      <c r="H599" s="28" t="n"/>
    </row>
    <row r="600" ht="21.6" customHeight="1" s="49">
      <c r="H600" s="28" t="n"/>
    </row>
    <row r="601" ht="21.6" customHeight="1" s="49">
      <c r="H601" s="28" t="n"/>
    </row>
    <row r="602" ht="21.6" customHeight="1" s="49">
      <c r="H602" s="28" t="n"/>
    </row>
    <row r="603" ht="21.6" customHeight="1" s="49">
      <c r="H603" s="28" t="n"/>
    </row>
    <row r="604" ht="21.6" customHeight="1" s="49">
      <c r="H604" s="28" t="n"/>
    </row>
    <row r="605" ht="21.6" customHeight="1" s="49">
      <c r="H605" s="28" t="n"/>
    </row>
    <row r="606" ht="21.6" customHeight="1" s="49">
      <c r="H606" s="28" t="n"/>
    </row>
    <row r="607" ht="21.6" customHeight="1" s="49">
      <c r="H607" s="28" t="n"/>
    </row>
    <row r="608" ht="21.6" customHeight="1" s="49">
      <c r="H608" s="28" t="n"/>
    </row>
    <row r="609" ht="21.6" customHeight="1" s="49">
      <c r="H609" s="28" t="n"/>
    </row>
    <row r="610" ht="21.6" customHeight="1" s="49">
      <c r="H610" s="28" t="n"/>
    </row>
    <row r="611" ht="21.6" customHeight="1" s="49">
      <c r="H611" s="28" t="n"/>
    </row>
    <row r="612" ht="21.6" customHeight="1" s="49">
      <c r="H612" s="28" t="n"/>
    </row>
    <row r="613" ht="21.6" customHeight="1" s="49">
      <c r="H613" s="28" t="n"/>
    </row>
    <row r="614" ht="21.6" customHeight="1" s="49">
      <c r="H614" s="28" t="n"/>
    </row>
    <row r="615" ht="21.6" customHeight="1" s="49">
      <c r="H615" s="28" t="n"/>
    </row>
    <row r="616" ht="21.6" customHeight="1" s="49">
      <c r="H616" s="28" t="n"/>
    </row>
    <row r="617" ht="21.6" customHeight="1" s="49">
      <c r="H617" s="28" t="n"/>
    </row>
    <row r="618" ht="21.6" customHeight="1" s="49">
      <c r="H618" s="28" t="n"/>
    </row>
    <row r="619" ht="21.6" customHeight="1" s="49">
      <c r="H619" s="28" t="n"/>
    </row>
    <row r="620" ht="21.6" customHeight="1" s="49">
      <c r="H620" s="28" t="n"/>
    </row>
    <row r="621" ht="21.6" customHeight="1" s="49">
      <c r="H621" s="28" t="n"/>
    </row>
    <row r="622" ht="21.6" customHeight="1" s="49">
      <c r="H622" s="28" t="n"/>
    </row>
    <row r="623" ht="21.6" customHeight="1" s="49">
      <c r="H623" s="28" t="n"/>
    </row>
    <row r="624" ht="21.6" customHeight="1" s="49">
      <c r="H624" s="28" t="n"/>
    </row>
    <row r="625" ht="21.6" customHeight="1" s="49">
      <c r="H625" s="28" t="n"/>
    </row>
    <row r="626" ht="21.6" customHeight="1" s="49">
      <c r="H626" s="28" t="n"/>
    </row>
    <row r="627" ht="21.6" customHeight="1" s="49">
      <c r="H627" s="28" t="n"/>
    </row>
    <row r="628" ht="21.6" customHeight="1" s="49">
      <c r="H628" s="28" t="n"/>
    </row>
    <row r="629" ht="21.6" customHeight="1" s="49">
      <c r="H629" s="28" t="n"/>
    </row>
    <row r="630" ht="21.6" customHeight="1" s="49">
      <c r="H630" s="28" t="n"/>
    </row>
    <row r="631" ht="21.6" customHeight="1" s="49">
      <c r="H631" s="28" t="n"/>
    </row>
    <row r="632" ht="21.6" customHeight="1" s="49">
      <c r="H632" s="28" t="n"/>
    </row>
    <row r="633" ht="21.6" customHeight="1" s="49">
      <c r="H633" s="28" t="n"/>
    </row>
    <row r="634" ht="21.6" customHeight="1" s="49">
      <c r="H634" s="28" t="n"/>
    </row>
    <row r="635" ht="21.6" customHeight="1" s="49">
      <c r="H635" s="28" t="n"/>
    </row>
    <row r="636" ht="21.6" customHeight="1" s="49">
      <c r="H636" s="28" t="n"/>
    </row>
    <row r="637" ht="21.6" customHeight="1" s="49">
      <c r="H637" s="28" t="n"/>
    </row>
    <row r="638" ht="21.6" customHeight="1" s="49">
      <c r="H638" s="28" t="n"/>
    </row>
    <row r="639" ht="21.6" customHeight="1" s="49">
      <c r="H639" s="28" t="n"/>
    </row>
    <row r="640" ht="21.6" customHeight="1" s="49">
      <c r="H640" s="28" t="n"/>
    </row>
    <row r="641" ht="21.6" customHeight="1" s="49">
      <c r="H641" s="28" t="n"/>
    </row>
    <row r="642" ht="21.6" customHeight="1" s="49">
      <c r="H642" s="28" t="n"/>
    </row>
    <row r="643" ht="21.6" customHeight="1" s="49">
      <c r="H643" s="28" t="n"/>
    </row>
    <row r="644" ht="21.6" customHeight="1" s="49">
      <c r="H644" s="28" t="n"/>
    </row>
    <row r="645" ht="21.6" customHeight="1" s="49">
      <c r="H645" s="28" t="n"/>
    </row>
    <row r="646" ht="21.6" customHeight="1" s="49">
      <c r="H646" s="28" t="n"/>
    </row>
    <row r="647" ht="21.6" customHeight="1" s="49">
      <c r="H647" s="28" t="n"/>
    </row>
    <row r="648" ht="21.6" customHeight="1" s="49">
      <c r="H648" s="28" t="n"/>
    </row>
    <row r="649" ht="21.6" customHeight="1" s="49">
      <c r="H649" s="28" t="n"/>
    </row>
    <row r="650" ht="21.6" customHeight="1" s="49">
      <c r="H650" s="28" t="n"/>
    </row>
    <row r="651" ht="21.6" customHeight="1" s="49">
      <c r="H651" s="28" t="n"/>
    </row>
    <row r="652" ht="21.6" customHeight="1" s="49">
      <c r="H652" s="28" t="n"/>
    </row>
    <row r="653" ht="21.6" customHeight="1" s="49">
      <c r="H653" s="28" t="n"/>
    </row>
    <row r="654" ht="21.6" customHeight="1" s="49">
      <c r="H654" s="28" t="n"/>
    </row>
    <row r="655" ht="21.6" customHeight="1" s="49">
      <c r="H655" s="28" t="n"/>
    </row>
    <row r="656" ht="21.6" customHeight="1" s="49">
      <c r="H656" s="28" t="n"/>
    </row>
    <row r="657" ht="21.6" customHeight="1" s="49">
      <c r="H657" s="28" t="n"/>
    </row>
    <row r="658" ht="21.6" customHeight="1" s="49">
      <c r="H658" s="28" t="n"/>
    </row>
    <row r="659" ht="21.6" customHeight="1" s="49">
      <c r="H659" s="28" t="n"/>
    </row>
    <row r="660" ht="21.6" customHeight="1" s="49">
      <c r="H660" s="28" t="n"/>
    </row>
    <row r="661" ht="21.6" customHeight="1" s="49">
      <c r="H661" s="28" t="n"/>
    </row>
    <row r="662" ht="21.6" customHeight="1" s="49">
      <c r="H662" s="28" t="n"/>
    </row>
    <row r="663" ht="21.6" customHeight="1" s="49">
      <c r="H663" s="28" t="n"/>
    </row>
    <row r="664" ht="21.6" customHeight="1" s="49">
      <c r="H664" s="28" t="n"/>
    </row>
    <row r="665" ht="21.6" customHeight="1" s="49">
      <c r="H665" s="28" t="n"/>
    </row>
    <row r="666" ht="21.6" customHeight="1" s="49">
      <c r="H666" s="28" t="n"/>
    </row>
    <row r="667" ht="21.6" customHeight="1" s="49">
      <c r="H667" s="28" t="n"/>
    </row>
    <row r="668" ht="21.6" customHeight="1" s="49">
      <c r="H668" s="28" t="n"/>
    </row>
    <row r="669" ht="21.6" customHeight="1" s="49">
      <c r="H669" s="28" t="n"/>
    </row>
    <row r="670" ht="21.6" customHeight="1" s="49">
      <c r="H670" s="28" t="n"/>
    </row>
    <row r="671" ht="21.6" customHeight="1" s="49">
      <c r="H671" s="28" t="n"/>
    </row>
    <row r="672" ht="21.6" customHeight="1" s="49">
      <c r="H672" s="28" t="n"/>
    </row>
    <row r="673" ht="21.6" customHeight="1" s="49">
      <c r="H673" s="28" t="n"/>
    </row>
    <row r="674" ht="21.6" customHeight="1" s="49">
      <c r="H674" s="28" t="n"/>
    </row>
    <row r="675" ht="21.6" customHeight="1" s="49">
      <c r="H675" s="28" t="n"/>
    </row>
    <row r="676" ht="21.6" customHeight="1" s="49">
      <c r="H676" s="28" t="n"/>
    </row>
    <row r="677" ht="21.6" customHeight="1" s="49">
      <c r="H677" s="28" t="n"/>
    </row>
    <row r="678" ht="21.6" customHeight="1" s="49">
      <c r="H678" s="28" t="n"/>
    </row>
    <row r="679" ht="21.6" customHeight="1" s="49">
      <c r="H679" s="28" t="n"/>
    </row>
    <row r="680" ht="21.6" customHeight="1" s="49">
      <c r="H680" s="28" t="n"/>
    </row>
    <row r="681" ht="21.6" customHeight="1" s="49">
      <c r="H681" s="28" t="n"/>
    </row>
    <row r="682" ht="21.6" customHeight="1" s="49">
      <c r="H682" s="28" t="n"/>
    </row>
    <row r="683" ht="21.6" customHeight="1" s="49">
      <c r="H683" s="28" t="n"/>
    </row>
    <row r="684" ht="21.6" customHeight="1" s="49">
      <c r="H684" s="28" t="n"/>
    </row>
    <row r="685" ht="21.6" customHeight="1" s="49">
      <c r="H685" s="28" t="n"/>
    </row>
    <row r="686" ht="21.6" customHeight="1" s="49">
      <c r="H686" s="28" t="n"/>
    </row>
    <row r="687" ht="21.6" customHeight="1" s="49">
      <c r="H687" s="28" t="n"/>
    </row>
    <row r="688" ht="21.6" customHeight="1" s="49">
      <c r="H688" s="28" t="n"/>
    </row>
    <row r="689" ht="21.6" customHeight="1" s="49">
      <c r="H689" s="28" t="n"/>
    </row>
    <row r="690" ht="21.6" customHeight="1" s="49">
      <c r="H690" s="28" t="n"/>
    </row>
    <row r="691" ht="21.6" customHeight="1" s="49">
      <c r="H691" s="28" t="n"/>
    </row>
    <row r="692" ht="21.6" customHeight="1" s="49">
      <c r="H692" s="28" t="n"/>
    </row>
    <row r="693" ht="21.6" customHeight="1" s="49">
      <c r="H693" s="28" t="n"/>
    </row>
    <row r="694" ht="21.6" customHeight="1" s="49">
      <c r="H694" s="28" t="n"/>
    </row>
    <row r="695" ht="21.6" customHeight="1" s="49">
      <c r="H695" s="28" t="n"/>
    </row>
    <row r="696" ht="21.6" customHeight="1" s="49">
      <c r="H696" s="28" t="n"/>
    </row>
    <row r="697" ht="21.6" customHeight="1" s="49">
      <c r="H697" s="28" t="n"/>
    </row>
    <row r="698" ht="21.6" customHeight="1" s="49">
      <c r="H698" s="28" t="n"/>
    </row>
    <row r="699" ht="21.6" customHeight="1" s="49">
      <c r="H699" s="28" t="n"/>
    </row>
    <row r="700" ht="21.6" customHeight="1" s="49">
      <c r="H700" s="28" t="n"/>
    </row>
    <row r="701" ht="21.6" customHeight="1" s="49">
      <c r="H701" s="28" t="n"/>
    </row>
    <row r="702" ht="21.6" customHeight="1" s="49">
      <c r="H702" s="28" t="n"/>
    </row>
    <row r="703" ht="21.6" customHeight="1" s="49">
      <c r="H703" s="28" t="n"/>
    </row>
    <row r="704" ht="21.6" customHeight="1" s="49">
      <c r="H704" s="28" t="n"/>
    </row>
    <row r="705" ht="21.6" customHeight="1" s="49">
      <c r="H705" s="28" t="n"/>
    </row>
    <row r="706" ht="21.6" customHeight="1" s="49">
      <c r="H706" s="28" t="n"/>
    </row>
    <row r="707" ht="21.6" customHeight="1" s="49">
      <c r="H707" s="28" t="n"/>
    </row>
    <row r="708" ht="21.6" customHeight="1" s="49">
      <c r="H708" s="28" t="n"/>
    </row>
    <row r="709" ht="21.6" customHeight="1" s="49">
      <c r="H709" s="28" t="n"/>
    </row>
    <row r="710" ht="21.6" customHeight="1" s="49">
      <c r="H710" s="28" t="n"/>
    </row>
    <row r="711" ht="21.6" customHeight="1" s="49">
      <c r="H711" s="28" t="n"/>
    </row>
    <row r="712" ht="21.6" customHeight="1" s="49">
      <c r="H712" s="28" t="n"/>
    </row>
    <row r="713" ht="21.6" customHeight="1" s="49">
      <c r="H713" s="28" t="n"/>
    </row>
    <row r="714" ht="21.6" customHeight="1" s="49">
      <c r="H714" s="28" t="n"/>
    </row>
    <row r="715" ht="21.6" customHeight="1" s="49">
      <c r="H715" s="28" t="n"/>
    </row>
    <row r="716" ht="21.6" customHeight="1" s="49">
      <c r="H716" s="28" t="n"/>
    </row>
    <row r="717" ht="21.6" customHeight="1" s="49">
      <c r="H717" s="28" t="n"/>
    </row>
    <row r="718" ht="21.6" customHeight="1" s="49">
      <c r="H718" s="28" t="n"/>
    </row>
    <row r="719" ht="21.6" customHeight="1" s="49">
      <c r="H719" s="28" t="n"/>
    </row>
    <row r="720" ht="21.6" customHeight="1" s="49">
      <c r="H720" s="28" t="n"/>
    </row>
    <row r="721" ht="21.6" customHeight="1" s="49">
      <c r="H721" s="28" t="n"/>
    </row>
    <row r="722" ht="21.6" customHeight="1" s="49">
      <c r="H722" s="28" t="n"/>
    </row>
    <row r="723" ht="21.6" customHeight="1" s="49">
      <c r="H723" s="28" t="n"/>
    </row>
    <row r="724" ht="21.6" customHeight="1" s="49">
      <c r="H724" s="28" t="n"/>
    </row>
    <row r="725" ht="21.6" customHeight="1" s="49">
      <c r="H725" s="28" t="n"/>
    </row>
    <row r="726" ht="21.6" customHeight="1" s="49">
      <c r="H726" s="28" t="n"/>
    </row>
    <row r="727" ht="21.6" customHeight="1" s="49">
      <c r="H727" s="28" t="n"/>
    </row>
    <row r="728" ht="21.6" customHeight="1" s="49">
      <c r="H728" s="28" t="n"/>
    </row>
    <row r="729" ht="21.6" customHeight="1" s="49">
      <c r="H729" s="28" t="n"/>
    </row>
    <row r="730" ht="21.6" customHeight="1" s="49">
      <c r="H730" s="28" t="n"/>
    </row>
    <row r="731" ht="21.6" customHeight="1" s="49">
      <c r="H731" s="28" t="n"/>
    </row>
    <row r="732" ht="21.6" customHeight="1" s="49">
      <c r="H732" s="28" t="n"/>
    </row>
    <row r="733" ht="21.6" customHeight="1" s="49">
      <c r="H733" s="28" t="n"/>
    </row>
    <row r="734" ht="21.6" customHeight="1" s="49">
      <c r="H734" s="28" t="n"/>
    </row>
    <row r="735" ht="21.6" customHeight="1" s="49">
      <c r="H735" s="28" t="n"/>
    </row>
    <row r="736" ht="21.6" customHeight="1" s="49">
      <c r="H736" s="28" t="n"/>
    </row>
    <row r="737" ht="21.6" customHeight="1" s="49">
      <c r="H737" s="28" t="n"/>
    </row>
    <row r="738" ht="21.6" customHeight="1" s="49">
      <c r="H738" s="28" t="n"/>
    </row>
    <row r="739" ht="21.6" customHeight="1" s="49">
      <c r="H739" s="28" t="n"/>
    </row>
    <row r="740" ht="21.6" customHeight="1" s="49">
      <c r="H740" s="28" t="n"/>
    </row>
    <row r="741" ht="21.6" customHeight="1" s="49">
      <c r="H741" s="28" t="n"/>
    </row>
    <row r="742" ht="21.6" customHeight="1" s="49">
      <c r="H742" s="28" t="n"/>
    </row>
    <row r="743" ht="21.6" customHeight="1" s="49">
      <c r="H743" s="28" t="n"/>
    </row>
    <row r="744" ht="21.6" customHeight="1" s="49">
      <c r="H744" s="28" t="n"/>
    </row>
    <row r="745" ht="21.6" customHeight="1" s="49">
      <c r="H745" s="28" t="n"/>
    </row>
    <row r="746" ht="21.6" customHeight="1" s="49">
      <c r="H746" s="28" t="n"/>
    </row>
    <row r="747" ht="21.6" customHeight="1" s="49">
      <c r="H747" s="28" t="n"/>
    </row>
    <row r="748" ht="21.6" customHeight="1" s="49">
      <c r="H748" s="28" t="n"/>
    </row>
    <row r="749" ht="21.6" customHeight="1" s="49">
      <c r="H749" s="28" t="n"/>
    </row>
    <row r="750" ht="21.6" customHeight="1" s="49">
      <c r="H750" s="28" t="n"/>
    </row>
    <row r="751" ht="21.6" customHeight="1" s="49">
      <c r="H751" s="28" t="n"/>
    </row>
    <row r="752" ht="21.6" customHeight="1" s="49">
      <c r="H752" s="28" t="n"/>
    </row>
    <row r="753" ht="21.6" customHeight="1" s="49">
      <c r="H753" s="28" t="n"/>
    </row>
    <row r="754" ht="21.6" customHeight="1" s="49">
      <c r="H754" s="28" t="n"/>
    </row>
    <row r="755" ht="21.6" customHeight="1" s="49">
      <c r="H755" s="28" t="n"/>
    </row>
    <row r="756" ht="21.6" customHeight="1" s="49">
      <c r="H756" s="28" t="n"/>
    </row>
    <row r="757" ht="21.6" customHeight="1" s="49">
      <c r="H757" s="28" t="n"/>
    </row>
    <row r="758" ht="21.6" customHeight="1" s="49">
      <c r="H758" s="28" t="n"/>
    </row>
    <row r="759" ht="21.6" customHeight="1" s="49">
      <c r="H759" s="28" t="n"/>
    </row>
    <row r="760" ht="21.6" customHeight="1" s="49">
      <c r="H760" s="28" t="n"/>
    </row>
    <row r="761" ht="21.6" customHeight="1" s="49">
      <c r="H761" s="28" t="n"/>
    </row>
    <row r="762" ht="21.6" customHeight="1" s="49">
      <c r="H762" s="28" t="n"/>
    </row>
    <row r="763" ht="21.6" customHeight="1" s="49">
      <c r="H763" s="28" t="n"/>
    </row>
    <row r="764" ht="21.6" customHeight="1" s="49">
      <c r="H764" s="28" t="n"/>
    </row>
    <row r="765" ht="21.6" customHeight="1" s="49">
      <c r="H765" s="28" t="n"/>
    </row>
    <row r="766" ht="21.6" customHeight="1" s="49">
      <c r="H766" s="28" t="n"/>
    </row>
    <row r="767" ht="21.6" customHeight="1" s="49">
      <c r="H767" s="28" t="n"/>
    </row>
    <row r="768" ht="21.6" customHeight="1" s="49">
      <c r="H768" s="28" t="n"/>
    </row>
    <row r="769" ht="21.6" customHeight="1" s="49">
      <c r="H769" s="28" t="n"/>
    </row>
    <row r="770" ht="21.6" customHeight="1" s="49">
      <c r="H770" s="28" t="n"/>
    </row>
    <row r="771" ht="21.6" customHeight="1" s="49">
      <c r="H771" s="28" t="n"/>
    </row>
    <row r="772" ht="21.6" customHeight="1" s="49">
      <c r="H772" s="28" t="n"/>
    </row>
    <row r="773" ht="21.6" customHeight="1" s="49">
      <c r="H773" s="28" t="n"/>
    </row>
    <row r="774" ht="21.6" customHeight="1" s="49">
      <c r="H774" s="28" t="n"/>
    </row>
    <row r="775" ht="21.6" customHeight="1" s="49">
      <c r="H775" s="28" t="n"/>
    </row>
    <row r="776" ht="21.6" customHeight="1" s="49">
      <c r="H776" s="28" t="n"/>
    </row>
    <row r="777" ht="21.6" customHeight="1" s="49">
      <c r="H777" s="28" t="n"/>
    </row>
    <row r="778" ht="21.6" customHeight="1" s="49">
      <c r="H778" s="28" t="n"/>
    </row>
    <row r="779" ht="21.6" customHeight="1" s="49">
      <c r="H779" s="28" t="n"/>
    </row>
    <row r="780" ht="21.6" customHeight="1" s="49">
      <c r="H780" s="28" t="n"/>
    </row>
    <row r="781" ht="21.6" customHeight="1" s="49">
      <c r="H781" s="28" t="n"/>
    </row>
    <row r="782" ht="21.6" customHeight="1" s="49">
      <c r="H782" s="28" t="n"/>
    </row>
    <row r="783" ht="21.6" customHeight="1" s="49">
      <c r="H783" s="28" t="n"/>
    </row>
    <row r="784" ht="21.6" customHeight="1" s="49">
      <c r="H784" s="28" t="n"/>
    </row>
    <row r="785" ht="21.6" customHeight="1" s="49">
      <c r="H785" s="28" t="n"/>
    </row>
    <row r="786" ht="21.6" customHeight="1" s="49">
      <c r="H786" s="28" t="n"/>
    </row>
    <row r="787" ht="21.6" customHeight="1" s="49">
      <c r="H787" s="28" t="n"/>
    </row>
    <row r="788" ht="21.6" customHeight="1" s="49">
      <c r="H788" s="28" t="n"/>
    </row>
    <row r="789" ht="21.6" customHeight="1" s="49">
      <c r="H789" s="28" t="n"/>
    </row>
    <row r="790" ht="21.6" customHeight="1" s="49">
      <c r="H790" s="28" t="n"/>
    </row>
    <row r="791" ht="21.6" customHeight="1" s="49">
      <c r="H791" s="28" t="n"/>
    </row>
    <row r="792" ht="21.6" customHeight="1" s="49">
      <c r="H792" s="28" t="n"/>
    </row>
    <row r="793" ht="21.6" customHeight="1" s="49">
      <c r="H793" s="28" t="n"/>
    </row>
    <row r="794" ht="21.6" customHeight="1" s="49">
      <c r="H794" s="28" t="n"/>
    </row>
    <row r="795" ht="21.6" customHeight="1" s="49">
      <c r="H795" s="28" t="n"/>
    </row>
    <row r="796" ht="21.6" customHeight="1" s="49">
      <c r="H796" s="28" t="n"/>
    </row>
    <row r="797" ht="21.6" customHeight="1" s="49">
      <c r="H797" s="28" t="n"/>
    </row>
    <row r="798" ht="21.6" customHeight="1" s="49">
      <c r="H798" s="28" t="n"/>
    </row>
    <row r="799" ht="21.6" customHeight="1" s="49">
      <c r="H799" s="28" t="n"/>
    </row>
    <row r="800" ht="21.6" customHeight="1" s="49">
      <c r="H800" s="28" t="n"/>
    </row>
    <row r="801" ht="21.6" customHeight="1" s="49">
      <c r="H801" s="28" t="n"/>
    </row>
    <row r="802" ht="21.6" customHeight="1" s="49">
      <c r="H802" s="28" t="n"/>
    </row>
    <row r="803" ht="21.6" customHeight="1" s="49">
      <c r="H803" s="28" t="n"/>
    </row>
    <row r="804" ht="21.6" customHeight="1" s="49">
      <c r="H804" s="28" t="n"/>
    </row>
    <row r="805" ht="21.6" customHeight="1" s="49">
      <c r="H805" s="28" t="n"/>
    </row>
    <row r="806" ht="21.6" customHeight="1" s="49">
      <c r="H806" s="28" t="n"/>
    </row>
    <row r="807" ht="21.6" customHeight="1" s="49">
      <c r="H807" s="28" t="n"/>
    </row>
    <row r="808" ht="21.6" customHeight="1" s="49">
      <c r="H808" s="28" t="n"/>
    </row>
    <row r="809" ht="21.6" customHeight="1" s="49">
      <c r="H809" s="28" t="n"/>
    </row>
    <row r="810" ht="21.6" customHeight="1" s="49">
      <c r="H810" s="28" t="n"/>
    </row>
    <row r="811" ht="21.6" customHeight="1" s="49">
      <c r="H811" s="28" t="n"/>
    </row>
    <row r="812" ht="21.6" customHeight="1" s="49">
      <c r="H812" s="28" t="n"/>
    </row>
    <row r="813" ht="21.6" customHeight="1" s="49">
      <c r="H813" s="28" t="n"/>
    </row>
    <row r="814" ht="21.6" customHeight="1" s="49">
      <c r="H814" s="28" t="n"/>
    </row>
    <row r="815" ht="21.6" customHeight="1" s="49">
      <c r="H815" s="28" t="n"/>
    </row>
    <row r="816" ht="21.6" customHeight="1" s="49">
      <c r="H816" s="28" t="n"/>
    </row>
    <row r="817" ht="21.6" customHeight="1" s="49">
      <c r="H817" s="28" t="n"/>
    </row>
    <row r="818" ht="21.6" customHeight="1" s="49">
      <c r="H818" s="28" t="n"/>
    </row>
    <row r="819" ht="21.6" customHeight="1" s="49">
      <c r="H819" s="28" t="n"/>
    </row>
    <row r="820" ht="21.6" customHeight="1" s="49">
      <c r="H820" s="28" t="n"/>
    </row>
    <row r="821" ht="21.6" customHeight="1" s="49">
      <c r="H821" s="28" t="n"/>
    </row>
    <row r="822" ht="21.6" customHeight="1" s="49">
      <c r="H822" s="28" t="n"/>
    </row>
    <row r="823" ht="21.6" customHeight="1" s="49">
      <c r="H823" s="28" t="n"/>
    </row>
    <row r="824" ht="21.6" customHeight="1" s="49">
      <c r="H824" s="28" t="n"/>
    </row>
    <row r="825" ht="21.6" customHeight="1" s="49">
      <c r="H825" s="28" t="n"/>
    </row>
    <row r="826" ht="21.6" customHeight="1" s="49">
      <c r="H826" s="28" t="n"/>
    </row>
    <row r="827" ht="21.6" customHeight="1" s="49">
      <c r="H827" s="28" t="n"/>
    </row>
    <row r="828" ht="21.6" customHeight="1" s="49">
      <c r="H828" s="28" t="n"/>
    </row>
    <row r="829" ht="21.6" customHeight="1" s="49">
      <c r="H829" s="28" t="n"/>
    </row>
    <row r="830" ht="21.6" customHeight="1" s="49">
      <c r="H830" s="28" t="n"/>
    </row>
    <row r="831" ht="21.6" customHeight="1" s="49">
      <c r="H831" s="28" t="n"/>
    </row>
    <row r="832" ht="21.6" customHeight="1" s="49">
      <c r="H832" s="28" t="n"/>
    </row>
    <row r="833" ht="21.6" customHeight="1" s="49">
      <c r="H833" s="28" t="n"/>
    </row>
    <row r="834" ht="21.6" customHeight="1" s="49">
      <c r="H834" s="28" t="n"/>
    </row>
    <row r="835" ht="21.6" customHeight="1" s="49">
      <c r="H835" s="28" t="n"/>
    </row>
    <row r="836" ht="21.6" customHeight="1" s="49">
      <c r="H836" s="28" t="n"/>
    </row>
    <row r="837" ht="21.6" customHeight="1" s="49">
      <c r="H837" s="28" t="n"/>
    </row>
    <row r="838" ht="21.6" customHeight="1" s="49">
      <c r="H838" s="28" t="n"/>
    </row>
    <row r="839" ht="21.6" customHeight="1" s="49">
      <c r="H839" s="28" t="n"/>
    </row>
    <row r="840" ht="21.6" customHeight="1" s="49">
      <c r="H840" s="28" t="n"/>
    </row>
    <row r="841" ht="21.6" customHeight="1" s="49">
      <c r="H841" s="28" t="n"/>
    </row>
    <row r="842" ht="21.6" customHeight="1" s="49">
      <c r="H842" s="28" t="n"/>
    </row>
    <row r="843" ht="21.6" customHeight="1" s="49">
      <c r="H843" s="28" t="n"/>
    </row>
    <row r="844" ht="21.6" customHeight="1" s="49">
      <c r="H844" s="28" t="n"/>
    </row>
    <row r="845" ht="21.6" customHeight="1" s="49">
      <c r="H845" s="28" t="n"/>
    </row>
    <row r="846" ht="21.6" customHeight="1" s="49">
      <c r="H846" s="28" t="n"/>
    </row>
    <row r="847" ht="21.6" customHeight="1" s="49">
      <c r="H847" s="28" t="n"/>
    </row>
    <row r="848" ht="21.6" customHeight="1" s="49">
      <c r="H848" s="28" t="n"/>
    </row>
    <row r="849" ht="21.6" customHeight="1" s="49">
      <c r="H849" s="28" t="n"/>
    </row>
    <row r="850" ht="21.6" customHeight="1" s="49">
      <c r="H850" s="28" t="n"/>
    </row>
    <row r="851" ht="21.6" customHeight="1" s="49">
      <c r="H851" s="28" t="n"/>
    </row>
    <row r="852" ht="21.6" customHeight="1" s="49">
      <c r="H852" s="28" t="n"/>
    </row>
    <row r="853" ht="21.6" customHeight="1" s="49">
      <c r="H853" s="28" t="n"/>
    </row>
    <row r="854" ht="21.6" customHeight="1" s="49">
      <c r="H854" s="28" t="n"/>
    </row>
    <row r="855" ht="21.6" customHeight="1" s="49">
      <c r="H855" s="28" t="n"/>
    </row>
    <row r="856" ht="21.6" customHeight="1" s="49">
      <c r="H856" s="28" t="n"/>
    </row>
    <row r="857" ht="21.6" customHeight="1" s="49">
      <c r="H857" s="28" t="n"/>
    </row>
    <row r="858" ht="21.6" customHeight="1" s="49">
      <c r="H858" s="28" t="n"/>
    </row>
    <row r="859" ht="21.6" customHeight="1" s="49">
      <c r="H859" s="28" t="n"/>
    </row>
    <row r="860" ht="21.6" customHeight="1" s="49">
      <c r="H860" s="28" t="n"/>
    </row>
    <row r="861" ht="21.6" customHeight="1" s="49">
      <c r="H861" s="28" t="n"/>
    </row>
    <row r="862" ht="21.6" customHeight="1" s="49">
      <c r="H862" s="28" t="n"/>
    </row>
    <row r="863" ht="21.6" customHeight="1" s="49">
      <c r="H863" s="28" t="n"/>
    </row>
    <row r="864" ht="21.6" customHeight="1" s="49">
      <c r="H864" s="28" t="n"/>
    </row>
    <row r="865" ht="21.6" customHeight="1" s="49">
      <c r="H865" s="28" t="n"/>
    </row>
    <row r="866" ht="21.6" customHeight="1" s="49">
      <c r="H866" s="28" t="n"/>
    </row>
    <row r="867" ht="21.6" customHeight="1" s="49">
      <c r="H867" s="28" t="n"/>
    </row>
    <row r="868" ht="21.6" customHeight="1" s="49">
      <c r="H868" s="28" t="n"/>
    </row>
    <row r="869" ht="21.6" customHeight="1" s="49">
      <c r="H869" s="28" t="n"/>
    </row>
    <row r="870" ht="21.6" customHeight="1" s="49">
      <c r="H870" s="28" t="n"/>
    </row>
    <row r="871" ht="21.6" customHeight="1" s="49">
      <c r="H871" s="28" t="n"/>
    </row>
    <row r="872" ht="21.6" customHeight="1" s="49">
      <c r="H872" s="28" t="n"/>
    </row>
    <row r="873" ht="21.6" customHeight="1" s="49">
      <c r="H873" s="28" t="n"/>
    </row>
    <row r="874" ht="21.6" customHeight="1" s="49">
      <c r="H874" s="28" t="n"/>
    </row>
    <row r="875" ht="21.6" customHeight="1" s="49">
      <c r="H875" s="28" t="n"/>
    </row>
    <row r="876" ht="21.6" customHeight="1" s="49">
      <c r="H876" s="28" t="n"/>
    </row>
    <row r="877" ht="21.6" customHeight="1" s="49">
      <c r="H877" s="28" t="n"/>
    </row>
    <row r="878" ht="21.6" customHeight="1" s="49">
      <c r="H878" s="28" t="n"/>
    </row>
    <row r="879" ht="21.6" customHeight="1" s="49">
      <c r="H879" s="28" t="n"/>
    </row>
    <row r="880" ht="21.6" customHeight="1" s="49">
      <c r="H880" s="28" t="n"/>
    </row>
    <row r="881" ht="21.6" customHeight="1" s="49">
      <c r="H881" s="28" t="n"/>
    </row>
    <row r="882" ht="21.6" customHeight="1" s="49">
      <c r="H882" s="28" t="n"/>
    </row>
    <row r="883" ht="21.6" customHeight="1" s="49">
      <c r="H883" s="28" t="n"/>
    </row>
    <row r="884" ht="21.6" customHeight="1" s="49">
      <c r="H884" s="28" t="n"/>
    </row>
    <row r="885" ht="21.6" customHeight="1" s="49">
      <c r="H885" s="28" t="n"/>
    </row>
    <row r="886" ht="21.6" customHeight="1" s="49">
      <c r="H886" s="28" t="n"/>
    </row>
    <row r="887" ht="21.6" customHeight="1" s="49">
      <c r="H887" s="28" t="n"/>
    </row>
    <row r="888" ht="21.6" customHeight="1" s="49">
      <c r="H888" s="28" t="n"/>
    </row>
    <row r="889" ht="21.6" customHeight="1" s="49">
      <c r="H889" s="28" t="n"/>
    </row>
    <row r="890" ht="21.6" customHeight="1" s="49">
      <c r="H890" s="28" t="n"/>
    </row>
    <row r="891" ht="21.6" customHeight="1" s="49">
      <c r="H891" s="28" t="n"/>
    </row>
    <row r="892" ht="21.6" customHeight="1" s="49">
      <c r="H892" s="28" t="n"/>
    </row>
    <row r="893" ht="21.6" customHeight="1" s="49">
      <c r="H893" s="28" t="n"/>
    </row>
    <row r="894" ht="21.6" customHeight="1" s="49">
      <c r="H894" s="28" t="n"/>
    </row>
    <row r="895" ht="21.6" customHeight="1" s="49">
      <c r="H895" s="28" t="n"/>
    </row>
    <row r="896" ht="21.6" customHeight="1" s="49">
      <c r="H896" s="28" t="n"/>
    </row>
    <row r="897" ht="21.6" customHeight="1" s="49">
      <c r="H897" s="28" t="n"/>
    </row>
    <row r="898" ht="21.6" customHeight="1" s="49">
      <c r="H898" s="28" t="n"/>
    </row>
    <row r="899" ht="21.6" customHeight="1" s="49">
      <c r="H899" s="28" t="n"/>
    </row>
    <row r="900" ht="21.6" customHeight="1" s="49">
      <c r="H900" s="28" t="n"/>
    </row>
    <row r="901" ht="21.6" customHeight="1" s="49">
      <c r="H901" s="28" t="n"/>
    </row>
    <row r="902" ht="21.6" customHeight="1" s="49">
      <c r="H902" s="28" t="n"/>
    </row>
    <row r="903" ht="21.6" customHeight="1" s="49">
      <c r="H903" s="28" t="n"/>
    </row>
    <row r="904" ht="21.6" customHeight="1" s="49">
      <c r="H904" s="28" t="n"/>
    </row>
    <row r="905" ht="21.6" customHeight="1" s="49">
      <c r="H905" s="28" t="n"/>
    </row>
    <row r="906" ht="21.6" customHeight="1" s="49">
      <c r="H906" s="28" t="n"/>
    </row>
    <row r="907" ht="21.6" customHeight="1" s="49">
      <c r="H907" s="28" t="n"/>
    </row>
    <row r="908" ht="21.6" customHeight="1" s="49">
      <c r="H908" s="28" t="n"/>
    </row>
    <row r="909" ht="21.6" customHeight="1" s="49">
      <c r="H909" s="28" t="n"/>
    </row>
    <row r="910" ht="21.6" customHeight="1" s="49">
      <c r="H910" s="28" t="n"/>
    </row>
    <row r="911" ht="21.6" customHeight="1" s="49">
      <c r="H911" s="28" t="n"/>
    </row>
    <row r="912" ht="21.6" customHeight="1" s="49">
      <c r="H912" s="28" t="n"/>
    </row>
    <row r="913" ht="21.6" customHeight="1" s="49">
      <c r="H913" s="28" t="n"/>
    </row>
    <row r="914" ht="21.6" customHeight="1" s="49">
      <c r="H914" s="28" t="n"/>
    </row>
    <row r="915" ht="21.6" customHeight="1" s="49">
      <c r="H915" s="28" t="n"/>
    </row>
    <row r="916" ht="21.6" customHeight="1" s="49">
      <c r="H916" s="28" t="n"/>
    </row>
    <row r="917" ht="21.6" customHeight="1" s="49">
      <c r="H917" s="28" t="n"/>
    </row>
    <row r="918" ht="21.6" customHeight="1" s="49">
      <c r="H918" s="28" t="n"/>
    </row>
    <row r="919" ht="21.6" customHeight="1" s="49">
      <c r="H919" s="28" t="n"/>
    </row>
    <row r="920" ht="21.6" customHeight="1" s="49">
      <c r="H920" s="28" t="n"/>
    </row>
    <row r="921" ht="21.6" customHeight="1" s="49">
      <c r="H921" s="28" t="n"/>
    </row>
    <row r="922" ht="21.6" customHeight="1" s="49">
      <c r="H922" s="28" t="n"/>
    </row>
    <row r="923" ht="21.6" customHeight="1" s="49">
      <c r="H923" s="28" t="n"/>
    </row>
    <row r="924" ht="21.6" customHeight="1" s="49">
      <c r="H924" s="28" t="n"/>
    </row>
    <row r="925" ht="21.6" customHeight="1" s="49">
      <c r="H925" s="28" t="n"/>
    </row>
    <row r="926" ht="21.6" customHeight="1" s="49">
      <c r="H926" s="28" t="n"/>
    </row>
    <row r="927" ht="21.6" customHeight="1" s="49">
      <c r="H927" s="28" t="n"/>
    </row>
    <row r="928" ht="21.6" customHeight="1" s="49">
      <c r="H928" s="28" t="n"/>
    </row>
    <row r="929" ht="21.6" customHeight="1" s="49">
      <c r="H929" s="28" t="n"/>
    </row>
    <row r="930" ht="21.6" customHeight="1" s="49">
      <c r="H930" s="28" t="n"/>
    </row>
    <row r="931" ht="21.6" customHeight="1" s="49">
      <c r="H931" s="28" t="n"/>
    </row>
    <row r="932" ht="21.6" customHeight="1" s="49">
      <c r="H932" s="28" t="n"/>
    </row>
    <row r="933" ht="21.6" customHeight="1" s="49">
      <c r="H933" s="28" t="n"/>
    </row>
    <row r="934" ht="21.6" customHeight="1" s="49">
      <c r="H934" s="28" t="n"/>
    </row>
    <row r="935" ht="21.6" customHeight="1" s="49">
      <c r="H935" s="28" t="n"/>
    </row>
    <row r="936" ht="21.6" customHeight="1" s="49">
      <c r="H936" s="28" t="n"/>
    </row>
    <row r="937" ht="21.6" customHeight="1" s="49">
      <c r="H937" s="28" t="n"/>
    </row>
    <row r="938" ht="21.6" customHeight="1" s="49">
      <c r="H938" s="28" t="n"/>
    </row>
    <row r="939" ht="21.6" customHeight="1" s="49">
      <c r="H939" s="28" t="n"/>
    </row>
    <row r="940" ht="21.6" customHeight="1" s="49">
      <c r="H940" s="28" t="n"/>
    </row>
    <row r="941" ht="21.6" customHeight="1" s="49">
      <c r="H941" s="28" t="n"/>
    </row>
    <row r="942" ht="21.6" customHeight="1" s="49">
      <c r="H942" s="28" t="n"/>
    </row>
    <row r="943" ht="21.6" customHeight="1" s="49">
      <c r="H943" s="28" t="n"/>
    </row>
    <row r="944" ht="21.6" customHeight="1" s="49">
      <c r="H944" s="28" t="n"/>
    </row>
    <row r="945" ht="21.6" customHeight="1" s="49">
      <c r="H945" s="28" t="n"/>
    </row>
    <row r="946" ht="21.6" customHeight="1" s="49">
      <c r="H946" s="28" t="n"/>
    </row>
    <row r="947" ht="21.6" customHeight="1" s="49">
      <c r="H947" s="28" t="n"/>
    </row>
    <row r="948" ht="21.6" customHeight="1" s="49">
      <c r="H948" s="28" t="n"/>
    </row>
    <row r="949" ht="21.6" customHeight="1" s="49">
      <c r="H949" s="28" t="n"/>
    </row>
    <row r="950" ht="21.6" customHeight="1" s="49">
      <c r="H950" s="28" t="n"/>
    </row>
    <row r="951" ht="21.6" customHeight="1" s="49">
      <c r="H951" s="28" t="n"/>
    </row>
    <row r="952" ht="21.6" customHeight="1" s="49">
      <c r="H952" s="28" t="n"/>
    </row>
    <row r="953" ht="21.6" customHeight="1" s="49">
      <c r="H953" s="28" t="n"/>
    </row>
    <row r="954" ht="21.6" customHeight="1" s="49">
      <c r="H954" s="28" t="n"/>
    </row>
    <row r="955" ht="21.6" customHeight="1" s="49">
      <c r="H955" s="28" t="n"/>
    </row>
    <row r="956" ht="21.6" customHeight="1" s="49">
      <c r="H956" s="28" t="n"/>
    </row>
    <row r="957" ht="21.6" customHeight="1" s="49">
      <c r="H957" s="28" t="n"/>
    </row>
    <row r="958" ht="21.6" customHeight="1" s="49">
      <c r="H958" s="28" t="n"/>
    </row>
    <row r="959" ht="21.6" customHeight="1" s="49">
      <c r="H959" s="28" t="n"/>
    </row>
    <row r="960" ht="21.6" customHeight="1" s="49">
      <c r="H960" s="28" t="n"/>
    </row>
    <row r="961" ht="21.6" customHeight="1" s="49">
      <c r="H961" s="28" t="n"/>
    </row>
    <row r="962" ht="21.6" customHeight="1" s="49">
      <c r="H962" s="28" t="n"/>
    </row>
    <row r="963" ht="21.6" customHeight="1" s="49">
      <c r="H963" s="28" t="n"/>
    </row>
    <row r="964" ht="21.6" customHeight="1" s="49">
      <c r="H964" s="28" t="n"/>
    </row>
    <row r="965" ht="21.6" customHeight="1" s="49">
      <c r="H965" s="28" t="n"/>
    </row>
    <row r="966" ht="21.6" customHeight="1" s="49">
      <c r="H966" s="28" t="n"/>
    </row>
    <row r="967" ht="21.6" customHeight="1" s="49">
      <c r="H967" s="28" t="n"/>
    </row>
    <row r="968" ht="21.6" customHeight="1" s="49">
      <c r="H968" s="28" t="n"/>
    </row>
    <row r="969" ht="21.6" customHeight="1" s="49">
      <c r="H969" s="28" t="n"/>
    </row>
    <row r="970" ht="21.6" customHeight="1" s="49">
      <c r="H970" s="28" t="n"/>
    </row>
    <row r="971" ht="21.6" customHeight="1" s="49">
      <c r="H971" s="28" t="n"/>
    </row>
    <row r="972" ht="21.6" customHeight="1" s="49">
      <c r="H972" s="28" t="n"/>
    </row>
    <row r="973" ht="21.6" customHeight="1" s="49">
      <c r="H973" s="28" t="n"/>
    </row>
    <row r="974" ht="21.6" customHeight="1" s="49">
      <c r="H974" s="28" t="n"/>
    </row>
    <row r="975" ht="21.6" customHeight="1" s="49">
      <c r="H975" s="28" t="n"/>
    </row>
    <row r="976" ht="21.6" customHeight="1" s="49">
      <c r="H976" s="28" t="n"/>
    </row>
    <row r="977" ht="21.6" customHeight="1" s="49">
      <c r="H977" s="28" t="n"/>
    </row>
    <row r="978" ht="21.6" customHeight="1" s="49">
      <c r="H978" s="28" t="n"/>
    </row>
    <row r="979" ht="21.6" customHeight="1" s="49">
      <c r="H979" s="28" t="n"/>
    </row>
    <row r="980" ht="21.6" customHeight="1" s="49">
      <c r="H980" s="28" t="n"/>
    </row>
    <row r="981" ht="21.6" customHeight="1" s="49">
      <c r="H981" s="28" t="n"/>
    </row>
    <row r="982" ht="21.6" customHeight="1" s="49">
      <c r="H982" s="28" t="n"/>
    </row>
    <row r="983" ht="21.6" customHeight="1" s="49">
      <c r="H983" s="28" t="n"/>
    </row>
    <row r="984" ht="21.6" customHeight="1" s="49">
      <c r="H984" s="28" t="n"/>
    </row>
    <row r="985" ht="21.6" customHeight="1" s="49">
      <c r="H985" s="28" t="n"/>
    </row>
    <row r="986" ht="21.6" customHeight="1" s="49">
      <c r="H986" s="28" t="n"/>
    </row>
    <row r="987" ht="21.6" customHeight="1" s="49">
      <c r="H987" s="28" t="n"/>
    </row>
    <row r="988" ht="21.6" customHeight="1" s="49">
      <c r="H988" s="28" t="n"/>
    </row>
    <row r="989" ht="21.6" customHeight="1" s="49">
      <c r="H989" s="28" t="n"/>
    </row>
    <row r="990" ht="21.6" customHeight="1" s="49">
      <c r="H990" s="28" t="n"/>
    </row>
    <row r="991" ht="21.6" customHeight="1" s="49">
      <c r="H991" s="28" t="n"/>
    </row>
    <row r="992" ht="21.6" customHeight="1" s="49">
      <c r="H992" s="28" t="n"/>
    </row>
    <row r="993" ht="21.6" customHeight="1" s="49">
      <c r="H993" s="28" t="n"/>
    </row>
    <row r="994" ht="21.6" customHeight="1" s="49">
      <c r="H994" s="28" t="n"/>
    </row>
    <row r="995" ht="21.6" customHeight="1" s="49">
      <c r="H995" s="28" t="n"/>
    </row>
    <row r="996" ht="21.6" customHeight="1" s="49">
      <c r="H996" s="28" t="n"/>
    </row>
    <row r="997" ht="21.6" customHeight="1" s="49">
      <c r="H997" s="28" t="n"/>
    </row>
    <row r="998" ht="21.6" customHeight="1" s="49">
      <c r="H998" s="28" t="n"/>
    </row>
    <row r="999" ht="21.6" customHeight="1" s="49">
      <c r="H999" s="28" t="n"/>
    </row>
    <row r="1000" ht="21.6" customHeight="1" s="49">
      <c r="H1000" s="28"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40.xml><?xml version="1.0" encoding="utf-8"?>
<worksheet xmlns="http://schemas.openxmlformats.org/spreadsheetml/2006/main">
  <sheetPr>
    <tabColor rgb="FF4CB266"/>
    <outlinePr summaryBelow="0" summaryRight="0"/>
    <pageSetUpPr/>
  </sheetPr>
  <dimension ref="A1:P25"/>
  <sheetViews>
    <sheetView workbookViewId="0">
      <selection activeCell="A1" sqref="A1"/>
    </sheetView>
  </sheetViews>
  <sheetFormatPr baseColWidth="8" defaultColWidth="12.6640625" defaultRowHeight="15.75" customHeight="1"/>
  <sheetData>
    <row r="1" ht="34.95" customHeight="1" s="49">
      <c r="A1" s="51">
        <f>HYPERLINK("#gid=0", "🏠 กลับสู่หน้าแรก (Go to Home Page)")</f>
        <v/>
      </c>
    </row>
    <row r="2" ht="21.6" customHeight="1" s="49">
      <c r="A2" s="29" t="inlineStr">
        <is>
          <t>ข้อที่</t>
        </is>
      </c>
      <c r="B2" s="29" t="inlineStr">
        <is>
          <t>คำถาม</t>
        </is>
      </c>
      <c r="C2" s="29" t="inlineStr">
        <is>
          <t>รูปถาม</t>
        </is>
      </c>
      <c r="D2" s="29" t="inlineStr">
        <is>
          <t>ตัวเลือก 1</t>
        </is>
      </c>
      <c r="E2" s="29" t="inlineStr">
        <is>
          <t>ตัวเลือก 2</t>
        </is>
      </c>
      <c r="F2" s="29" t="inlineStr">
        <is>
          <t>ตัวเลือก 3</t>
        </is>
      </c>
      <c r="G2" s="29" t="inlineStr">
        <is>
          <t>ตัวเลือก 4</t>
        </is>
      </c>
      <c r="H2" s="29" t="inlineStr">
        <is>
          <t>ตัวเลือก 5</t>
        </is>
      </c>
      <c r="I2" s="29" t="inlineStr">
        <is>
          <t>เฉลย (ตัวเลข 1-5)</t>
        </is>
      </c>
      <c r="J2" s="29" t="inlineStr">
        <is>
          <t>คำอธิบายเฉลย</t>
        </is>
      </c>
      <c r="K2" s="29" t="inlineStr">
        <is>
          <t>รูปเฉลย</t>
        </is>
      </c>
      <c r="L2" s="29" t="inlineStr">
        <is>
          <t>Filter หมวด/Subtopic</t>
        </is>
      </c>
      <c r="M2" s="29" t="inlineStr">
        <is>
          <t>Product / Clinic</t>
        </is>
      </c>
      <c r="N2" s="29" t="inlineStr">
        <is>
          <t>หมายเหตุ</t>
        </is>
      </c>
      <c r="O2" s="29" t="inlineStr">
        <is>
          <t>ประเภทข้อสอบ</t>
        </is>
      </c>
      <c r="P2" s="29" t="inlineStr">
        <is>
          <t>ปี / เลขชุด</t>
        </is>
      </c>
    </row>
    <row r="3" ht="13.2" customHeight="1" s="49">
      <c r="A3" s="8" t="inlineStr">
        <is>
          <t>1</t>
        </is>
      </c>
      <c r="B3" s="2"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2" t="n"/>
      <c r="D3" s="2" t="inlineStr">
        <is>
          <t>Conjugated linoleic acid</t>
        </is>
      </c>
      <c r="E3" s="2" t="inlineStr">
        <is>
          <t>Chitosan</t>
        </is>
      </c>
      <c r="F3" s="2" t="inlineStr">
        <is>
          <t>Hydroxyl citric acid</t>
        </is>
      </c>
      <c r="G3" s="2" t="inlineStr">
        <is>
          <t>Catechin</t>
        </is>
      </c>
      <c r="H3" s="2" t="inlineStr">
        <is>
          <t>LAL</t>
        </is>
      </c>
      <c r="I3" s="8" t="n">
        <v>1</v>
      </c>
      <c r="J3" s="2" t="inlineStr">
        <is>
          <t>✅ คำตอบที่ถูกต้อง: ข้อ ก. Conjugated linoleic acid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Conjugated linoleic acid ผลิตภัณฑ์เสริมอาหารที่ได้รับความนิยมในการช่วยลดน้ำหนักและมักถูกแนะนำในกลุ่มผู้รักสุขภาพคือ Conjugated linoleic acid (CLA) ซึ่งช่วยลดไขมันสะสมและเพิ่มมวลกล้ามเนื้อ
🔍 ข้ออื่นผิดเพราะอะไร:
• ข้อ ข. (Chitosan): Chitosan ไม่ตรงกับข้อบ่งใช้หรือกลไกการออกฤทธิ์ที่ถูกต้องตาม ASPEN Clinical Guidelines 2022 / Thai SPEN Guidelines
• ข้อ ค. (Hydroxyl citric acid): Hydroxyl citric acid ไม่ตรงกับข้อบ่งใช้หรือกลไกการออกฤทธิ์ที่ถูกต้องตาม ASPEN Clinical Guidelines 2022 / Thai SPEN Guidelines
• ข้อ ง. (Catechin): Catechin ไม่ตรงกับข้อบ่งใช้หรือกลไกการออกฤทธิ์ที่ถูกต้องตาม ASPEN Clinical Guidelines 2022 / Thai SPEN Guidelines
• ข้อ จ. (LAL): LAL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Clinical Nutrition</t>
        </is>
      </c>
      <c r="M3" s="2" t="inlineStr">
        <is>
          <t>Clinic</t>
        </is>
      </c>
      <c r="N3" s="2" t="inlineStr">
        <is>
          <t>ข้อ 1 Pharma Plus เล่มม่วง (เฉลยข้อ ก ข ง)</t>
        </is>
      </c>
      <c r="O3" s="2" t="n"/>
      <c r="P3" s="2" t="n"/>
    </row>
    <row r="4" ht="13.2" customHeight="1" s="49">
      <c r="A4" s="8" t="inlineStr">
        <is>
          <t>2</t>
        </is>
      </c>
      <c r="B4" s="2" t="inlineStr">
        <is>
          <t>ผลิตภัณฑ์เสริมอาหารในข้อใดมีคุณสมบัติคล้าย dietary fiber</t>
        </is>
      </c>
      <c r="C4" s="2" t="n"/>
      <c r="D4" s="2" t="inlineStr">
        <is>
          <t>Chitosan</t>
        </is>
      </c>
      <c r="E4" s="2" t="inlineStr">
        <is>
          <t>Evening primrose oil</t>
        </is>
      </c>
      <c r="F4" s="2" t="inlineStr">
        <is>
          <t>Collagen</t>
        </is>
      </c>
      <c r="G4" s="2" t="inlineStr">
        <is>
          <t>Conjugated linoleic acid</t>
        </is>
      </c>
      <c r="H4" s="2" t="inlineStr">
        <is>
          <t>Lecithin</t>
        </is>
      </c>
      <c r="I4" s="8" t="n">
        <v>1</v>
      </c>
      <c r="J4" s="2" t="inlineStr">
        <is>
          <t>✅ คำตอบที่ถูกต้อง: ข้อ ก. Chitosan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Chitosan เป็นสารประเภท polysaccharide ที่สกัดจากเปลือกกุ้ง ปู มีคุณสมบัติพองตัวและไม่ถูกย่อยในทางเดินอาหาร คล้ายกับใยอาหาร (dietary fiber) ช่วยจับกับไขมันในทางเดินอาหาร
🔍 ข้ออื่นผิดเพราะอะไร:
• ข้อ ข. (Evening primrose oil): Evening primrose oil ไม่ตรงกับข้อบ่งใช้หรือกลไกการออกฤทธิ์ที่ถูกต้องตาม ASPEN Clinical Guidelines 2022 / Thai SPEN Guidelines
• ข้อ ค. (Collagen): Collagen ไม่ตรงกับข้อบ่งใช้หรือกลไกการออกฤทธิ์ที่ถูกต้องตาม ASPEN Clinical Guidelines 2022 / Thai SPEN Guidelines
• ข้อ ง. (Conjugated linoleic acid): Conjugated linoleic acid ไม่ตรงกับข้อบ่งใช้หรือกลไกการออกฤทธิ์ที่ถูกต้องตาม ASPEN Clinical Guidelines 2022 / Thai SPEN Guidelines
• ข้อ จ. (Lecithin): Lecithin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Clinical Nutrition</t>
        </is>
      </c>
      <c r="M4" s="2" t="inlineStr">
        <is>
          <t>Clinic</t>
        </is>
      </c>
      <c r="N4" s="2" t="inlineStr">
        <is>
          <t>ข้อ 2 Pharma Plus เล่มม่วง (เฉลยข้อ ก)</t>
        </is>
      </c>
      <c r="O4" s="2" t="n"/>
      <c r="P4" s="2" t="n"/>
    </row>
    <row r="5" ht="13.2" customHeight="1" s="49">
      <c r="A5" s="8" t="inlineStr">
        <is>
          <t>3</t>
        </is>
      </c>
      <c r="B5"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2" t="n"/>
      <c r="D5" s="2" t="inlineStr">
        <is>
          <t>มีผลโดยเสริมฤทธิ์ยับยั้งการแข็งตัวของเกล็ดเลือดของ aspirin</t>
        </is>
      </c>
      <c r="E5" s="2" t="inlineStr">
        <is>
          <t>มีผลโดยเสริมฤทธิ์ลดน้ำตาลในเลือดของ metformin</t>
        </is>
      </c>
      <c r="F5" s="2" t="inlineStr">
        <is>
          <t>มีผลโดยลดประสิทธิภาพการจับของยา isosorbide mononitrate</t>
        </is>
      </c>
      <c r="G5" s="2" t="inlineStr">
        <is>
          <t>มีผลโดยลดประสิทธิภาพการลดน้ำตาลในเลือดของ glibenclamide</t>
        </is>
      </c>
      <c r="H5" s="2" t="inlineStr">
        <is>
          <t>ไม่มี อันตรกิริยากับยาที่ได้รับจากโรงพยาบาล</t>
        </is>
      </c>
      <c r="I5" s="8" t="n">
        <v>1</v>
      </c>
      <c r="J5" s="2" t="inlineStr">
        <is>
          <t>✅ คำตอบที่ถูกต้อง: ข้อ ก. มีผลโดยเสริมฤทธิ์ยับยั้งการแข็งตัวของเกล็ดเลือดของ aspirin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มีผลโดยเสริมฤทธิ์ยับยั้งการแข็งตัวของเกล็ดเลือดของ aspirin สารสกัดจากใบแปะก๊วย (Ginkgo biloba) มีฤทธิ์ยับยั้งการเกาะกลุ่มของเกล็ดเลือด (platelet aggregation) จึงอาจเสริมฤทธิ์กับยาต้านเกล็ดเลือดหรือยาละลายลิ่มเลือดเช่น aspirin ทำให้เพิ่มความเสี่ยงในการเกิดภาวะเลือดออกผิดปกติ
🔍 ข้ออื่นผิดเพราะอะไร:
• ข้อ ข. (มีผลโดยเสริมฤทธิ์ลดน้ำตาลในเลือดของ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(มีผลโดยลดประสิทธิภาพการจับของยา isosorbide mononitrate): มีผลโดยลดประสิทธิภาพการจับของยา isosorbide mononitrate ไม่ตรงกับข้อบ่งใช้หรือกลไกการออกฤทธิ์ที่ถูกต้องตาม ASPEN Clinical Guidelines 2022 / Thai SPEN Guidelines
• ข้อ ง. (มีผลโดยลดประสิทธิภาพการลดน้ำตาลในเลือดของ glibenclamide): มี active metabolites ขับออกทางไต เสี่ยงต่อ prolonged severe hypoglycemia ในผู้สูงอายุและผู้ป่วย renal impairment จึงควรหลีกเลี่ยงตาม Beers Criteria
• ข้อ จ. (ไม่มี อันตรกิริยากับยาที่ได้รับจากโรงพยาบาล): ไม่มี อันตรกิริยากับยาที่ได้รับจากโรงพยาบาล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Clinical Nutrition</t>
        </is>
      </c>
      <c r="M5" s="2" t="inlineStr">
        <is>
          <t>Clinic</t>
        </is>
      </c>
      <c r="N5" s="2" t="inlineStr">
        <is>
          <t>ข้อ 3 Pharma Plus เล่มม่วง (เฉลยข้อ ก)</t>
        </is>
      </c>
      <c r="O5" s="2" t="n"/>
      <c r="P5" s="2" t="n"/>
    </row>
    <row r="6" ht="13.2" customHeight="1" s="49">
      <c r="A6" s="8" t="inlineStr">
        <is>
          <t>4</t>
        </is>
      </c>
      <c r="B6" s="2" t="inlineStr">
        <is>
          <t>ระหว่างที่มีอาการปวดประจำเดือน ผู้ป่วยควรหลีกเลี่ยงอาหารที่มีส่วนประกอบใด</t>
        </is>
      </c>
      <c r="C6" s="2" t="n"/>
      <c r="D6" s="2" t="inlineStr">
        <is>
          <t>ขมิ้นชัน</t>
        </is>
      </c>
      <c r="E6" s="2" t="inlineStr">
        <is>
          <t>ชาเขียว</t>
        </is>
      </c>
      <c r="F6" s="2" t="inlineStr">
        <is>
          <t>ลูกเตอ</t>
        </is>
      </c>
      <c r="G6" s="2" t="inlineStr">
        <is>
          <t>กวาวเครือ</t>
        </is>
      </c>
      <c r="H6" s="2" t="inlineStr">
        <is>
          <t>มะขามแขก</t>
        </is>
      </c>
      <c r="I6" s="8" t="n">
        <v>5</v>
      </c>
      <c r="J6" s="2" t="inlineStr">
        <is>
          <t>✅ คำตอบที่ถูกต้อง: ข้อ จ. มะขามแขก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มะขามแขก ชาเขียวมีคาเฟอีนและแทนนินสูง ซึ่งอาจกระตุ้นระบบประสาท ทำให้เกิดความตึงเครียด อาการหงุดหงิด และอาจเพิ่มการบีบตัวของมดลูกหรือการอักเสบในช่วงมีประจำเดือน จึงควรหลีกเลี่ยง
🔍 ข้ออื่นผิดเพราะอะไร:
• ข้อ ก. (ขมิ้นชัน): ขมิ้นชัน (Curcuma longa) มีสาร curcumin ต้านการอักเสบผ่าน NF-κB, COX inhibition ดูดซึม bioavailability ต่ำ เพิ่มด้วย piperine
• ข้อ ข. (ชาเขียว): ชาเขียว ไม่ตรงกับข้อบ่งใช้หรือกลไกการออกฤทธิ์ที่ถูกต้องตาม ASPEN Clinical Guidelines 2022 / Thai SPEN Guidelines
• ข้อ ค. (ลูกเตอ): ลูกเตอ ไม่ตรงกับข้อบ่งใช้หรือกลไกการออกฤทธิ์ที่ถูกต้องตาม ASPEN Clinical Guidelines 2022 / Thai SPEN Guidelines
• ข้อ ง. (กวาวเครือ): กวาวเครือขาว (Pueraria mirifica) มีสาร miroestrol (phytoestrogen) ออกฤทธิ์คล้าย estrogen ข้อห้ามในผู้มีประวัติ hormone-sensitive cancers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Clinical Nutrition</t>
        </is>
      </c>
      <c r="M6" s="2" t="inlineStr">
        <is>
          <t>Clinic</t>
        </is>
      </c>
      <c r="N6" s="2" t="inlineStr">
        <is>
          <t>ข้อ 4 Pharma Plus เล่มม่วง (เฉลยข้อ จ)</t>
        </is>
      </c>
      <c r="O6" s="2" t="n"/>
      <c r="P6" s="2" t="n"/>
    </row>
    <row r="7" ht="13.2" customHeight="1" s="49">
      <c r="A7" s="8" t="inlineStr">
        <is>
          <t>5</t>
        </is>
      </c>
      <c r="B7" s="2"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2" t="n"/>
      <c r="D7" s="2" t="inlineStr">
        <is>
          <t>ความดันโลหิตสูง</t>
        </is>
      </c>
      <c r="E7" s="2" t="inlineStr">
        <is>
          <t>ภาวะไขมันผิดปกติในเลือด</t>
        </is>
      </c>
      <c r="F7" s="2" t="inlineStr">
        <is>
          <t>โรคหลอดเลือดแดงเลี้ยงหัวใจตีบตัน</t>
        </is>
      </c>
      <c r="G7" s="2" t="inlineStr">
        <is>
          <t>กระดูกและข้อเสื่อมใน lower extremities</t>
        </is>
      </c>
      <c r="H7" s="2" t="inlineStr">
        <is>
          <t>โรคอัลไซเมอร์</t>
        </is>
      </c>
      <c r="I7" s="8" t="n">
        <v>5</v>
      </c>
      <c r="J7" s="2" t="inlineStr">
        <is>
          <t>✅ คำตอบที่ถูกต้อง: ข้อ จ. โรคอัลไซเมอร์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โรคอัลไซเมอร์ โรคอ้วนสัมพันธ์โดยตรงกับ Metabolic syndrome เช่น ความดันโลหิตสูง, ไขมันในเลือดสูง, โรคหลอดเลือดหัวใจ และข้อเสื่อมจากภาระน้ำหนักตัว ส่วนโรคอัลไซเมอร์ไม่ได้จัดเป็นภาวะแทรกซ้อนทางกายภาพที่เกิดร่วมโดยตรงเหมือนโรคในกลุ่มเมตาบอลิกหรือระบบกล้ามเนื้อและกระดูก
🔍 ข้ออื่นผิดเพราะอะไร:
• ข้อ ก. (ความดันโลหิตสูง): ความดันโลหิตสูง ไม่ตรงกับข้อบ่งใช้หรือกลไกการออกฤทธิ์ที่ถูกต้องตาม ASPEN Clinical Guidelines 2022 / Thai SPEN Guidelines
• ข้อ ข. (ภาวะไขมันผิดปกติในเลือด): ภาวะไขมันผิดปกติในเลือด ไม่ตรงกับข้อบ่งใช้หรือกลไกการออกฤทธิ์ที่ถูกต้องตาม ASPEN Clinical Guidelines 2022 / Thai SPEN Guidelines
• ข้อ ค. (โรคหลอดเลือดแดงเลี้ยงหัวใจตีบตัน): โรคหลอดเลือดแดงเลี้ยงหัวใจตีบตัน ไม่ตรงกับข้อบ่งใช้หรือกลไกการออกฤทธิ์ที่ถูกต้องตาม ASPEN Clinical Guidelines 2022 / Thai SPEN Guidelines
• ข้อ ง. (กระดูกและข้อเสื่อมใน lower extremities): กระดูกและข้อเสื่อมใน lower extremities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Clinical Nutrition</t>
        </is>
      </c>
      <c r="M7" s="2" t="inlineStr">
        <is>
          <t>Clinic</t>
        </is>
      </c>
      <c r="N7" s="2" t="inlineStr">
        <is>
          <t>ข้อ 5 Pharma Plus เล่มม่วง (เฉลยข้อ จ)</t>
        </is>
      </c>
      <c r="O7" s="2" t="n"/>
      <c r="P7" s="2" t="n"/>
    </row>
    <row r="8" ht="13.2" customHeight="1" s="49">
      <c r="A8" s="8" t="inlineStr">
        <is>
          <t>6</t>
        </is>
      </c>
      <c r="B8" s="2" t="inlineStr">
        <is>
          <t>แพทย์สั่งใช้ยา Orlistat® สำหรับผู้ป่วยรายนี้ อยากทราบว่ายานี้ออกฤทธิ์อย่างไร</t>
        </is>
      </c>
      <c r="C8" s="2" t="n"/>
      <c r="D8" s="2" t="inlineStr">
        <is>
          <t>ดักจับไขมันในทางเดินอาหาร</t>
        </is>
      </c>
      <c r="E8" s="2" t="inlineStr">
        <is>
          <t>ออกฤทธิ์กดความอยากอาหาร</t>
        </is>
      </c>
      <c r="F8" s="2" t="inlineStr">
        <is>
          <t>เพิ่มการเมตาบอลิซึมไขมันในเซลล์</t>
        </is>
      </c>
      <c r="G8" s="2" t="inlineStr">
        <is>
          <t>ยับยั้งเอนไซม์ย่อยไขมันในทางเดินอาหาร</t>
        </is>
      </c>
      <c r="H8" s="2" t="inlineStr">
        <is>
          <t>ยับยั้งเอนไซม์ HMG CoA reductase</t>
        </is>
      </c>
      <c r="I8" s="8" t="n">
        <v>4</v>
      </c>
      <c r="J8" s="2" t="inlineStr">
        <is>
          <t>✅ คำตอบที่ถูกต้อง: ข้อ ง. ยับยั้งเอนไซม์ย่อยไขมันในทางเดินอาหาร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ยับยั้งเอนไซม์ย่อยไขมันในทางเดินอาหาร Orlistat เป็นยาในกลุ่ม lipase inhibitor โดยออกฤทธิ์ยับยั้งเอนไซม์ gastric และ pancreatic lipase ในทางเดินอาหาร ทำให้ลดการดูดซึมไขมันลงประมาณ 30% ขับออกทางอุจจาระ อาการข้างเคียงสำคัญคือ ท้องเสีย มีไขมันปนในอุจจาระ (steatorrhea) และอาจลดการดูดซึมวิตามินที่ละลายในไขมัน (A, D, E, K)
🔍 ข้ออื่นผิดเพราะอะไร:
• ข้อ ก. (ดักจับไขมันในทางเดินอาหาร): ดักจับไขมันในทางเดินอาหาร ไม่ตรงกับข้อบ่งใช้หรือกลไกการออกฤทธิ์ที่ถูกต้องตาม ASPEN Clinical Guidelines 2022 / Thai SPEN Guidelines
• ข้อ ข. (ออกฤทธิ์กดความอยากอาหาร): ออกฤทธิ์กดความอยากอาหาร ไม่ตรงกับข้อบ่งใช้หรือกลไกการออกฤทธิ์ที่ถูกต้องตาม ASPEN Clinical Guidelines 2022 / Thai SPEN Guidelines
• ข้อ ค. (เพิ่มการเมตาบอลิซึมไขมันในเซลล์): เพิ่มการเมตาบอลิซึมไขมันในเซลล์ ไม่ตรงกับข้อบ่งใช้หรือกลไกการออกฤทธิ์ที่ถูกต้องตาม ASPEN Clinical Guidelines 2022 / Thai SPEN Guidelines
• ข้อ จ. (ยับยั้งเอนไซม์ HMG CoA reductase): ยับยั้งเอนไซม์ HMG CoA reductase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Clinical Nutrition</t>
        </is>
      </c>
      <c r="M8" s="2" t="inlineStr">
        <is>
          <t>Clinic</t>
        </is>
      </c>
      <c r="N8" s="2" t="inlineStr">
        <is>
          <t>ข้อ 6 Pharma Plus เล่มม่วง (เฉลยข้อ ง)</t>
        </is>
      </c>
      <c r="O8" s="2" t="n"/>
      <c r="P8" s="2" t="n"/>
    </row>
    <row r="9" ht="13.2" customHeight="1" s="49">
      <c r="A9" s="8" t="inlineStr">
        <is>
          <t>7</t>
        </is>
      </c>
      <c r="B9" s="2" t="inlineStr">
        <is>
          <t>ผู้ป่วยควรรับประทานอาหารในข้อใด</t>
        </is>
      </c>
      <c r="C9" s="2" t="n"/>
      <c r="D9" s="2" t="inlineStr">
        <is>
          <t>ส้มตำเขียวหวาน คอมหมูย่าง ข้าวเหนียว</t>
        </is>
      </c>
      <c r="E9" s="2" t="inlineStr">
        <is>
          <t>ชมพู่ ปลาเผา แกงหน่อไม้</t>
        </is>
      </c>
      <c r="F9" s="2" t="inlineStr">
        <is>
          <t>มะม่วงสุก ผัดกระเฉดหมูกรอบ ข้าวต้ม</t>
        </is>
      </c>
      <c r="G9" s="2" t="inlineStr">
        <is>
          <t>ทุเรียน แกงเลียง ข้าวสวย</t>
        </is>
      </c>
      <c r="H9" s="2" t="inlineStr">
        <is>
          <t>กล้วยหอม ไอศกรีม ไก่ทอด</t>
        </is>
      </c>
      <c r="I9" s="8" t="n">
        <v>2</v>
      </c>
      <c r="J9" s="2" t="inlineStr">
        <is>
          <t>✅ คำตอบที่ถูกต้อง: ข้อ ข. ชมพู่ ปลาเผา แกงหน่อไม้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ชมพู่ ปลาเผา แกงหน่อไม้ การเลือกรับประทานอาหารเพื่อสุขภาพควรเน้นโปรตีนไขมันต่ำ (เช่น ปลาเผา) ผักผลไม้ที่มีกากใยสูงและแคลอรีต่ำ (เช่น ชมพู่, แกงหน่อไม้) หลีกเลี่ยงอาหารที่มีไขมันอิ่มตัวสูงและน้ำตาลสูง เช่น ของทอด กะทิข้นๆ ข้าวเหนียวมะม่วง ทุเรียน หรือไอศกรีม
🔍 ข้ออื่นผิดเพราะอะไร:
• ข้อ ก. (ส้มตำเขียวหวาน คอมหมูย่าง ข้าวเหนียว): ส้มตำเขียวหวาน คอมหมูย่าง ข้าวเหนียว ไม่ตรงกับข้อบ่งใช้หรือกลไกการออกฤทธิ์ที่ถูกต้องตาม ASPEN Clinical Guidelines 2022 / Thai SPEN Guidelines
• ข้อ ค. (มะม่วงสุก ผัดกระเฉดหมูกรอบ ข้าวต้ม): มะม่วงสุก ผัดกระเฉดหมูกรอบ ข้าวต้ม ไม่ตรงกับข้อบ่งใช้หรือกลไกการออกฤทธิ์ที่ถูกต้องตาม ASPEN Clinical Guidelines 2022 / Thai SPEN Guidelines
• ข้อ ง. (ทุเรียน แกงเลียง ข้าวสวย): ทุเรียน แกงเลียง ข้าวสวย ไม่ตรงกับข้อบ่งใช้หรือกลไกการออกฤทธิ์ที่ถูกต้องตาม ASPEN Clinical Guidelines 2022 / Thai SPEN Guidelines
• ข้อ จ. (กล้วยหอม ไอศกรีม ไก่ทอด): กล้วยหอม ไอศกรีม ไก่ทอด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Clinical Nutrition</t>
        </is>
      </c>
      <c r="M9" s="2" t="inlineStr">
        <is>
          <t>Clinic</t>
        </is>
      </c>
      <c r="N9" s="2" t="inlineStr">
        <is>
          <t>ข้อ 7 Pharma Plus เล่มม่วง (เฉลยข้อ ข)</t>
        </is>
      </c>
      <c r="O9" s="2" t="n"/>
      <c r="P9" s="2" t="n"/>
    </row>
    <row r="10" ht="13.2" customHeight="1" s="49">
      <c r="A10" s="8" t="inlineStr">
        <is>
          <t>8</t>
        </is>
      </c>
      <c r="B10" s="2" t="inlineStr">
        <is>
          <t>เมื่อคำนวณค่า body mass index (BMI) ของหญิงผู้้นี้พบว่ามีค่า 30 kg/m² หมายความว่าอย่างไร</t>
        </is>
      </c>
      <c r="C10" s="2" t="n"/>
      <c r="D10" s="2" t="inlineStr">
        <is>
          <t>น้ำหนักน้อยกว่าปกติ</t>
        </is>
      </c>
      <c r="E10" s="2" t="inlineStr">
        <is>
          <t>น้ำหนักตัวเหมาะสม</t>
        </is>
      </c>
      <c r="F10" s="2" t="inlineStr">
        <is>
          <t>น้ำหนักเกินแต่ไม่มาก</t>
        </is>
      </c>
      <c r="G10" s="2" t="inlineStr">
        <is>
          <t>มีภาวะอ้วน</t>
        </is>
      </c>
      <c r="H10" s="2" t="inlineStr">
        <is>
          <t>มีภาวะอ้วนรุนแรง</t>
        </is>
      </c>
      <c r="I10" s="8" t="n">
        <v>5</v>
      </c>
      <c r="J10" s="2" t="inlineStr">
        <is>
          <t>✅ คำตอบที่ถูกต้อง: ข้อ จ. มีภาวะอ้วนรุนแรง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มีภาวะอ้วนรุนแรง เกณฑ์ค่าดัชนีมวลกาย (BMI) สำหรับชาวเอเชีย: น้ำหนักน้อย (
🔍 ข้ออื่นผิดเพราะอะไร:
• ข้อ ก. (น้ำหนักน้อยกว่าปกติ): น้ำหนักน้อยกว่าปกติ ไม่ตรงกับข้อบ่งใช้หรือกลไกการออกฤทธิ์ที่ถูกต้องตาม ASPEN Clinical Guidelines 2022 / Thai SPEN Guidelines
• ข้อ ข. (น้ำหนักตัวเหมาะสม): น้ำหนักตัวเหมาะสม ไม่ตรงกับข้อบ่งใช้หรือกลไกการออกฤทธิ์ที่ถูกต้องตาม ASPEN Clinical Guidelines 2022 / Thai SPEN Guidelines
• ข้อ ค. (น้ำหนักเกินแต่ไม่มาก): น้ำหนักเกินแต่ไม่มาก ไม่ตรงกับข้อบ่งใช้หรือกลไกการออกฤทธิ์ที่ถูกต้องตาม ASPEN Clinical Guidelines 2022 / Thai SPEN Guidelines
• ข้อ ง. (มีภาวะอ้วน): มีภาวะอ้วน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Clinical Nutrition</t>
        </is>
      </c>
      <c r="M10" s="2" t="inlineStr">
        <is>
          <t>Clinic</t>
        </is>
      </c>
      <c r="N10" s="2" t="inlineStr">
        <is>
          <t>ข้อ 8 Pharma Plus เล่มม่วง (เฉลยข้อ จ)</t>
        </is>
      </c>
      <c r="O10" s="2" t="n"/>
      <c r="P10" s="2" t="n"/>
    </row>
    <row r="11" ht="13.2" customHeight="1" s="49">
      <c r="A11" s="8" t="inlineStr">
        <is>
          <t>9</t>
        </is>
      </c>
      <c r="B11" s="2" t="inlineStr">
        <is>
          <t>สาเหตุของผมร่วง เล็บเปราะ เนื่องจากขาดวิตามินและแร่ธาตุ ยกเว้น</t>
        </is>
      </c>
      <c r="C11" s="2" t="n"/>
      <c r="D11" s="2" t="inlineStr">
        <is>
          <t>Vitamin B6</t>
        </is>
      </c>
      <c r="E11" s="2" t="inlineStr">
        <is>
          <t>Vitamin A</t>
        </is>
      </c>
      <c r="F11" s="2" t="inlineStr">
        <is>
          <t>Vitamin D</t>
        </is>
      </c>
      <c r="G11" s="2" t="inlineStr">
        <is>
          <t>Biotin</t>
        </is>
      </c>
      <c r="H11" s="2" t="inlineStr">
        <is>
          <t>Zinc</t>
        </is>
      </c>
      <c r="I11" s="8" t="n">
        <v>1</v>
      </c>
      <c r="J11" s="2" t="inlineStr">
        <is>
          <t>✅ คำตอบที่ถูกต้อง: ข้อ ก. Vitamin B6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Vitamin B6 การขาด Biotin, Zinc, Vitamin A และ Vitamin B6 (รวมถึงโปรตีนและธาตุเหล็ก) สัมพันธ์กับปัญหาผมร่วงและเล็บเปราะบาง ในขณะที่การขาด Vitamin D มักเกี่ยวข้องกับสุขภาพกระดูก การดูดซึมแคลเซียม และภูมิคุ้มกัน มากกว่าอาการผมร่วงเล็บเปราะโดยตรง
🔍 ข้ออื่นผิดเพราะอะไร:
• ข้อ ข. (Vitamin A): Vitamin A ไม่ตรงกับข้อบ่งใช้หรือกลไกการออกฤทธิ์ที่ถูกต้องตาม ASPEN Clinical Guidelines 2022 / Thai SPEN Guidelines
• ข้อ ค. (Vitamin D): Vitamin D (cholecalciferol) ถูก hydroxylate ที่ตับ (25-OH) และไต (1,25-OH) ควบคุม calcium/phosphate homeostasis ขาดใน CKD และ elderly
• ข้อ ง. (Biotin): Biotin ไม่ตรงกับข้อบ่งใช้หรือกลไกการออกฤทธิ์ที่ถูกต้องตาม ASPEN Clinical Guidelines 2022 / Thai SPEN Guidelines
• ข้อ จ. (Zinc): Zinc เป็น trace element สำคัญสำหรับ wound healing, immune function และ enzyme cofactor ขาดใน malabsorption, burns และ critical illness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Clinical Nutrition</t>
        </is>
      </c>
      <c r="M11" s="2" t="inlineStr">
        <is>
          <t>Clinic</t>
        </is>
      </c>
      <c r="N11" s="2" t="inlineStr">
        <is>
          <t>ข้อ 9 Pharma Plus เล่มม่วง (เฉลยข้อ ก)</t>
        </is>
      </c>
      <c r="O11" s="2" t="n"/>
      <c r="P11" s="2" t="n"/>
    </row>
    <row r="12" ht="13.2" customHeight="1" s="49">
      <c r="A12" s="8" t="inlineStr">
        <is>
          <t>10</t>
        </is>
      </c>
      <c r="B12" s="2" t="inlineStr">
        <is>
          <t>วิตามิน แร่ธาตุที่เพิ่มความสดใสให้ผิวพรรณยกเว้น</t>
        </is>
      </c>
      <c r="C12" s="2" t="n"/>
      <c r="D12" s="2" t="inlineStr">
        <is>
          <t>Vitamin E</t>
        </is>
      </c>
      <c r="E12" s="2" t="inlineStr">
        <is>
          <t>Vitamin C</t>
        </is>
      </c>
      <c r="F12" s="2" t="inlineStr">
        <is>
          <t>Magnesium</t>
        </is>
      </c>
      <c r="G12" s="2" t="inlineStr">
        <is>
          <t>Zinc</t>
        </is>
      </c>
      <c r="H12" s="2" t="inlineStr">
        <is>
          <t>EPO (evening primrose oil)</t>
        </is>
      </c>
      <c r="I12" s="8" t="n">
        <v>3</v>
      </c>
      <c r="J12" s="2" t="inlineStr">
        <is>
          <t>✅ คำตอบที่ถูกต้อง: ข้อ ค. Magnesium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Magnesium Vitamin C, E, Zinc และ Evening Primrose Oil (EPO) ล้วนมีบทบาทสำคัญเป็นสารต้านอนุมูลอิสระ บำรุงผิวพรรณ และลดการอักเสบของผิว ในขณะที่ Magnesium มีบทบาทหลักด้านการทำงานของระบบประสาท กล้ามเนื้อ และเอนไซม์ ไม่ใช่แร่ธาตุหลักที่เน้นด้านการบำรุงผิวพรรณโดยตรง
🔍 ข้ออื่นผิดเพราะอะไร:
• ข้อ ก. (Vitamin E): Vitamin E ไม่ตรงกับข้อบ่งใช้หรือกลไกการออกฤทธิ์ที่ถูกต้องตาม ASPEN Clinical Guidelines 2022 / Thai SPEN Guidelines
• ข้อ ข. (Vitamin C): Vitamin C ไม่ตรงกับข้อบ่งใช้หรือกลไกการออกฤทธิ์ที่ถูกต้องตาม ASPEN Clinical Guidelines 2022 / Thai SPEN Guidelines
• ข้อ ง. (Zinc): Zinc เป็น trace element สำคัญสำหรับ wound healing, immune function และ enzyme cofactor ขาดใน malabsorption, burns และ critical illness
• ข้อ จ. (EPO (evening primrose oil)): EPO (evening primrose oil)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Clinical Nutrition</t>
        </is>
      </c>
      <c r="M12" s="2" t="inlineStr">
        <is>
          <t>Clinic</t>
        </is>
      </c>
      <c r="N12" s="2" t="inlineStr">
        <is>
          <t>ข้อ 10 Pharma Plus เล่มม่วง (เฉลยข้อ ค)</t>
        </is>
      </c>
      <c r="O12" s="2" t="n"/>
      <c r="P12" s="2" t="n"/>
    </row>
    <row r="13" ht="13.2" customHeight="1" s="49">
      <c r="A13" s="8" t="inlineStr">
        <is>
          <t>11</t>
        </is>
      </c>
      <c r="B13" s="2" t="inlineStr">
        <is>
          <t>วิตามิน แร่ธาตุชนิดใดที่เหมาะสมกับการออกกำลังกายมากที่สุด</t>
        </is>
      </c>
      <c r="C13" s="2" t="n"/>
      <c r="D13" s="2" t="inlineStr">
        <is>
          <t>Vitamin K, Calcium, Vanadium</t>
        </is>
      </c>
      <c r="E13" s="2" t="inlineStr">
        <is>
          <t>Vitamin D, Calcium, Nickel</t>
        </is>
      </c>
      <c r="F13" s="2" t="inlineStr">
        <is>
          <t>Calcium, Magnesium, Potassium</t>
        </is>
      </c>
      <c r="G13" s="2" t="inlineStr">
        <is>
          <t>Calcium, Magnesium, Potassium</t>
        </is>
      </c>
      <c r="H13" s="2" t="inlineStr">
        <is>
          <t>Iodine, Copper, Selenium</t>
        </is>
      </c>
      <c r="I13" s="8" t="n">
        <v>3</v>
      </c>
      <c r="J13" s="2" t="inlineStr">
        <is>
          <t>✅ คำตอบที่ถูกต้อง: ข้อ ค. Calcium, Magnesium, Potassium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Calcium, Magnesium, Potassium การออกกำลังกายสูญเสียเหงื่อและมีการหดตัวของกล้ามเนื้อ แร่ธาตุที่สำคัญและจำเป็นอย่างยิ่งได้แก่ Calcium (การหดตัวของกล้ามเนื้อและกระดูก), Magnesium (คลายกล้ามเนื้อ ป้องกันตะคริว) และ Potassium (รักษาสมดุลน้ำและ electrolytes ป้องกันตะคริว)
🔍 ข้ออื่นผิดเพราะอะไร:
• ข้อ ก. (Vitamin K, Calcium, Vanadium): Vitamin K, Calcium, Vanadium ไม่ตรงกับข้อบ่งใช้หรือกลไกการออกฤทธิ์ที่ถูกต้องตาม ASPEN Clinical Guidelines 2022 / Thai SPEN Guidelines
• ข้อ ข. (Vitamin D, Calcium, Nickel): Vitamin D (cholecalciferol) ถูก hydroxylate ที่ตับ (25-OH) และไต (1,25-OH) ควบคุม calcium/phosphate homeostasis ขาดใน CKD และ elderly
• ข้อ ง. (Calcium, Magnesium, Potassium): Calcium, Magnesium, Potassium ไม่ตรงกับข้อบ่งใช้หรือกลไกการออกฤทธิ์ที่ถูกต้องตาม ASPEN Clinical Guidelines 2022 / Thai SPEN Guidelines
• ข้อ จ. (Iodine, Copper, Selenium): Selenium เป็น trace element ที่เป็น cofactor ของ glutathione peroxidase ป้องกัน oxidative stress ใช้ใน critically ill patients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Clinical Nutrition</t>
        </is>
      </c>
      <c r="M13" s="2" t="inlineStr">
        <is>
          <t>Clinic</t>
        </is>
      </c>
      <c r="N13" s="2" t="inlineStr">
        <is>
          <t>ข้อ 11 Pharma Plus เล่มม่วง (เฉลยข้อ ค ง)</t>
        </is>
      </c>
      <c r="O13" s="2" t="n"/>
      <c r="P13" s="2" t="n"/>
    </row>
    <row r="14" ht="13.2" customHeight="1" s="49">
      <c r="A14" s="8" t="inlineStr">
        <is>
          <t>12</t>
        </is>
      </c>
      <c r="B14" s="2" t="inlineStr">
        <is>
          <t>จากข้อที่ 11 หมวดต่ออาหารใดที่พบแร่ธาตุ วิตามินเหล่านั้นมากที่สุด</t>
        </is>
      </c>
      <c r="C14" s="2" t="n"/>
      <c r="D14" s="2" t="inlineStr">
        <is>
          <t>เนื้อสัตว์, อาหารทะเล, เครื่องใน</t>
        </is>
      </c>
      <c r="E14" s="2" t="inlineStr">
        <is>
          <t>ปลาตัวเล็กตัวน้อย, ผักบร็อคโคลี่, กล้วย</t>
        </is>
      </c>
      <c r="F14" s="2" t="inlineStr">
        <is>
          <t>ธัญพืช, ถั่วเหลือง, โยเกิร์ต</t>
        </is>
      </c>
      <c r="G14" s="2" t="inlineStr">
        <is>
          <t>ชาเขียว, โสม, Co-enzyme Q10</t>
        </is>
      </c>
      <c r="H14" s="2" t="inlineStr">
        <is>
          <t>น้ำมันตับปลา, น้ำมันปลา, ปลา</t>
        </is>
      </c>
      <c r="I14" s="8" t="n">
        <v>2</v>
      </c>
      <c r="J14" s="2" t="inlineStr">
        <is>
          <t>✅ คำตอบที่ถูกต้อง: ข้อ ข. ปลาตัวเล็กตัวน้อย, ผักบร็อคโคลี่, กล้วย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ปลาตัวเล็กตัวน้อย, ผักบร็อคโคลี่, กล้วย ปลาตัวเล็กตัวน้อย (แหล่งแคลเซียมสูง), ผักใบเขียว/บร็อคโคลี่ (แหล่งแคลเซียมและแมกนีเซียม) และกล้วย (แหล่งโพแทสเซียมเด่นชัด) เป็นแหล่งอาหารธรรมชาติที่อุดมไปด้วยแคลเซียม แมกนีเซียม และโพแทสเซียม ซึ่งจำเป็นสำหรับการออกกำลังกาย
🔍 ข้ออื่นผิดเพราะอะไร:
• ข้อ ก. (เนื้อสัตว์, อาหารทะเล, เครื่องใน): เนื้อสัตว์, อาหารทะเล, เครื่องใน ไม่ตรงกับข้อบ่งใช้หรือกลไกการออกฤทธิ์ที่ถูกต้องตาม ASPEN Clinical Guidelines 2022 / Thai SPEN Guidelines
• ข้อ ค. (ธัญพืช, ถั่วเหลือง, โยเกิร์ต): ธัญพืช, ถั่วเหลือง, โยเกิร์ต ไม่ตรงกับข้อบ่งใช้หรือกลไกการออกฤทธิ์ที่ถูกต้องตาม ASPEN Clinical Guidelines 2022 / Thai SPEN Guidelines
• ข้อ ง. (ชาเขียว, โสม, Co-enzyme Q10): ชาเขียว, โสม, Co-enzyme Q10 ไม่ตรงกับข้อบ่งใช้หรือกลไกการออกฤทธิ์ที่ถูกต้องตาม ASPEN Clinical Guidelines 2022 / Thai SPEN Guidelines
• ข้อ จ. (น้ำมันตับปลา, น้ำมันปลา, ปลา): น้ำมันตับปลา, น้ำมันปลา, ปลา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Clinical Nutrition</t>
        </is>
      </c>
      <c r="M14" s="2" t="inlineStr">
        <is>
          <t>Clinic</t>
        </is>
      </c>
      <c r="N14" s="2" t="inlineStr">
        <is>
          <t>ข้อ 12 Pharma Plus เล่มม่วง (เฉลยข้อ ข)</t>
        </is>
      </c>
      <c r="O14" s="2" t="n"/>
      <c r="P14" s="2" t="n"/>
    </row>
    <row r="15" ht="13.2" customHeight="1" s="49">
      <c r="A15" s="8" t="inlineStr">
        <is>
          <t>13</t>
        </is>
      </c>
      <c r="B15" s="2" t="inlineStr">
        <is>
          <t>ข้อใด ไม่ใช่ข้อควรปฏิบัติในการรับประทานวิตามิน อาหารเสริม</t>
        </is>
      </c>
      <c r="C15" s="2" t="n"/>
      <c r="D15" s="2" t="inlineStr">
        <is>
          <t>ออกกำลังกายอย่างต่อเนื่อง อย่างน้อย 30 นาทีทุกวัน</t>
        </is>
      </c>
      <c r="E15" s="2" t="inlineStr">
        <is>
          <t>ดื่มน้ำบริสุทธิ์ ปริมาณ 2 ลิตร ต่อวัน</t>
        </is>
      </c>
      <c r="F15" s="2" t="inlineStr">
        <is>
          <t>ควรรับประทานหลังมื้ออาหารหรือพร้อมมื้ออาหาร</t>
        </is>
      </c>
      <c r="G15" s="2" t="inlineStr">
        <is>
          <t>การรับประทานช่วงเวลาก่อนนอนเหมาะสำหรับวิตามินและแร่ธาตุที่บำรุงผิว</t>
        </is>
      </c>
      <c r="H15" s="2" t="inlineStr">
        <is>
          <t>ควรรับประทานผักใบเขียว, ผลไม้ควบคู่ทุกวัน</t>
        </is>
      </c>
      <c r="I15" s="8" t="n">
        <v>4</v>
      </c>
      <c r="J15" s="2" t="inlineStr">
        <is>
          <t>✅ คำตอบที่ถูกต้อง: ข้อ ง. การรับประทานช่วงเวลาก่อนนอนเหมาะสำหรับวิตามินและแร่ธาตุที่บำรุงผิว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การรับประทานช่วงเวลาก่อนนอนเหมาะสำหรับวิตามินและแร่ธาตุที่บำรุงผิว วิตามินและแร่ธาตุบางชนิดอาจมีคุณสมบัติหรือผลข้างเคียงที่แตกต่างกัน โดยทั่วไปวิตามินที่ละลายในไขมัน (A, D, E, K) ควรทานพร้อมมื้ออาหารเพื่อการดูดซึมที่ดี การรับประทานอาหารเสริมควรพิจารณาตามความจำเป็นและความเหมาะสมของแต่ละบุคคล ไม่ได้มีข้อบังคับตายตัวในทุกข้อ
🔍 ข้ออื่นผิดเพราะอะไร:
• ข้อ ก. (ออกกำลังกายอย่างต่อเนื่อง อย่างน้อย 30 นาทีทุกวัน): ออกกำลังกายอย่างต่อเนื่อง อย่างน้อย 30 นาทีทุกวัน ไม่ตรงกับข้อบ่งใช้หรือกลไกการออกฤทธิ์ที่ถูกต้องตาม ASPEN Clinical Guidelines 2022 / Thai SPEN Guidelines
• ข้อ ข. (ดื่มน้ำบริสุทธิ์ ปริมาณ 2 ลิตร ต่อวัน): ดื่มน้ำบริสุทธิ์ ปริมาณ 2 ลิตร ต่อวัน ไม่ตรงกับข้อบ่งใช้หรือกลไกการออกฤทธิ์ที่ถูกต้องตาม ASPEN Clinical Guidelines 2022 / Thai SPEN Guidelines
• ข้อ ค. (ควรรับประทานหลังมื้ออาหารหรือพร้อมมื้ออาหาร): ควรรับประทานหลังมื้ออาหารหรือพร้อมมื้ออาหาร ไม่ตรงกับข้อบ่งใช้หรือกลไกการออกฤทธิ์ที่ถูกต้องตาม ASPEN Clinical Guidelines 2022 / Thai SPEN Guidelines
• ข้อ จ. (ควรรับประทานผักใบเขียว, ผลไม้ควบคู่ทุกวัน): ควรรับประทานผักใบเขียว, ผลไม้ควบคู่ทุกวัน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Clinical Nutrition</t>
        </is>
      </c>
      <c r="M15" s="2" t="inlineStr">
        <is>
          <t>Clinic</t>
        </is>
      </c>
      <c r="N15" s="2" t="inlineStr">
        <is>
          <t>ข้อ 13 Pharma Plus เล่มม่วง (เฉลยข้อ ง)</t>
        </is>
      </c>
      <c r="O15" s="2" t="n"/>
      <c r="P15" s="2" t="n"/>
    </row>
    <row r="16" ht="13.2" customHeight="1" s="49">
      <c r="A16" s="8" t="inlineStr">
        <is>
          <t>14</t>
        </is>
      </c>
      <c r="B16" s="2" t="inlineStr">
        <is>
          <t>ผู้ป่วยอายุ 2 ขวบ หนัก 10 kg สูง 90 cm กินแต่มาม่า
ผู้ป่วยมี actual BW เป็นกี่เปอร์เซ็นต์ ของ IDW (IDW=(Ht²(cm²)x1.65)/1000)</t>
        </is>
      </c>
      <c r="C16" s="2" t="n"/>
      <c r="D16" s="8" t="inlineStr">
        <is>
          <t>65%</t>
        </is>
      </c>
      <c r="E16" s="8" t="inlineStr">
        <is>
          <t>70%</t>
        </is>
      </c>
      <c r="F16" s="8" t="inlineStr">
        <is>
          <t>75%</t>
        </is>
      </c>
      <c r="G16" s="8" t="inlineStr">
        <is>
          <t>80%</t>
        </is>
      </c>
      <c r="H16" s="8" t="inlineStr">
        <is>
          <t>135%</t>
        </is>
      </c>
      <c r="I16" s="8" t="n">
        <v>3</v>
      </c>
      <c r="J16" s="2" t="inlineStr">
        <is>
          <t>✅ คำตอบที่ถูกต้อง: ข้อ ค. 75%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75% คำนวณ IDW = (90^2 • 1.65) / 1000 = (8100 • 1.65) / 1000 = 13.365 kg. Actual BW = 10 kg. คิดเป็นร้อยละ (10 / 13.365) • 100 ประมาณ 74.8% (ใกล้เคียง 75%)
🔍 ข้ออื่นผิดเพราะอะไร:
• ข้อ ก. (65%): 65% ไม่ตรงกับข้อบ่งใช้หรือกลไกการออกฤทธิ์ที่ถูกต้องตาม ASPEN Clinical Guidelines 2022 / Thai SPEN Guidelines
• ข้อ ข. (70%): 70% ไม่ตรงกับข้อบ่งใช้หรือกลไกการออกฤทธิ์ที่ถูกต้องตาม ASPEN Clinical Guidelines 2022 / Thai SPEN Guidelines
• ข้อ ง. (80%): 80% ไม่ตรงกับข้อบ่งใช้หรือกลไกการออกฤทธิ์ที่ถูกต้องตาม ASPEN Clinical Guidelines 2022 / Thai SPEN Guidelines
• ข้อ จ. (135%): 135%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Clinical Nutrition</t>
        </is>
      </c>
      <c r="M16" s="2" t="inlineStr">
        <is>
          <t>Clinic</t>
        </is>
      </c>
      <c r="N16" s="2" t="inlineStr">
        <is>
          <t>ข้อ 14 Pharma Plus เล่มม่วง (เฉลยข้อ ค)</t>
        </is>
      </c>
      <c r="O16" s="2" t="n"/>
      <c r="P16" s="2" t="n"/>
    </row>
    <row r="17" ht="13.2" customHeight="1" s="49">
      <c r="A17" s="8" t="inlineStr">
        <is>
          <t>15</t>
        </is>
      </c>
      <c r="B17" s="2" t="inlineStr">
        <is>
          <t>ผู้ป่วยอายุ 2 ขวบ หนัก 10 kg สูง 90 cm กินแต่มาม่า
ผู้ป่วยรายนี้ไม่ต้องอาศัยข้อมูลใด ในการประเมินความเจริญเติบโต (growth velocity)</t>
        </is>
      </c>
      <c r="C17" s="2" t="n"/>
      <c r="D17" s="2" t="inlineStr">
        <is>
          <t>อายุ</t>
        </is>
      </c>
      <c r="E17" s="2" t="inlineStr">
        <is>
          <t>บันทึกน้ำหนัก รายเดือน</t>
        </is>
      </c>
      <c r="F17" s="2" t="inlineStr">
        <is>
          <t>บันทึกส่วนสูงรายเดือน</t>
        </is>
      </c>
      <c r="G17" s="2" t="inlineStr">
        <is>
          <t>ค่ามาตรฐานการเจริญเติบโต</t>
        </is>
      </c>
      <c r="H17" s="2" t="inlineStr">
        <is>
          <t>ความต้องการพลังงานต่อวัน</t>
        </is>
      </c>
      <c r="I17" s="8" t="n">
        <v>5</v>
      </c>
      <c r="J17" s="2" t="inlineStr">
        <is>
          <t>✅ คำตอบที่ถูกต้อง: ข้อ จ. ความต้องการพลังงานต่อวัน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ความต้องการพลังงานต่อวัน การประเมิน growth velocity (อัตราการเจริญเติบโต) ต้องใช้ข้อมูลน้ำหนัก ส่วนสูง และอายุเทียบกับค่ามาตรฐานในช่วงเวลาที่ต่างกัน แต่ความต้องการพลังงานต่อวัน (Energy requirement) เป็นการคำนวณเพื่อวางแผนโภชนาการ ไม่ใช่ข้อมูลที่ใช้ประเมินความเจริญเติบโตโดยตรง
🔍 ข้ออื่นผิดเพราะอะไร:
• ข้อ ก. (อายุ): อายุ ไม่ตรงกับข้อบ่งใช้หรือกลไกการออกฤทธิ์ที่ถูกต้องตาม ASPEN Clinical Guidelines 2022 / Thai SPEN Guidelines
• ข้อ ข. (บันทึกน้ำหนัก รายเดือน): บันทึกน้ำหนัก รายเดือน ไม่ตรงกับข้อบ่งใช้หรือกลไกการออกฤทธิ์ที่ถูกต้องตาม ASPEN Clinical Guidelines 2022 / Thai SPEN Guidelines
• ข้อ ค. (บันทึกส่วนสูงรายเดือน): บันทึกส่วนสูงรายเดือน ไม่ตรงกับข้อบ่งใช้หรือกลไกการออกฤทธิ์ที่ถูกต้องตาม ASPEN Clinical Guidelines 2022 / Thai SPEN Guidelines
• ข้อ ง. (ค่ามาตรฐานการเจริญเติบโต): ค่ามาตรฐานการเจริญเติบโต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Clinical Nutrition</t>
        </is>
      </c>
      <c r="M17" s="2" t="inlineStr">
        <is>
          <t>Clinic</t>
        </is>
      </c>
      <c r="N17" s="2" t="inlineStr">
        <is>
          <t>ข้อ 15 Pharma Plus เล่มม่วง (เฉลยข้อ จ)</t>
        </is>
      </c>
      <c r="O17" s="2" t="n"/>
      <c r="P17" s="2" t="n"/>
    </row>
    <row r="18" ht="13.2" customHeight="1" s="49">
      <c r="A18" s="8" t="inlineStr">
        <is>
          <t>16</t>
        </is>
      </c>
      <c r="B18" s="2" t="inlineStr">
        <is>
          <t>บุคคลที่รับประทานอาหารมังสวิรัติมีโอกาสขาดเหล็กได้เนื่องจาก</t>
        </is>
      </c>
      <c r="C18" s="2" t="n"/>
      <c r="D18" s="2" t="inlineStr">
        <is>
          <t>ในอาหารมังสวิรัติเหล็กในรูป heme-iron มาก</t>
        </is>
      </c>
      <c r="E18" s="2" t="inlineStr">
        <is>
          <t>สาร phytate ในอาหารรบกวนการดูดซึมเหล็ก</t>
        </is>
      </c>
      <c r="F18" s="2" t="inlineStr">
        <is>
          <t>เหล็กจะพบได้จากอาหารที่มาจากเนื้อสัตว์เท่านั้น</t>
        </is>
      </c>
      <c r="G18" s="2" t="inlineStr">
        <is>
          <t>วิตามินซีจากผัก+ผลไม้ลดการดูดซึมเหล็ก</t>
        </is>
      </c>
      <c r="H18" s="2" t="inlineStr">
        <is>
          <t>Renal Enteral Formula (High calorie, Low electrolyte)</t>
        </is>
      </c>
      <c r="I18" s="8" t="n">
        <v>3</v>
      </c>
      <c r="J18" s="2" t="inlineStr">
        <is>
          <t>✅ คำตอบที่ถูกต้อง: ข้อ ค. เหล็กจะพบได้จากอาหารที่มาจากเนื้อสัตว์เท่านั้น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เหล็กจะพบได้จากอาหารที่มาจากเนื้อสัตว์เท่านั้น อาหารมังสวิรัติมีเหล็กในรูป non-heme iron ซึ่งดูดซึมได้น้อยกว่า heme-iron และมักมีสารยับยั้งการดูดซึมเช่น phytate, oxalate ในธัญพืชและผัก ส่วนวิตามินซีช่วยเพิ่มการดูดซึมเหล็กไม่ใช่ลด
🔍 ข้ออื่นผิดเพราะอะไร:
• ข้อ ก. (ในอาหารมังสวิรัติเหล็กในรูป heme-iron มาก): ในอาหารมังสวิรัติเหล็กในรูป heme-iron มาก ไม่ตรงกับข้อบ่งใช้หรือกลไกการออกฤทธิ์ที่ถูกต้องตาม ASPEN Clinical Guidelines 2022 / Thai SPEN Guidelines
• ข้อ ข. (สาร phytate ในอาหารรบกวนการดูดซึมเหล็ก): สาร phytate ในอาหารรบกวนการดูดซึมเหล็ก ไม่ตรงกับข้อบ่งใช้หรือกลไกการออกฤทธิ์ที่ถูกต้องตาม ASPEN Clinical Guidelines 2022 / Thai SPEN Guidelines
• ข้อ ง. (วิตามินซีจากผัก+ผลไม้ลดการดูดซึมเหล็ก): วิตามินซีจากผัก+ผลไม้ลดการดูดซึมเหล็ก ไม่ตรงกับข้อบ่งใช้หรือกลไกการออกฤทธิ์ที่ถูกต้องตาม ASPEN Clinical Guidelines 2022 / Thai SPEN Guidelines
• ข้อ จ. (Renal Enteral Formula (High calorie, Low electrolyte)): Renal Enteral Formula (High calorie, Low electrolyte)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Clinical Nutrition</t>
        </is>
      </c>
      <c r="M18" s="2" t="inlineStr">
        <is>
          <t>Clinic</t>
        </is>
      </c>
      <c r="N18" s="2" t="inlineStr">
        <is>
          <t>ข้อ 16 Pharma Plus เล่มม่วง (เฉลยข้อ ค)</t>
        </is>
      </c>
      <c r="O18" s="2" t="n"/>
      <c r="P18" s="2" t="n"/>
    </row>
    <row r="19" ht="13.2" customHeight="1" s="49">
      <c r="A19" s="8" t="inlineStr">
        <is>
          <t>17</t>
        </is>
      </c>
      <c r="B19" s="2" t="inlineStr">
        <is>
          <t>เกลือแร่ในข้อใดผิด</t>
        </is>
      </c>
      <c r="C19" s="2" t="n"/>
      <c r="D19" s="2" t="inlineStr">
        <is>
          <t>ถ้าขาดสังกะสีจะทำให้อาการอวัยวะเพศไม่เติบโตตามวัยและแผลหายช้า</t>
        </is>
      </c>
      <c r="E19" s="2" t="inlineStr">
        <is>
          <t>ควรเสริมไอโอดีนแก่เด็กที่ป้องกันฟันผุ โดยให้ผสมกับน้ำความเข้มข้น 1 ต่อล้าน</t>
        </is>
      </c>
      <c r="F19" s="2" t="inlineStr">
        <is>
          <t>แคลเซียมและฟอสฟอรัสเป็นเกลือแร่ที่สำคัญ เป็นส่วนประกอบของกระดูกและฟัน</t>
        </is>
      </c>
      <c r="G19" s="2" t="inlineStr">
        <is>
          <t>ถ้าขาดทองแดงจะทำให้เป็นโรคโลหิตจาง</t>
        </is>
      </c>
      <c r="H19" s="2" t="inlineStr">
        <is>
          <t>ถ้าขาดไอโอดีนทำให้เป็นโรคคอพอก</t>
        </is>
      </c>
      <c r="I19" s="8" t="n">
        <v>2</v>
      </c>
      <c r="J19" s="2" t="inlineStr">
        <is>
          <t>✅ คำตอบที่ถูกต้อง: ข้อ ข. ควรเสริมไอโอดีนแก่เด็กที่ป้องกันฟันผุ โดยให้ผสมกับน้ำความเข้มข้น 1 ต่อล้าน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ควรเสริมไอโอดีนแก่เด็กที่ป้องกันฟันผุ โดยให้ผสมกับน้ำความเข้มข้น 1 ต่อล้าน การป้องกันฟันผุด้วยไอโอดีนไม่ถูกต้อง การป้องกันฟันผุใช้ ฟลูออไรด์ (Fluoride) ไม่ใช่ไอโอดีน ส่วนไอโอดีนใช้ป้องกันโรคคอพอก
🔍 ข้ออื่นผิดเพราะอะไร:
• ข้อ ก. (ถ้าขาดสังกะสีจะทำให้อาการอวัยวะเพศไม่เติบโตตามวัยและแผลหายช้า): ถ้าขาดสังกะสีจะทำให้อาการอวัยวะเพศไม่เติบโตตามวัยและแผลหายช้า ไม่ตรงกับข้อบ่งใช้หรือกลไกการออกฤทธิ์ที่ถูกต้องตาม ASPEN Clinical Guidelines 2022 / Thai SPEN Guidelines
• ข้อ ค. (แคลเซียมและฟอสฟอรัสเป็นเกลือแร่ที่สำคัญ เป็นส่วนประกอบของกระดูกและฟัน): แคลเซียมและฟอสฟอรัสเป็นเกลือแร่ที่สำคัญ เป็นส่วนประกอบของกระดูกและฟัน ไม่ตรงกับข้อบ่งใช้หรือกลไกการออกฤทธิ์ที่ถูกต้องตาม ASPEN Clinical Guidelines 2022 / Thai SPEN Guidelines
• ข้อ ง. (ถ้าขาดทองแดงจะทำให้เป็นโรคโลหิตจาง): ถ้าขาดทองแดงจะทำให้เป็นโรคโลหิตจาง ไม่ตรงกับข้อบ่งใช้หรือกลไกการออกฤทธิ์ที่ถูกต้องตาม ASPEN Clinical Guidelines 2022 / Thai SPEN Guidelines
• ข้อ จ. (ถ้าขาดไอโอดีนทำให้เป็นโรคคอพอก): ถ้าขาดไอโอดีนทำให้เป็นโรคคอพอก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Clinical Nutrition</t>
        </is>
      </c>
      <c r="M19" s="2" t="inlineStr">
        <is>
          <t>Clinic</t>
        </is>
      </c>
      <c r="N19" s="2" t="inlineStr">
        <is>
          <t>ข้อ 17 Pharma Plus เล่มม่วง (เฉลยข้อ ข)</t>
        </is>
      </c>
      <c r="O19" s="2" t="n"/>
      <c r="P19" s="2" t="n"/>
    </row>
    <row r="20" ht="13.2" customHeight="1" s="49">
      <c r="A20" s="8" t="inlineStr">
        <is>
          <t>18</t>
        </is>
      </c>
      <c r="B20" s="2" t="inlineStr">
        <is>
          <t>ผู้ป่วยที่มีอาการอ่อนเพลีย ใจสั่น ซีด เหนื่อยง่าย เล็บโค้งคล้ายช้อน ผู้ป่วยนั้นขาดสารอาหาร</t>
        </is>
      </c>
      <c r="C20" s="2" t="n"/>
      <c r="D20" s="2" t="inlineStr">
        <is>
          <t>Zinc</t>
        </is>
      </c>
      <c r="E20" s="2" t="inlineStr">
        <is>
          <t>Vit E</t>
        </is>
      </c>
      <c r="F20" s="2" t="inlineStr">
        <is>
          <t>Vit B1</t>
        </is>
      </c>
      <c r="G20" s="2" t="inlineStr">
        <is>
          <t>Iron</t>
        </is>
      </c>
      <c r="H20" s="2" t="inlineStr">
        <is>
          <t>Vit C</t>
        </is>
      </c>
      <c r="I20" s="8" t="n">
        <v>4</v>
      </c>
      <c r="J20" s="2" t="inlineStr">
        <is>
          <t>✅ คำตอบที่ถูกต้อง: ข้อ ง. Iron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Iron อาการอ่อนเพลีย ใจสั่น ซีด เหนื่อยง่าย และเล็บโค้งคล้ายช้อน (Koilonychia) เป็นลักษณะอาการคลาสสิกของภาวะขาดธาตุเหล็ก (Iron deficiency anemia)
🔍 ข้ออื่นผิดเพราะอะไร:
• ข้อ ก. (Zinc): Zinc เป็น trace element สำคัญสำหรับ wound healing, immune function และ enzyme cofactor ขาดใน malabsorption, burns และ critical illness
• ข้อ ข. (Vit E): Vit E ไม่ตรงกับข้อบ่งใช้หรือกลไกการออกฤทธิ์ที่ถูกต้องตาม ASPEN Clinical Guidelines 2022 / Thai SPEN Guidelines
• ข้อ ค. (Vit B1): Vit B1 ไม่ตรงกับข้อบ่งใช้หรือกลไกการออกฤทธิ์ที่ถูกต้องตาม ASPEN Clinical Guidelines 2022 / Thai SPEN Guidelines
• ข้อ จ. (Vit C): Vit C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Clinical Nutrition</t>
        </is>
      </c>
      <c r="M20" s="2" t="inlineStr">
        <is>
          <t>Clinic</t>
        </is>
      </c>
      <c r="N20" s="2" t="inlineStr">
        <is>
          <t>ข้อ 18 Pharma Plus เล่มม่วง (เฉลยข้อ ง)</t>
        </is>
      </c>
      <c r="O20" s="2" t="n"/>
      <c r="P20" s="2" t="n"/>
    </row>
    <row r="21" ht="13.2" customHeight="1" s="49">
      <c r="A21" s="8" t="inlineStr">
        <is>
          <t>19</t>
        </is>
      </c>
      <c r="B21" s="2" t="inlineStr">
        <is>
          <t>ผู้ป่วยได้รับยา MAOI เมื่อรับประทานปลาร้าหรือเนยแข็งอาจเกิด acute hypertension เนื่องจากอาหารนี้มีสารอาหารพวก</t>
        </is>
      </c>
      <c r="C21" s="2" t="n"/>
      <c r="D21" s="2" t="inlineStr">
        <is>
          <t>Tyramine</t>
        </is>
      </c>
      <c r="E21" s="2" t="inlineStr">
        <is>
          <t>Glutamine</t>
        </is>
      </c>
      <c r="F21" s="2" t="inlineStr">
        <is>
          <t>Phanalzine</t>
        </is>
      </c>
      <c r="G21" s="2" t="inlineStr">
        <is>
          <t>Tyrosine</t>
        </is>
      </c>
      <c r="H21" s="2" t="inlineStr">
        <is>
          <t>Phenylalanine</t>
        </is>
      </c>
      <c r="I21" s="8" t="n">
        <v>1</v>
      </c>
      <c r="J21" s="2"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2" t="n"/>
      <c r="L21" s="2" t="inlineStr">
        <is>
          <t>Clinical Nutrition</t>
        </is>
      </c>
      <c r="M21" s="2" t="inlineStr">
        <is>
          <t>Clinic</t>
        </is>
      </c>
      <c r="N21" s="2" t="inlineStr">
        <is>
          <t>ข้อ 19 Pharma Plus เล่มม่วง (เฉลยข้อ ก)</t>
        </is>
      </c>
      <c r="O21" s="2" t="n"/>
      <c r="P21" s="2" t="n"/>
    </row>
    <row r="22" ht="13.2" customHeight="1" s="49">
      <c r="A22" s="8" t="inlineStr">
        <is>
          <t>20</t>
        </is>
      </c>
      <c r="B22" s="2" t="inlineStr">
        <is>
          <t>น้ำมันปลากินไปนานๆแล้วเป็นอย่างไร</t>
        </is>
      </c>
      <c r="C22" s="2" t="n"/>
      <c r="D22" s="2" t="inlineStr">
        <is>
          <t>ปวดหัว</t>
        </is>
      </c>
      <c r="E22" s="2" t="inlineStr">
        <is>
          <t>ท้องเสีย</t>
        </is>
      </c>
      <c r="F22" s="2" t="inlineStr">
        <is>
          <t>ตาพร่ามัว</t>
        </is>
      </c>
      <c r="G22" s="2" t="inlineStr">
        <is>
          <t>มวลกระดูกเพิ่มขึ้น</t>
        </is>
      </c>
      <c r="H22" s="2" t="inlineStr">
        <is>
          <t>ระยะเวลาการแข็งตัวของเลือดยาวนานขึ้น</t>
        </is>
      </c>
      <c r="I22" s="8" t="n">
        <v>5</v>
      </c>
      <c r="J22" s="2" t="inlineStr">
        <is>
          <t>✅ คำตอบที่ถูกต้อง: ข้อ จ. ระยะเวลาการแข็งตัวของเลือดยาวนานขึ้น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ระยะเวลาการแข็งตัวของเลือดยาวนานขึ้น น้ำมันปลา (Fish oil) อุดมไปด้วยกรดไขมันโอเมก้า-3 (EPA และ DHA) ซึ่งมีฤทธิ์ต้านการเกาะกลุ่มของเกล็ดเลือด (antiplatelet effect) การรับประทานติดต่อกันเป็นเวลานานในปริมาณสูง อาจทำให้ระยะเวลาการแข็งตัวของเลือดนานขึ้น (Bleeding time prolonged) และเพิ่มความเสี่ยงในการเกิดภาวะเลือดออกง่าย โดยเฉพาะในผู้ป่วยที่ใช้ยาร่วมกับยาต้านการแข็งตัวของเลือดหรือยาต้านเกล็ดเลือด
🔍 ข้ออื่นผิดเพราะอะไร:
• ข้อ ก. (ปวดหัว): ปวดหัว ไม่ตรงกับข้อบ่งใช้หรือกลไกการออกฤทธิ์ที่ถูกต้องตาม ASPEN Clinical Guidelines 2022 / Thai SPEN Guidelines
• ข้อ ข. (ท้องเสีย): ท้องเสีย ไม่ตรงกับข้อบ่งใช้หรือกลไกการออกฤทธิ์ที่ถูกต้องตาม ASPEN Clinical Guidelines 2022 / Thai SPEN Guidelines
• ข้อ ค. (ตาพร่ามัว): ตาพร่ามัว ไม่ตรงกับข้อบ่งใช้หรือกลไกการออกฤทธิ์ที่ถูกต้องตาม ASPEN Clinical Guidelines 2022 / Thai SPEN Guidelines
• ข้อ ง. (มวลกระดูกเพิ่มขึ้น): มวลกระดูกเพิ่มขึ้น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n"/>
      <c r="L22" s="2" t="inlineStr">
        <is>
          <t>Clinical Nutrition</t>
        </is>
      </c>
      <c r="M22" s="2" t="inlineStr">
        <is>
          <t>Clinic</t>
        </is>
      </c>
      <c r="N22" s="2" t="inlineStr">
        <is>
          <t>ข้อ 20 Pharma Plus เล่มม่วง (เฉลยข้อ จ)</t>
        </is>
      </c>
      <c r="O22" s="2" t="n"/>
      <c r="P22" s="2" t="n"/>
    </row>
    <row r="23" ht="13.2" customHeight="1" s="49">
      <c r="A23" s="8" t="inlineStr">
        <is>
          <t>21</t>
        </is>
      </c>
      <c r="B23" s="2" t="inlineStr">
        <is>
          <t>รูปแบบของวิตามินดีที่พร้อมออกฤทธิ์ (Active form) ในร่างกายคือข้อใด</t>
        </is>
      </c>
      <c r="C23" s="2" t="n"/>
      <c r="D23" s="2" t="inlineStr">
        <is>
          <t>1,25-dihydroxycholecalciferol (Calcitriol)</t>
        </is>
      </c>
      <c r="E23" s="2" t="inlineStr">
        <is>
          <t>1-hydroxycholecalciferol (Alfacalcidol)</t>
        </is>
      </c>
      <c r="F23" s="2" t="inlineStr">
        <is>
          <t>25-hydroxycholecalciferol (Calcifediol)</t>
        </is>
      </c>
      <c r="G23" s="2" t="inlineStr">
        <is>
          <t>Cholecalciferol (Vitamin D3)</t>
        </is>
      </c>
      <c r="H23" s="2" t="inlineStr">
        <is>
          <t>Ergocalciferol (Vitamin D2)</t>
        </is>
      </c>
      <c r="I23" s="8" t="n">
        <v>1</v>
      </c>
      <c r="J23" s="2"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2" t="n"/>
      <c r="L23" s="2" t="inlineStr">
        <is>
          <t>Clinical Nutrition</t>
        </is>
      </c>
      <c r="M23" s="2" t="inlineStr">
        <is>
          <t>Clinic</t>
        </is>
      </c>
      <c r="N23" s="2" t="inlineStr">
        <is>
          <t>ข้อ 49 (PLE_CC1_2557.md)</t>
        </is>
      </c>
      <c r="O23" s="2" t="n"/>
      <c r="P23" s="2" t="n"/>
    </row>
    <row r="24" ht="13.2" customHeight="1" s="49">
      <c r="A24" s="8" t="inlineStr">
        <is>
          <t>22</t>
        </is>
      </c>
      <c r="B24" s="2"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2" t="n"/>
      <c r="D24" s="2" t="inlineStr">
        <is>
          <t>Refeeding Syndrome (Hypophosphatemia, Hypokalemia, Hypomagnesemia)</t>
        </is>
      </c>
      <c r="E24" s="2" t="inlineStr">
        <is>
          <t>Hyperosmolar Hyperglycemic State (HHS)</t>
        </is>
      </c>
      <c r="F24" s="2" t="inlineStr">
        <is>
          <t>Metabolic Acidosis with High Anion Gap</t>
        </is>
      </c>
      <c r="G24" s="2" t="inlineStr">
        <is>
          <t>Hyperphosphatemia and Hypercalcemia</t>
        </is>
      </c>
      <c r="H24" s="2" t="inlineStr">
        <is>
          <t>Hepatic Encephalopathy from Nitrogen Overload</t>
        </is>
      </c>
      <c r="I24" s="8" t="n">
        <v>1</v>
      </c>
      <c r="J24" s="2"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2" t="n"/>
      <c r="L24" s="2" t="inlineStr">
        <is>
          <t>Clinical Nutrition</t>
        </is>
      </c>
      <c r="M24" s="2" t="inlineStr">
        <is>
          <t>Clinic</t>
        </is>
      </c>
      <c r="N24" s="2" t="inlineStr">
        <is>
          <t>ข้อ 2 (PLE_CC1_Key_Rx20_UBU.md)</t>
        </is>
      </c>
      <c r="O24" s="2" t="n"/>
      <c r="P24" s="2" t="n"/>
    </row>
    <row r="25" ht="13.2" customHeight="1" s="49">
      <c r="A25" s="8" t="inlineStr">
        <is>
          <t>23</t>
        </is>
      </c>
      <c r="B25" s="2" t="inlineStr">
        <is>
          <t>ผู้ป่วยวัณโรคที่ได้รับยา Isoniazid (INH) ควรได้รับวิตามินใดเสริมเพื่อป้องกันภาวะปลายประสาทอักเสบ (Peripheral neuropathy)</t>
        </is>
      </c>
      <c r="C25" s="2" t="n"/>
      <c r="D25" s="2" t="inlineStr">
        <is>
          <t>Thiamine (Vitamin B1)</t>
        </is>
      </c>
      <c r="E25" s="2" t="inlineStr">
        <is>
          <t>Pyridoxine (Vitamin B6)</t>
        </is>
      </c>
      <c r="F25" s="2" t="inlineStr">
        <is>
          <t>Riboflavin (Vitamin B2)</t>
        </is>
      </c>
      <c r="G25" s="2" t="inlineStr">
        <is>
          <t>Cyanocobalamin (Vitamin B12)</t>
        </is>
      </c>
      <c r="H25" s="2" t="inlineStr">
        <is>
          <t>Nicotinamide (Vitamin B3)</t>
        </is>
      </c>
      <c r="I25" s="8" t="n">
        <v>2</v>
      </c>
      <c r="J25" s="2"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2" t="n"/>
      <c r="L25" s="2" t="inlineStr">
        <is>
          <t>Clinical Nutrition</t>
        </is>
      </c>
      <c r="M25" s="2" t="inlineStr">
        <is>
          <t>Clinic</t>
        </is>
      </c>
      <c r="N25" s="2" t="inlineStr">
        <is>
          <t>ข้อ 15 (PLE_CC1_Key_Rx20_UBU.md)</t>
        </is>
      </c>
      <c r="O25" s="2" t="n"/>
      <c r="P25" s="2" t="n"/>
    </row>
  </sheetData>
  <mergeCells count="1">
    <mergeCell ref="A1:F1"/>
  </mergeCells>
  <pageMargins left="0.75" right="0.75" top="1" bottom="1" header="0.5" footer="0.5"/>
</worksheet>
</file>

<file path=xl/worksheets/sheet41.xml><?xml version="1.0" encoding="utf-8"?>
<worksheet xmlns="http://schemas.openxmlformats.org/spreadsheetml/2006/main">
  <sheetPr>
    <tabColor rgb="FF33994C"/>
    <outlinePr summaryBelow="0" summaryRight="0"/>
    <pageSetUpPr/>
  </sheetPr>
  <dimension ref="A1:Q88"/>
  <sheetViews>
    <sheetView workbookViewId="0">
      <selection activeCell="A1" sqref="A1"/>
    </sheetView>
  </sheetViews>
  <sheetFormatPr baseColWidth="8" defaultColWidth="12.6640625" defaultRowHeight="15.75" customHeight="1"/>
  <sheetData>
    <row r="1" ht="34.95" customHeight="1" s="49">
      <c r="A1" s="51">
        <f>HYPERLINK("#gid=0", "🏠 กลับสู่หน้าแรก (Go to Home Page)")</f>
        <v/>
      </c>
    </row>
    <row r="2" ht="21.6" customHeight="1" s="49">
      <c r="A2" s="30" t="inlineStr">
        <is>
          <t>ข้อที่</t>
        </is>
      </c>
      <c r="B2" s="30" t="inlineStr">
        <is>
          <t>คำถาม</t>
        </is>
      </c>
      <c r="C2" s="30" t="inlineStr">
        <is>
          <t>รูปถาม</t>
        </is>
      </c>
      <c r="D2" s="30" t="inlineStr">
        <is>
          <t>ตัวเลือก 1</t>
        </is>
      </c>
      <c r="E2" s="30" t="inlineStr">
        <is>
          <t>ตัวเลือก 2</t>
        </is>
      </c>
      <c r="F2" s="30" t="inlineStr">
        <is>
          <t>ตัวเลือก 3</t>
        </is>
      </c>
      <c r="G2" s="30" t="inlineStr">
        <is>
          <t>ตัวเลือก 4</t>
        </is>
      </c>
      <c r="H2" s="30" t="inlineStr">
        <is>
          <t>ตัวเลือก 5</t>
        </is>
      </c>
      <c r="I2" s="30" t="inlineStr">
        <is>
          <t>เฉลย (ตัวเลข 1-5)</t>
        </is>
      </c>
      <c r="J2" s="30" t="inlineStr">
        <is>
          <t>คำอธิบายเฉลย</t>
        </is>
      </c>
      <c r="K2" s="30" t="inlineStr">
        <is>
          <t>รูปเฉลย</t>
        </is>
      </c>
      <c r="L2" s="30" t="inlineStr">
        <is>
          <t>Filter หมวด/Subtopic</t>
        </is>
      </c>
      <c r="M2" s="30" t="inlineStr">
        <is>
          <t>Product / Clinic</t>
        </is>
      </c>
      <c r="N2" s="30" t="inlineStr">
        <is>
          <t>หมายเหตุ</t>
        </is>
      </c>
      <c r="O2" s="30" t="inlineStr">
        <is>
          <t>ประเภทข้อสอบ</t>
        </is>
      </c>
      <c r="P2" s="30" t="inlineStr">
        <is>
          <t>ปี / เลขชุด</t>
        </is>
      </c>
    </row>
    <row r="3" ht="13.2" customHeight="1" s="49">
      <c r="A3" s="8" t="inlineStr">
        <is>
          <t>2</t>
        </is>
      </c>
      <c r="B3"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สมุนไพรในข้อใดมีสารออกฤทธิ์สำหรับรักษาโรง gout</t>
        </is>
      </c>
      <c r="C3" s="2" t="n"/>
      <c r="D3" s="2" t="inlineStr">
        <is>
          <t>ระย่อม</t>
        </is>
      </c>
      <c r="E3" s="2" t="inlineStr">
        <is>
          <t>ไพล</t>
        </is>
      </c>
      <c r="F3" s="2" t="inlineStr">
        <is>
          <t>ขมิ้นชัน</t>
        </is>
      </c>
      <c r="G3" s="2" t="inlineStr">
        <is>
          <t>ดอกดึง</t>
        </is>
      </c>
      <c r="H3" s="2" t="inlineStr">
        <is>
          <t>เถาวัลย์เปรียง</t>
        </is>
      </c>
      <c r="I3" s="8" t="n">
        <v>2</v>
      </c>
      <c r="J3" s="2" t="inlineStr">
        <is>
          <t>✅ คำตอบที่ถูกต้อง: ข้อ ข. ไพล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ไพล การเลือก 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Herbal Medicine &amp; Extract ไม่ตรงกับข้อบ่งใช้หรือกลไกการออกฤทธิ์ที่ถูกต้องตาม Thai Herbal Pharmacopoeia / WHO Monographs on Medicinal Plants
• ข้อ ข. (ระย่อม): ระย่อม (Rauvolfia serpentina) มีสาร reserpine ที่ยับยั้งการเก็บ catecholamines ใน vesicle ลด BP แต่ทำให้ depression, sedation ไม่ใช้ในปัจจุบัน
• ข้อ ง. (ขมิ้นชัน): ขมิ้นชัน (Curcuma longa) มีสาร curcumin ต้านการอักเสบผ่าน NF-κB, COX inhibition ดูดซึม bioavailability ต่ำ เพิ่มด้วย piperine
• ข้อ จ. (ดอกดึง): ดอกดึง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2" t="n"/>
      <c r="L3" s="2" t="inlineStr">
        <is>
          <t>Herbal Extraction methods</t>
        </is>
      </c>
      <c r="M3" s="2" t="inlineStr">
        <is>
          <t>Herbal Medicine &amp; Extract</t>
        </is>
      </c>
      <c r="N3" s="2" t="inlineStr">
        <is>
          <t>Mock PLE-CC 1 ข้อ 12</t>
        </is>
      </c>
      <c r="O3" s="2" t="n"/>
      <c r="P3" s="2" t="n"/>
      <c r="Q3" s="2" t="n"/>
    </row>
    <row r="4" ht="13.2" customHeight="1" s="49">
      <c r="A4" s="8" t="inlineStr">
        <is>
          <t>3</t>
        </is>
      </c>
      <c r="B4"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Reserpine เป็นสารธรรมชาติที่นำมาใช้บำบัดภาวะความดันโลหิตสูง พบในพืชชนิดใด</t>
        </is>
      </c>
      <c r="C4" s="2" t="n"/>
      <c r="D4" s="2" t="inlineStr">
        <is>
          <t>ระย่อม</t>
        </is>
      </c>
      <c r="E4" s="2" t="inlineStr">
        <is>
          <t>พริกไทย</t>
        </is>
      </c>
      <c r="F4" s="2" t="inlineStr">
        <is>
          <t>กาแฟ</t>
        </is>
      </c>
      <c r="G4" s="2" t="inlineStr">
        <is>
          <t>โคคา</t>
        </is>
      </c>
      <c r="H4" s="2" t="inlineStr">
        <is>
          <t>เถาวัลย์เปรียง</t>
        </is>
      </c>
      <c r="I4" s="8" t="n">
        <v>1</v>
      </c>
      <c r="J4" s="2" t="inlineStr">
        <is>
          <t>✅ คำตอบที่ถูกต้อง: ข้อ ก. ระย่อม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(ระย่อม): ระย่อม (Rauvolfia serpentina) มีสาร reserpine ที่ยับยั้งการเก็บ catecholamines ใน vesicle ลด BP แต่ทำให้ depression, sedation ไม่ใช้ในปัจจุบัน
• ข้อ ค. (พริกไทย): พริกไทย ไม่ตรงกับข้อบ่งใช้หรือกลไกการออกฤทธิ์ที่ถูกต้องตาม Thai Herbal Pharmacopoeia / WHO Monographs on Medicinal Plants
• ข้อ ง. (กาแฟ): กาแฟ ไม่ตรงกับข้อบ่งใช้หรือกลไกการออกฤทธิ์ที่ถูกต้องตาม Thai Herbal Pharmacopoeia / WHO Monographs on Medicinal Plants
• ข้อ จ. (โคคา): โคคา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2" t="n"/>
      <c r="L4" s="2" t="inlineStr">
        <is>
          <t>Herbal Extraction methods</t>
        </is>
      </c>
      <c r="M4" s="2" t="inlineStr">
        <is>
          <t>Herbal Medicine &amp; Extract</t>
        </is>
      </c>
      <c r="N4" s="2" t="inlineStr">
        <is>
          <t>Mock PLE-CC 1 ข้อ 24</t>
        </is>
      </c>
      <c r="O4" s="2" t="n"/>
      <c r="P4" s="2" t="n"/>
      <c r="Q4" s="2" t="n"/>
    </row>
    <row r="5" ht="13.2" customHeight="1" s="49">
      <c r="A5" s="8" t="inlineStr">
        <is>
          <t>4</t>
        </is>
      </c>
      <c r="B5"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สมุนไพรต่างประเทศต่อไปนี้ ชนิดใดมีผลช่วยขยายหลอดเลือด ลดความดันโลหิต</t>
        </is>
      </c>
      <c r="C5" s="2" t="n"/>
      <c r="D5" s="2" t="inlineStr">
        <is>
          <t>Horse Chestnut</t>
        </is>
      </c>
      <c r="E5" s="2" t="inlineStr">
        <is>
          <t>Hawthorn</t>
        </is>
      </c>
      <c r="F5" s="2" t="inlineStr">
        <is>
          <t>Ginkgo</t>
        </is>
      </c>
      <c r="G5" s="2" t="inlineStr">
        <is>
          <t>ฮ่วยฮวย</t>
        </is>
      </c>
      <c r="H5" s="2" t="inlineStr">
        <is>
          <t>St.John's wort</t>
        </is>
      </c>
      <c r="I5" s="8" t="n">
        <v>1</v>
      </c>
      <c r="J5" s="2" t="inlineStr">
        <is>
          <t>✅ คำตอบที่ถูกต้อง: ข้อ ก. Horse Chestnut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(Horse Chestnut): Horse Chestnut ไม่ตรงกับข้อบ่งใช้หรือกลไกการออกฤทธิ์ที่ถูกต้องตาม Thai Herbal Pharmacopoeia / WHO Monographs on Medicinal Plants
• ข้อ ค. (Hawthorn): Hawthorn ไม่ตรงกับข้อบ่งใช้หรือกลไกการออกฤทธิ์ที่ถูกต้องตาม Thai Herbal Pharmacopoeia / WHO Monographs on Medicinal Plants
• ข้อ ง. (Ginkgo): Ginkgo ไม่ตรงกับข้อบ่งใช้หรือกลไกการออกฤทธิ์ที่ถูกต้องตาม Thai Herbal Pharmacopoeia / WHO Monographs on Medicinal Plants
• ข้อ จ. (ฮ่วยฮวย): ฮ่วยฮวย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5" s="2" t="n"/>
      <c r="L5" s="2" t="inlineStr">
        <is>
          <t>Herbal Extraction methods</t>
        </is>
      </c>
      <c r="M5" s="2" t="inlineStr">
        <is>
          <t>Herbal Medicine &amp; Extract</t>
        </is>
      </c>
      <c r="N5" s="2" t="inlineStr">
        <is>
          <t>Mock PLE-CC 1 ข้อ 25</t>
        </is>
      </c>
      <c r="O5" s="2" t="n"/>
      <c r="P5" s="2" t="n"/>
      <c r="Q5" s="2" t="n"/>
    </row>
    <row r="6" ht="13.2" customHeight="1" s="49">
      <c r="A6" s="8" t="inlineStr">
        <is>
          <t>5</t>
        </is>
      </c>
      <c r="B6" s="2" t="inlineStr">
        <is>
          <t>ยาพัฒนาจากสมุนไพรช่วยขับปัสสาวะใด
ที่มีโอกาสเสริมฤทธิ์กับยาลดระดับน ้าตาลในเลือดแบบกินหรือยาฉีดอินซูลิน</t>
        </is>
      </c>
      <c r="C6" s="2" t="n"/>
      <c r="D6" s="2" t="inlineStr">
        <is>
          <t>ยาหญ้าหนวดแมว</t>
        </is>
      </c>
      <c r="E6" s="2" t="inlineStr">
        <is>
          <t>ยากระเจี๊ยบแดง</t>
        </is>
      </c>
      <c r="F6" s="2" t="inlineStr">
        <is>
          <t>ยารางจืด</t>
        </is>
      </c>
      <c r="G6" s="2" t="inlineStr">
        <is>
          <t>ยาหญ้าปักกิ่ง</t>
        </is>
      </c>
      <c r="H6" s="2" t="inlineStr">
        <is>
          <t>ยาหญ้าดอกขาว</t>
        </is>
      </c>
      <c r="I6" s="8" t="n">
        <v>1</v>
      </c>
      <c r="J6" s="2" t="inlineStr">
        <is>
          <t>✅ คำตอบที่ถูกต้อง: ข้อ ก. ยาหญ้าหนวดแมว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ยาหญ้าหนวดแมว การเลือก ยาหญ้าหนวดแมว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Herbal Medicine &amp; Extract ไม่ตรงกับข้อบ่งใช้หรือกลไกการออกฤทธิ์ที่ถูกต้องตาม Thai Herbal Pharmacopoeia / WHO Monographs on Medicinal Plants
• ข้อ ค. (ยากระเจี๊ยบแดง): ยากระเจี๊ยบแดง ไม่ตรงกับข้อบ่งใช้หรือกลไกการออกฤทธิ์ที่ถูกต้องตาม Thai Herbal Pharmacopoeia / WHO Monographs on Medicinal Plants
• ข้อ ง. (ยารางจืด): ยารางจืด ไม่ตรงกับข้อบ่งใช้หรือกลไกการออกฤทธิ์ที่ถูกต้องตาม Thai Herbal Pharmacopoeia / WHO Monographs on Medicinal Plants
• ข้อ จ. (ยาหญ้าปักกิ่ง): ยาหญ้าปักกิ่ง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Herbal Extraction methods</t>
        </is>
      </c>
      <c r="M6" s="2" t="inlineStr">
        <is>
          <t>Herbal Medicine &amp; Extract</t>
        </is>
      </c>
      <c r="N6" s="2" t="inlineStr">
        <is>
          <t>Mock PLE-CC 1 ข้อ 40</t>
        </is>
      </c>
      <c r="O6" s="2" t="n"/>
      <c r="P6" s="2" t="n"/>
      <c r="Q6" s="2" t="n"/>
    </row>
    <row r="7" ht="13.2" customHeight="1" s="49">
      <c r="A7" s="8" t="inlineStr">
        <is>
          <t>6</t>
        </is>
      </c>
      <c r="B7" s="2" t="inlineStr">
        <is>
          <t>เริม ใช้ยาสมุนไพรอะไร</t>
        </is>
      </c>
      <c r="C7" s="2" t="n"/>
      <c r="D7" s="2" t="inlineStr">
        <is>
          <t>ยาพญายอ</t>
        </is>
      </c>
      <c r="E7" s="2" t="inlineStr">
        <is>
          <t>ยาเปลือกมังคุด</t>
        </is>
      </c>
      <c r="F7" s="2" t="inlineStr">
        <is>
          <t>ยาบัวบก</t>
        </is>
      </c>
      <c r="G7" s="2" t="inlineStr">
        <is>
          <t>ยาทิงเจอร์พลู</t>
        </is>
      </c>
      <c r="H7" s="2" t="inlineStr">
        <is>
          <t>ยาทิงเจอร์พลูทองพันชั่ง</t>
        </is>
      </c>
      <c r="I7" s="8" t="n">
        <v>1</v>
      </c>
      <c r="J7" s="2" t="inlineStr">
        <is>
          <t>✅ คำตอบที่ถูกต้อง: ข้อ ก. ยาพญายอ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(ยาพญายอ): ยาพญายอ ไม่ตรงกับข้อบ่งใช้หรือกลไกการออกฤทธิ์ที่ถูกต้องตาม Thai Herbal Pharmacopoeia / WHO Monographs on Medicinal Plants
• ข้อ ค. (ยาเปลือกมังคุด): ยาเปลือกมังคุด ไม่ตรงกับข้อบ่งใช้หรือกลไกการออกฤทธิ์ที่ถูกต้องตาม Thai Herbal Pharmacopoeia / WHO Monographs on Medicinal Plants
• ข้อ ง. (ยาบัวบก): บัวบก (Centella asiatica) มีสาร asiaticoside, madecassoside กระตุ้น collagen synthesis ฟื้นฟูแผล ต้องระวังในผู้ป่วย liver disease
• ข้อ จ. (ยาทิงเจอร์พลู): ยาทิงเจอร์พลู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Herbal Extraction methods</t>
        </is>
      </c>
      <c r="M7" s="2" t="inlineStr">
        <is>
          <t>Herbal Medicine &amp; Extract</t>
        </is>
      </c>
      <c r="N7" s="2" t="inlineStr">
        <is>
          <t>Mock PLE-CC 1 ข้อ 130</t>
        </is>
      </c>
      <c r="O7" s="2" t="n"/>
      <c r="P7" s="2" t="n"/>
      <c r="Q7" s="2" t="n"/>
    </row>
    <row r="8" ht="13.2" customHeight="1" s="49">
      <c r="A8" s="8" t="inlineStr">
        <is>
          <t>7</t>
        </is>
      </c>
      <c r="B8" s="2" t="inlineStr">
        <is>
          <t>ใช้ส่วนของสมุนไพรอะไรในการรักษา</t>
        </is>
      </c>
      <c r="C8" s="2" t="n"/>
      <c r="D8" s="2" t="inlineStr">
        <is>
          <t>ใบ</t>
        </is>
      </c>
      <c r="E8" s="2" t="inlineStr">
        <is>
          <t>เถา</t>
        </is>
      </c>
      <c r="F8" s="2" t="inlineStr">
        <is>
          <t>ราก</t>
        </is>
      </c>
      <c r="G8" s="2" t="inlineStr">
        <is>
          <t>เมล็ด</t>
        </is>
      </c>
      <c r="H8" s="2" t="inlineStr">
        <is>
          <t>เปลือกผล</t>
        </is>
      </c>
      <c r="I8" s="8" t="n">
        <v>1</v>
      </c>
      <c r="J8" s="2" t="inlineStr">
        <is>
          <t>✅ คำตอบที่ถูกต้อง: ข้อ ก. ใบ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(ใบ): ใบ ไม่ตรงกับข้อบ่งใช้หรือกลไกการออกฤทธิ์ที่ถูกต้องตาม Thai Herbal Pharmacopoeia / WHO Monographs on Medicinal Plants
• ข้อ ค. (เถา): เถา ไม่ตรงกับข้อบ่งใช้หรือกลไกการออกฤทธิ์ที่ถูกต้องตาม Thai Herbal Pharmacopoeia / WHO Monographs on Medicinal Plants
• ข้อ ง. (ราก): ราก ไม่ตรงกับข้อบ่งใช้หรือกลไกการออกฤทธิ์ที่ถูกต้องตาม Thai Herbal Pharmacopoeia / WHO Monographs on Medicinal Plants
• ข้อ จ. (เมล็ด): เมล็ด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Herbal Extraction methods</t>
        </is>
      </c>
      <c r="M8" s="2" t="inlineStr">
        <is>
          <t>Herbal Medicine &amp; Extract</t>
        </is>
      </c>
      <c r="N8" s="2" t="inlineStr">
        <is>
          <t>Mock PLE-CC 1 ข้อ 131</t>
        </is>
      </c>
      <c r="O8" s="2" t="n"/>
      <c r="P8" s="2" t="n"/>
      <c r="Q8" s="2" t="n"/>
    </row>
    <row r="9" ht="13.2" customHeight="1" s="49">
      <c r="A9" s="8" t="inlineStr">
        <is>
          <t>8</t>
        </is>
      </c>
      <c r="B9" s="2" t="inlineStr">
        <is>
          <t>สามารถใช้สมุนไพรใดในการรักษาอาการนอนไม่หลับ ตามบัญชียาสมุนไพรแห่งชาติ ปี 2566</t>
        </is>
      </c>
      <c r="C9" s="2" t="n"/>
      <c r="D9" s="2" t="inlineStr">
        <is>
          <t>เถาวัลย์เปรียง</t>
        </is>
      </c>
      <c r="E9" s="2" t="inlineStr">
        <is>
          <t>อบเชย</t>
        </is>
      </c>
      <c r="F9" s="2" t="inlineStr">
        <is>
          <t>น้ำมันกัญชาทั้งห้า</t>
        </is>
      </c>
      <c r="G9" s="2" t="inlineStr">
        <is>
          <t>สารสกัดขี้เหล็ก</t>
        </is>
      </c>
      <c r="H9" s="2" t="inlineStr">
        <is>
          <t>ประสะมะแว้ง ปวดกลามเนอ ปวดขอ ลดอกเสบ ขบลม ใชไดแตไมอยในบญชยาหลกแหงชาต ไอ PLE-PC1 Preparation 2567</t>
        </is>
      </c>
      <c r="I9" s="8" t="n">
        <v>1</v>
      </c>
      <c r="J9" s="2" t="inlineStr">
        <is>
          <t>✅ คำตอบที่ถูกต้อง: ข้อ ก. เถาวัลย์เปรียง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(เถาวัลย์เปรียง): เถาวัลย์เปรียง ไม่ตรงกับข้อบ่งใช้หรือกลไกการออกฤทธิ์ที่ถูกต้องตาม Thai Herbal Pharmacopoeia / WHO Monographs on Medicinal Plants
• ข้อ ค. (อบเชย): อบเชย ไม่ตรงกับข้อบ่งใช้หรือกลไกการออกฤทธิ์ที่ถูกต้องตาม Thai Herbal Pharmacopoeia / WHO Monographs on Medicinal Plants
• ข้อ ง. (น้ำมันกัญชาทั้งห้า): น้ำมันกัญชาทั้งห้า ไม่ตรงกับข้อบ่งใช้หรือกลไกการออกฤทธิ์ที่ถูกต้องตาม Thai Herbal Pharmacopoeia / WHO Monographs on Medicinal Plants
• ข้อ จ. (สารสกัดขี้เหล็ก): สารสกัดขี้เหล็ก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Herbal Extraction methods</t>
        </is>
      </c>
      <c r="M9" s="2" t="inlineStr">
        <is>
          <t>Herbal Medicine &amp; Extract</t>
        </is>
      </c>
      <c r="N9" s="2" t="inlineStr">
        <is>
          <t>PLE_CC1_2567_Key ข้อ 21</t>
        </is>
      </c>
      <c r="O9" s="2" t="n"/>
      <c r="P9" s="2" t="n"/>
      <c r="Q9" s="2" t="n"/>
    </row>
    <row r="10" ht="13.2" customHeight="1" s="49">
      <c r="A10" s="8" t="inlineStr">
        <is>
          <t>9</t>
        </is>
      </c>
      <c r="B10" s="2" t="inlineStr">
        <is>
          <t>สมุนไพรใดต่อไปนี้ สามารถใช้รักษาเชื้อราได้ แนะนำให้ใช้ 2-4 สัปดาห์ก่อน หากไม่ดีขึ้นให้พิจารณาเปลี่ยนยา ต้องมีโครงสร้างของ imidazole ring</t>
        </is>
      </c>
      <c r="C10" s="2" t="n"/>
      <c r="D10" s="2" t="inlineStr">
        <is>
          <t>ทิงเจอร์ทองพันชั่ง</t>
        </is>
      </c>
      <c r="E10" s="2" t="inlineStr">
        <is>
          <t>โลชั่นเสลดพังพอน</t>
        </is>
      </c>
      <c r="F10" s="2" t="inlineStr">
        <is>
          <t>ทิงเจอร์ไพล</t>
        </is>
      </c>
      <c r="G10" s="2" t="inlineStr">
        <is>
          <t>ครีมใบบัวบก</t>
        </is>
      </c>
      <c r="H10" s="2" t="inlineStr">
        <is>
          <t>ครีมเม็ดน้อยหน่า</t>
        </is>
      </c>
      <c r="I10" s="8" t="n">
        <v>1</v>
      </c>
      <c r="J10" s="2" t="inlineStr">
        <is>
          <t>✅ คำตอบที่ถูกต้อง: ข้อ ก. ทิงเจอร์ทองพันชั่ง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(ทิงเจอร์ทองพันชั่ง): ทิงเจอร์ทองพันชั่ง ไม่ตรงกับข้อบ่งใช้หรือกลไกการออกฤทธิ์ที่ถูกต้องตาม Thai Herbal Pharmacopoeia / WHO Monographs on Medicinal Plants
• ข้อ ค. (โลชั่นเสลดพังพอน): โลชั่นเสลดพังพอน ไม่ตรงกับข้อบ่งใช้หรือกลไกการออกฤทธิ์ที่ถูกต้องตาม Thai Herbal Pharmacopoeia / WHO Monographs on Medicinal Plants
• ข้อ ง. (ทิงเจอร์ไพล): ทิงเจอร์ไพล ไม่ตรงกับข้อบ่งใช้หรือกลไกการออกฤทธิ์ที่ถูกต้องตาม Thai Herbal Pharmacopoeia / WHO Monographs on Medicinal Plants
• ข้อ จ. (ครีมใบบัวบก): บัวบก (Centella asiatica) มีสาร asiaticoside, madecassoside กระตุ้น collagen synthesis ฟื้นฟูแผล ต้องระวังในผู้ป่วย liver disease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Herbal Extraction methods</t>
        </is>
      </c>
      <c r="M10" s="2" t="inlineStr">
        <is>
          <t>Herbal Medicine &amp; Extract</t>
        </is>
      </c>
      <c r="N10" s="2" t="inlineStr">
        <is>
          <t>PLE_CC1_2567_Key ข้อ 42</t>
        </is>
      </c>
      <c r="O10" s="2" t="n"/>
      <c r="P10" s="2" t="n"/>
      <c r="Q10" s="2" t="n"/>
    </row>
    <row r="11" ht="13.2" customHeight="1" s="49">
      <c r="A11" s="8" t="inlineStr">
        <is>
          <t>10</t>
        </is>
      </c>
      <c r="B11" s="2"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 (พญายอ) เรม งสวด ← แกปวด บวม ฟกช X แผลไฟไหม นรอนลวก X เหา X สมนไพรรกษาเชอรา พล ทองพนชง (บญชยาหลก) ขา กระเทยม ชมเหดเทศ สาเหต hyperthyroid — 60-80% เปน Graves’ disease | 15% Toxic multinodular goiter จาก 2018 European Thyroid Association Guideline for the Management of Graves’ Hyperthyroidism แนะน ATD (anti-thyroid drugs) เปน First line สหรบ GD</t>
        </is>
      </c>
      <c r="C11" s="2" t="n"/>
      <c r="D11" s="2" t="inlineStr">
        <is>
          <t>ให้กินยาจนครบคอร์ส 6-8 เดือน ห้ามหยุดยาเอง ก่อนปรึกษาแพทย์</t>
        </is>
      </c>
      <c r="E11" s="2" t="inlineStr">
        <is>
          <t>ยาอาจทำให้ง่วงซึม หลีกเลี่ยงการขับขี่ยานพาหนะหรือทำงานเครื่องจักร</t>
        </is>
      </c>
      <c r="F11" s="2" t="inlineStr">
        <is>
          <t>หลีกเลี่ยงการออกแดดหรือให้ทาครีมกันแดด เมื่อจำเป็น</t>
        </is>
      </c>
      <c r="G11" s="2" t="inlineStr">
        <is>
          <t>หากมีอาการ ไข้ เจ็บคอ มีแผลในปาก ควรหยุดยาแล้วมาพบแพทย์ทันที</t>
        </is>
      </c>
      <c r="H11" s="2" t="inlineStr">
        <is>
          <t>หากมีผื่นขึ้นแม้เพียงเล็กน้อย ให้หยุดยาทันที</t>
        </is>
      </c>
      <c r="I11" s="8" t="n">
        <v>1</v>
      </c>
      <c r="J11" s="2" t="inlineStr">
        <is>
          <t>✅ คำตอบที่ถูกต้อง: ข้อ ก. ให้กินยาจนครบคอร์ส 6-8 เดือน ห้ามหยุดยาเอง ก่อนปรึกษาแพทย์
💡 Background:
ภาวะ acute poisoning ต้องได้รับการประเมิน supportive care ควบคู่กับการให้ specific antidote อย่างทันท่วงที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(ให้กินยาจนครบคอร์ส 6-8 เดือน ห้ามหยุดยาเอง ก่อนปรึกษาแพทย์): ให้กินยาจนครบคอร์ส 6-8 เดือน ห้ามหยุดยาเอง ก่อนปรึกษาแพทย์ ไม่ตรงกับข้อบ่งใช้หรือกลไกการออกฤทธิ์ที่ถูกต้องตาม Thai Herbal Pharmacopoeia / WHO Monographs on Medicinal Plants
• ข้อ ค. (ยาอาจทำให้ง่วงซึม หลีกเลี่ยงการขับขี่ยานพาหนะหรือทำงานเครื่องจักร): ยาอาจทำให้ง่วงซึม หลีกเลี่ยงการขับขี่ยานพาหนะหรือทำงานเครื่องจักร ไม่ตรงกับข้อบ่งใช้หรือกลไกการออกฤทธิ์ที่ถูกต้องตาม Thai Herbal Pharmacopoeia / WHO Monographs on Medicinal Plants
• ข้อ ง. (หลีกเลี่ยงการออกแดดหรือให้ทาครีมกันแดด เมื่อจำเป็น): หลีกเลี่ยงการออกแดดหรือให้ทาครีมกันแดด เมื่อจำเป็น ไม่ตรงกับข้อบ่งใช้หรือกลไกการออกฤทธิ์ที่ถูกต้องตาม Thai Herbal Pharmacopoeia / WHO Monographs on Medicinal Plants
• ข้อ จ. (หากมีอาการ ไข้ เจ็บคอ มีแผลในปาก ควรหยุดยาแล้วมาพบแพทย์ทันที): หากมีอาการ ไข้ เจ็บคอ มีแผลในปาก ควรหยุดยาแล้วมาพบแพทย์ทันที ไม่ตรงกับข้อบ่งใช้หรือกลไกการออกฤทธิ์ที่ถูกต้องตาม Thai Herbal Pharmacopoeia / WHO Monographs on Medicinal Plants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 s="2" t="n"/>
      <c r="L11" s="2" t="inlineStr">
        <is>
          <t>Herbal Extraction methods</t>
        </is>
      </c>
      <c r="M11" s="2" t="inlineStr">
        <is>
          <t>Herbal Medicine &amp; Extract</t>
        </is>
      </c>
      <c r="N11" s="2" t="inlineStr">
        <is>
          <t>PLE_CC1_2567_Key ข้อ 43</t>
        </is>
      </c>
      <c r="O11" s="2" t="n"/>
      <c r="P11" s="2" t="n"/>
      <c r="Q11" s="2" t="n"/>
    </row>
    <row r="12" ht="13.2" customHeight="1" s="49">
      <c r="A12" s="8" t="inlineStr">
        <is>
          <t>11</t>
        </is>
      </c>
      <c r="B12" s="2" t="inlineStr">
        <is>
          <t>สมุนไพรใดต่อไปนี้ สามารถใช้รักษาเชื้อราได้ ลองหาข้อมูลแล้วไม่พบการเกิดปฏิกิริยาดังกล่าว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C12" s="2" t="n"/>
      <c r="D12" s="2" t="inlineStr">
        <is>
          <t>Herbal Medicine &amp; Extract</t>
        </is>
      </c>
      <c r="E12" s="2" t="inlineStr">
        <is>
          <t>Gingerol quantification in Zingiber officinale</t>
        </is>
      </c>
      <c r="F12" s="2" t="inlineStr">
        <is>
          <t>Maceration with Ethanol 70% solvent</t>
        </is>
      </c>
      <c r="G12" s="2" t="inlineStr">
        <is>
          <t>Soxhlet Extraction for heat-stable phytochemicals</t>
        </is>
      </c>
      <c r="H12" s="2" t="inlineStr">
        <is>
          <t>Supercritical Fluid Extraction (SFE-CO2)</t>
        </is>
      </c>
      <c r="I12" s="8" t="n">
        <v>1</v>
      </c>
      <c r="J12" s="2" t="inlineStr">
        <is>
          <t>✅ คำตอบที่ถูกต้อง: ข้อ ก. Herbal Medicine &amp; Extract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Herbal Extraction methods</t>
        </is>
      </c>
      <c r="M12" s="2" t="inlineStr">
        <is>
          <t>Herbal Medicine &amp; Extract</t>
        </is>
      </c>
      <c r="N12" s="2" t="inlineStr">
        <is>
          <t>PLE_CC1_2567_Set1_Key ข้อ 42</t>
        </is>
      </c>
      <c r="O12" s="2" t="n"/>
      <c r="P12" s="2" t="n"/>
    </row>
    <row r="13" ht="13.2" customHeight="1" s="49">
      <c r="A13" s="8" t="inlineStr">
        <is>
          <t>12</t>
        </is>
      </c>
      <c r="B13" s="2" t="inlineStr">
        <is>
          <t>ร้านขายยาแผนปัจจุบันมียาสมุนไพรที่เขียนว่าขายได้เฉพาะสถานที่ที่มีใบอนุญาตขายได้หรือไม่เพราะอะไร ตัวเลือก</t>
        </is>
      </c>
      <c r="C13" s="2" t="n"/>
      <c r="D13" s="2" t="inlineStr">
        <is>
          <t>Herbal Medicine &amp; Extract</t>
        </is>
      </c>
      <c r="E13" s="2" t="inlineStr">
        <is>
          <t>Supercritical Fluid Extraction (SFE-CO2)</t>
        </is>
      </c>
      <c r="F13" s="2" t="inlineStr">
        <is>
          <t>Standardized Curcuminoids in Curcuma longa</t>
        </is>
      </c>
      <c r="G13" s="2" t="inlineStr">
        <is>
          <t>Standardized Andrographolide in Andrographis paniculata</t>
        </is>
      </c>
      <c r="H13" s="2" t="inlineStr">
        <is>
          <t>Senna glycosides (Sennosides A &amp; B) Extraction</t>
        </is>
      </c>
      <c r="I13" s="8" t="n">
        <v>1</v>
      </c>
      <c r="J13" s="2" t="inlineStr">
        <is>
          <t>✅ คำตอบที่ถูกต้อง: ข้อ ก. Herbal Medicine &amp; Extract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Herbal Extraction methods</t>
        </is>
      </c>
      <c r="M13" s="2" t="inlineStr">
        <is>
          <t>Herbal Medicine &amp; Extract</t>
        </is>
      </c>
      <c r="N13" s="2" t="inlineStr">
        <is>
          <t>PLE-CC1 ปี 2566 Day 2 ข้อ 61</t>
        </is>
      </c>
      <c r="O13" s="2" t="n"/>
      <c r="P13" s="2" t="n"/>
    </row>
    <row r="14" ht="13.2" customHeight="1" s="49">
      <c r="A14" s="8" t="inlineStr">
        <is>
          <t>13</t>
        </is>
      </c>
      <c r="B14" s="2" t="inlineStr">
        <is>
          <t>ไม่ได้เพราะไม่มีใบอนุญาตขายผลิตภัณฑ์สมุนไพร</t>
        </is>
      </c>
      <c r="C14" s="2" t="n"/>
      <c r="D14" s="2" t="inlineStr">
        <is>
          <t>Herbal Medicine &amp; Extract</t>
        </is>
      </c>
      <c r="E14" s="2" t="inlineStr">
        <is>
          <t>Senna glycosides (Sennosides A &amp; B) Extraction</t>
        </is>
      </c>
      <c r="F14" s="2" t="inlineStr">
        <is>
          <t>Centella asiatica (Madecassoside &amp; Asiaticoside)</t>
        </is>
      </c>
      <c r="G14" s="2" t="inlineStr">
        <is>
          <t>Gingerol quantification in Zingiber officinale</t>
        </is>
      </c>
      <c r="H14" s="2" t="inlineStr">
        <is>
          <t>Maceration with Ethanol 70% solvent</t>
        </is>
      </c>
      <c r="I14" s="8" t="n">
        <v>1</v>
      </c>
      <c r="J14" s="2" t="inlineStr">
        <is>
          <t>✅ คำตอบที่ถูกต้อง: ข้อ ก. Herbal Medicine &amp; Extract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ง.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จ. (Maceration with Ethanol 70% solvent): Maceration with Ethanol 70% solvent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n"/>
      <c r="L14" s="2" t="inlineStr">
        <is>
          <t>Herbal Extraction methods</t>
        </is>
      </c>
      <c r="M14" s="2" t="inlineStr">
        <is>
          <t>Herbal Medicine &amp; Extract</t>
        </is>
      </c>
      <c r="N14" s="2" t="inlineStr">
        <is>
          <t>PLE-CC1 ปี 2566 Day 2 ข้อ 1</t>
        </is>
      </c>
      <c r="O14" s="2" t="n"/>
      <c r="P14" s="2" t="n"/>
    </row>
    <row r="15" ht="13.2" customHeight="1" s="49">
      <c r="A15" s="8" t="inlineStr">
        <is>
          <t>14</t>
        </is>
      </c>
      <c r="B15" s="2" t="inlineStr">
        <is>
          <t>สมุนไพรใดที่ใชลดน้ำตาลในเลือดไดโดยมีหลักฐานทางวิชาการยืนยัน</t>
        </is>
      </c>
      <c r="C15" s="2" t="n"/>
      <c r="D15" s="2" t="inlineStr">
        <is>
          <t>มะระขี้นก</t>
        </is>
      </c>
      <c r="E15" s="2" t="inlineStr">
        <is>
          <t>ดอกแค</t>
        </is>
      </c>
      <c r="F15" s="2" t="inlineStr">
        <is>
          <t>ใบขี้เหล็ก</t>
        </is>
      </c>
      <c r="G15" s="2" t="inlineStr">
        <is>
          <t>ทองพันชั่ง</t>
        </is>
      </c>
      <c r="H15" s="2" t="inlineStr">
        <is>
          <t>[NEED_REVIEW]</t>
        </is>
      </c>
      <c r="I15" s="8" t="n">
        <v>1</v>
      </c>
      <c r="J15" s="2" t="inlineStr">
        <is>
          <t>✅ คำตอบที่ถูกต้อง: ข้อ ก. มะระขี้นก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(มะระขี้นก): มะระขี้นก ไม่ตรงกับข้อบ่งใช้หรือกลไกการออกฤทธิ์ที่ถูกต้องตาม Thai Herbal Pharmacopoeia / WHO Monographs on Medicinal Plants
• ข้อ ค. (ดอกแค): ดอกแค ไม่ตรงกับข้อบ่งใช้หรือกลไกการออกฤทธิ์ที่ถูกต้องตาม Thai Herbal Pharmacopoeia / WHO Monographs on Medicinal Plants
• ข้อ ง. (ใบขี้เหล็ก): ใบขี้เหล็ก ไม่ตรงกับข้อบ่งใช้หรือกลไกการออกฤทธิ์ที่ถูกต้องตาม Thai Herbal Pharmacopoeia / WHO Monographs on Medicinal Plants
• ข้อ จ. (ทองพันชั่ง): ทองพันชั่ง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Herbal Extraction methods</t>
        </is>
      </c>
      <c r="M15" s="2" t="inlineStr">
        <is>
          <t>Herbal Medicine &amp; Extract</t>
        </is>
      </c>
      <c r="N15" s="2" t="inlineStr">
        <is>
          <t>PLE_CC1_2565_Day1_Key ข้อ 19</t>
        </is>
      </c>
      <c r="O15" s="2" t="n"/>
      <c r="P15" s="2" t="n"/>
      <c r="Q15" s="2" t="n"/>
    </row>
    <row r="16" ht="13.2" customHeight="1" s="49">
      <c r="A16" s="8" t="inlineStr">
        <is>
          <t>15</t>
        </is>
      </c>
      <c r="B16" s="2" t="inlineStr">
        <is>
          <t>สมุนไพรใช$ภายนอกรักษาผิวหนังอักเสบคืออะไร แรงเ8นไป High potency steroid - ↑</t>
        </is>
      </c>
      <c r="C16" s="2" t="n"/>
      <c r="D16" s="2" t="inlineStr">
        <is>
          <t>Herbal Medicine &amp; Extract</t>
        </is>
      </c>
      <c r="E16" s="2" t="inlineStr">
        <is>
          <t>ทองพันชั่ง</t>
        </is>
      </c>
      <c r="F16" s="2" t="inlineStr">
        <is>
          <t>เปลือกมังคุด</t>
        </is>
      </c>
      <c r="G16" s="2" t="inlineStr">
        <is>
          <t>เมล็ดน$อยหน-า</t>
        </is>
      </c>
      <c r="H16" s="2" t="inlineStr">
        <is>
          <t>พลู กลากเก%อน แผลสด/เ,อย 1กษาเหา แมลง0ด</t>
        </is>
      </c>
      <c r="I16" s="8" t="n">
        <v>1</v>
      </c>
      <c r="J16" s="2" t="inlineStr">
        <is>
          <t>✅ คำตอบที่ถูกต้อง: ข้อ ก. Herbal Medicine &amp; Extract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(ทองพันชั่ง): ทองพันชั่ง ไม่ตรงกับข้อบ่งใช้หรือกลไกการออกฤทธิ์ที่ถูกต้องตาม Thai Herbal Pharmacopoeia / WHO Monographs on Medicinal Plants
• ข้อ ค. (เปลือกมังคุด): เปลือกมังคุด ไม่ตรงกับข้อบ่งใช้หรือกลไกการออกฤทธิ์ที่ถูกต้องตาม Thai Herbal Pharmacopoeia / WHO Monographs on Medicinal Plants
• ข้อ ง. (เมล็ดน$อยหน-า): เมล็ดน$อยหน-า ไม่ตรงกับข้อบ่งใช้หรือกลไกการออกฤทธิ์ที่ถูกต้องตาม Thai Herbal Pharmacopoeia / WHO Monographs on Medicinal Plants
• ข้อ จ. (พลู กลากเก%อน แผลสด/เ,อย 1กษาเหา แมลง0ด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2" t="n"/>
      <c r="L16" s="2" t="inlineStr">
        <is>
          <t>Herbal Extraction methods</t>
        </is>
      </c>
      <c r="M16" s="2" t="inlineStr">
        <is>
          <t>Herbal Medicine &amp; Extract</t>
        </is>
      </c>
      <c r="N16" s="2" t="inlineStr">
        <is>
          <t>PLE_CC1_2565_Day2_Key ข้อ 37</t>
        </is>
      </c>
      <c r="O16" s="2" t="n"/>
      <c r="P16" s="2" t="n"/>
    </row>
    <row r="17" ht="13.2" customHeight="1" s="49">
      <c r="A17" s="8" t="inlineStr">
        <is>
          <t>16</t>
        </is>
      </c>
      <c r="B17" s="2" t="inlineStr">
        <is>
          <t>สมุนไพรตัวใดช่วยขับปัสสาวะ</t>
        </is>
      </c>
      <c r="C17" s="2" t="n"/>
      <c r="D17" s="2" t="inlineStr">
        <is>
          <t>Herbal Medicine &amp; Extract</t>
        </is>
      </c>
      <c r="E17" s="2" t="inlineStr">
        <is>
          <t>กระเจี๊ยบแดง</t>
        </is>
      </c>
      <c r="F17" s="2" t="inlineStr">
        <is>
          <t>Gingerol quantification in Zingiber officinale</t>
        </is>
      </c>
      <c r="G17" s="2" t="inlineStr">
        <is>
          <t>Maceration with Ethanol 70% solvent</t>
        </is>
      </c>
      <c r="H17" s="2" t="inlineStr">
        <is>
          <t>Soxhlet Extraction for heat-stable phytochemicals</t>
        </is>
      </c>
      <c r="I17" s="8" t="n">
        <v>1</v>
      </c>
      <c r="J17" s="2" t="inlineStr">
        <is>
          <t>✅ คำตอบที่ถูกต้อง: ข้อ ก. Herbal Medicine &amp; Extract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(กระเจี๊ยบแดง): กระเจี๊ยบแดง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Herbal Extraction methods</t>
        </is>
      </c>
      <c r="M17" s="2" t="inlineStr">
        <is>
          <t>Herbal Medicine &amp; Extract</t>
        </is>
      </c>
      <c r="N17" s="2" t="inlineStr">
        <is>
          <t>PLE_CC1_2564_All_Key ข้อ 21</t>
        </is>
      </c>
      <c r="O17" s="2" t="n"/>
      <c r="P17" s="2" t="n"/>
    </row>
    <row r="18" ht="13.2" customHeight="1" s="49">
      <c r="A18" s="8" t="inlineStr">
        <is>
          <t>17</t>
        </is>
      </c>
      <c r="B18" s="2" t="inlineStr">
        <is>
          <t>สมุนไพรที่เกิดอันตรกิริยากับยาต้าน HIV มากที่สุด</t>
        </is>
      </c>
      <c r="C18" s="2" t="n"/>
      <c r="D18" s="2" t="inlineStr">
        <is>
          <t>ขิง</t>
        </is>
      </c>
      <c r="E18" s="2" t="inlineStr">
        <is>
          <t>ขมิ้นชัน</t>
        </is>
      </c>
      <c r="F18" s="2" t="inlineStr">
        <is>
          <t>ฟ้าทะลายโจร</t>
        </is>
      </c>
      <c r="G18" s="2" t="inlineStr">
        <is>
          <t>หญ้าหนวดแมว</t>
        </is>
      </c>
      <c r="H18" s="2" t="inlineStr">
        <is>
          <t>St. John wort</t>
        </is>
      </c>
      <c r="I18" s="8" t="n">
        <v>1</v>
      </c>
      <c r="J18" s="2" t="inlineStr">
        <is>
          <t>✅ คำตอบที่ถูกต้อง: ข้อ ก. ขิง
💡 Background:
การดูแลผู้ติดเชื้อ HIV เน้นเริ่ม Antiretroviral Therapy (ART) ทันทีเพื่อกด viral load ให้ undetectable (U=U) และฟื้นฟูระบบภูมิคุ้มกัน
🎯 ทำไมข้อนี้ถึงถูก:
Herbal Medicine &amp; Extract CYP3A4 ดังนั้นถ้าใช้ร่วมกันจะทำให้ระดับยาต้าน HIV ในเลือดลดลง ส่งผลให้ efficacy ในการต้านเชื้อ HIV ลดลง จากเอกสารอ้างอิงระบุว่าไม่แนะนำให้ใช้ร่วมกัน ส่วนฟ้าทะลายโจรเป็น CYP3A4 inhibitor ส่งผลให้ระดับยาต้าน HIV สูงขึ้นตามทฤษฎี แต่ยังไม่มีการศึกษาทาง clinic ส่วนสมุนไพรอื่นๆ ไม่ส่งผลต่อระดับยาต้าน HIV อย่างมีนัยสำคัญ hep.s3.amazonaws.com/prescribing_resources/pdfs/000/000/185/original/Herbal_Mineral_Supplements_2022_Jul.pdf?1658307574
🔍 ข้ออื่นผิดเพราะอะไร:
• ข้อ ข. (ขิง): ขิง (Zingiber officinale) มีฤทธิ์ antiemetic ผ่าน 6-gingerol (ยับยั้ง 5-HT3) ต้านการอักเสบ ต้องระวัง DDI กับ anticoagulants เพิ่ม bleeding risk
• ข้อ ค. (ขมิ้นชัน): ขมิ้นชัน (Curcuma longa) มีสาร curcumin ต้านการอักเสบผ่าน NF-κB, COX inhibition ดูดซึม bioavailability ต่ำ เพิ่มด้วย piperine
• ข้อ ง. (ฟ้าทะลายโจร): ฟ้าทะลายโจร (Andrographis paniculata) มีสาร Andrographolide ยับยั้ง NF-κB ต้านไวรัส ไม่ควรใช้ในหญิงตั้งครรภ์ (abortifacient) และ autoimmune disease
• ข้อ จ. (หญ้าหนวดแมว): หญ้าหนวดแมว ไม่ตรงกับข้อบ่งใช้หรือกลไกการออกฤทธิ์ที่ถูกต้องตาม Thai Herbal Pharmacopoeia / WHO Monographs on Medicinal Plants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 s="2" t="n"/>
      <c r="L18" s="2" t="inlineStr">
        <is>
          <t>Herbal Extraction methods</t>
        </is>
      </c>
      <c r="M18" s="2" t="inlineStr">
        <is>
          <t>Herbal Medicine &amp; Extract</t>
        </is>
      </c>
      <c r="N18" s="2" t="inlineStr">
        <is>
          <t>PLE_CC1_2564_All_Key ข้อ 79</t>
        </is>
      </c>
      <c r="O18" s="2" t="n"/>
      <c r="P18" s="2" t="n"/>
      <c r="Q18" s="2" t="n"/>
    </row>
    <row r="19" ht="13.2" customHeight="1" s="49">
      <c r="A19" s="8" t="inlineStr">
        <is>
          <t>18</t>
        </is>
      </c>
      <c r="B19" s="2" t="inlineStr">
        <is>
          <t>สมุนไพรใดที่มี sulfur containing compound หลายชนิดและเป็น Herb drug interaction กับยาต้านเกล็ดเลือดและทำให้เลือกออกได้มาก</t>
        </is>
      </c>
      <c r="C19" s="2" t="n"/>
      <c r="D19" s="2" t="inlineStr">
        <is>
          <t>ขิง b. กระเทียม c. แปะก๊วย</t>
        </is>
      </c>
      <c r="E19" s="2" t="inlineStr">
        <is>
          <t>กระเทียม</t>
        </is>
      </c>
      <c r="F19" s="2" t="inlineStr">
        <is>
          <t>Ticagrelor</t>
        </is>
      </c>
      <c r="G19" s="2" t="inlineStr">
        <is>
          <t>Cragelor</t>
        </is>
      </c>
      <c r="H19" s="2" t="inlineStr">
        <is>
          <t>Abciximab</t>
        </is>
      </c>
      <c r="I19" s="8" t="n">
        <v>1</v>
      </c>
      <c r="J19" s="2" t="inlineStr">
        <is>
          <t>✅ คำตอบที่ถูกต้อง: ข้อ ก. ขิง b. กระเทียม c. แปะก๊วย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https://www.disthai.com/16488280/%E0%B8%81%E0%B8%A3%E0%B8%B0%E0%B9%80%E0%B8%97%E0%B8%B5%E0%B8%A2%E0%B8%A1 .............................................................................................................................................................................................................. aminothiazolyl-oxyimino มีฤทธ์ิฆ่าแบคทีเรียทั้งแกรมบวกและแกรมลบกว้างกว่ารุ่นท่ี 2 และมีความคงทนต่อเอนไซม์ beta lactamase ดีมาก https://pharmacy.hcu.ac.th/upload/files/CPE%20HCU/2559/Development%20of%20Cephalosporins.pdf
🔍 ข้ออื่นผิดเพราะอะไร:
• ข้อ ข. (ขิง b. กระเทียม c. แปะก๊วย): กระเทียม (Allium sativum) มีสาร Allicin (ลดไขมัน ต้านจุลชีพ) และ Ajoene (ยับยั้ง platelet) มี DDI กับ warfarin/antiplatelet เพิ่ม bleeding risk
• ข้อ ค. (กระเทียม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 กระเทียม (Allium sativum) มีสาร Allicin (ลดไขมัน ต้านจุลชีพ) และ Ajoene (ยับยั้ง platelet) มี DDI กับ warfarin/antiplatelet เพิ่ม bleeding risk
• ข้อ ง. (Ticagrelor): เป็น direct-acting reversible P2Y12 inhibitor ไม่ต้องผ่าน CYP activation มี antiplatelet efficacy เหนือกว่า clopidogrel ใน ACS แต่มี ADR อาการหายใจขัด (dyspnea) และหัวใจเต้นช้า
• ข้อ จ. (Cragelor): Cragelor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Herbal Extraction methods</t>
        </is>
      </c>
      <c r="M19" s="2" t="inlineStr">
        <is>
          <t>Herbal Medicine &amp; Extract</t>
        </is>
      </c>
      <c r="N19" s="2" t="inlineStr">
        <is>
          <t>PLE_CC1_2564_All_Key ข้อ 97</t>
        </is>
      </c>
      <c r="O19" s="2" t="n"/>
      <c r="P19" s="2" t="n"/>
      <c r="Q19" s="2" t="n"/>
    </row>
    <row r="20" ht="13.2" customHeight="1" s="49">
      <c r="A20" s="8" t="inlineStr">
        <is>
          <t>19</t>
        </is>
      </c>
      <c r="B20" s="2" t="inlineStr">
        <is>
          <t>ทำยา IV ใช้น้ำอะไร water for injection ชีทวิชาเภสัชการ 4 (Pharmaceutics 4) เรื่องน้ำตามตำรับยา หน้า 24 ............................................................................................................................................................................................................. เฉลยข้อสอบ PLE-CC1 ครั้งที่12/2564 วันที่ 1-2 : MUPY 50 เฉลยข้อสอบ PLE-CC1 ครั้งที่12/2564 วันที่ 1-2 : MUPY 50 143.สมุนไพรที่ตีกับยาเก๊าท์</t>
        </is>
      </c>
      <c r="C20" s="2" t="n"/>
      <c r="D20" s="2" t="inlineStr">
        <is>
          <t>ฟ้าทลายโจร</t>
        </is>
      </c>
      <c r="E20" s="2" t="inlineStr">
        <is>
          <t>หญ้าหนวดแมว</t>
        </is>
      </c>
      <c r="F20" s="2" t="inlineStr">
        <is>
          <t>ขิง</t>
        </is>
      </c>
      <c r="G20" s="2" t="inlineStr">
        <is>
          <t>ขมิ้นชัน</t>
        </is>
      </c>
      <c r="H20" s="2" t="inlineStr">
        <is>
          <t>St.John wort</t>
        </is>
      </c>
      <c r="I20" s="8" t="n">
        <v>1</v>
      </c>
      <c r="J20" s="2" t="inlineStr">
        <is>
          <t>✅ คำตอบที่ถูกต้อง: ข้อ ก. ฟ้าทลายโจร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ลดอักเสบที่จำเพาะกับโรคเก๊าท์) และเป็น CYP3A4 substrate เมื่อใช้ร่วมกับฟ้าทลายโจรที่เป็น CYP3A4 inhibitor(inh อีกหลาย .............................................................................................................................................................................................................
🔍 ข้ออื่นผิดเพราะอะไร:
• ข้อ ข. (ฟ้าทลายโจร): ฟ้าทลายโจร ไม่ตรงกับข้อบ่งใช้หรือกลไกการออกฤทธิ์ที่ถูกต้องตาม Thai Herbal Pharmacopoeia / WHO Monographs on Medicinal Plants
• ข้อ ค. (หญ้าหนวดแมว): หญ้าหนวดแมว ไม่ตรงกับข้อบ่งใช้หรือกลไกการออกฤทธิ์ที่ถูกต้องตาม Thai Herbal Pharmacopoeia / WHO Monographs on Medicinal Plants
• ข้อ ง. (ขิง): ขิง (Zingiber officinale) มีฤทธิ์ antiemetic ผ่าน 6-gingerol (ยับยั้ง 5-HT3) ต้านการอักเสบ ต้องระวัง DDI กับ anticoagulants เพิ่ม bleeding risk
• ข้อ จ. (ขมิ้นชัน): ขมิ้นชัน (Curcuma longa) มีสาร curcumin ต้านการอักเสบผ่าน NF-κB, COX inhibition ดูดซึม bioavailability ต่ำ เพิ่มด้วย piperine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Herbal Extraction methods</t>
        </is>
      </c>
      <c r="M20" s="2" t="inlineStr">
        <is>
          <t>Herbal Medicine &amp; Extract</t>
        </is>
      </c>
      <c r="N20" s="2" t="inlineStr">
        <is>
          <t>PLE_CC1_2564_All_Key ข้อ 140</t>
        </is>
      </c>
      <c r="O20" s="2" t="n"/>
      <c r="P20" s="2" t="n"/>
      <c r="Q20" s="2" t="n"/>
    </row>
    <row r="21" ht="13.2" customHeight="1" s="49">
      <c r="A21" s="8" t="inlineStr">
        <is>
          <t>20</t>
        </is>
      </c>
      <c r="B21" s="2" t="inlineStr">
        <is>
          <t>ตำรับยาสมุนไพรในข้อใดสะเป็นประโยฬน์ต่อผู้ป่วยน้อยที่สุด</t>
        </is>
      </c>
      <c r="C21" s="2" t="n"/>
      <c r="D21" s="2" t="inlineStr">
        <is>
          <t>Herbal Medicine &amp; Extract</t>
        </is>
      </c>
      <c r="E21" s="2" t="inlineStr">
        <is>
          <t>ยาครีมพริก</t>
        </is>
      </c>
      <c r="F21" s="2" t="inlineStr">
        <is>
          <t>ยาผษกล้วย</t>
        </is>
      </c>
      <c r="G21" s="2" t="inlineStr">
        <is>
          <t>น้ำมันไพล ษ. ยาประสะไพล ส. ยาเถาวัลย์เปรียษ โจทย์เพิ่ม</t>
        </is>
      </c>
      <c r="H21" s="2" t="inlineStr">
        <is>
          <t>Senna glycosides (Sennosides A &amp; B) Extraction</t>
        </is>
      </c>
      <c r="I21" s="8" t="n">
        <v>1</v>
      </c>
      <c r="J21" s="2" t="inlineStr">
        <is>
          <t>✅ คำตอบที่ถูกต้อง: ข้อ ก. Herbal Medicine &amp; Extract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(ยาครีมพริก): ยาครีมพริก ไม่ตรงกับข้อบ่งใช้หรือกลไกการออกฤทธิ์ที่ถูกต้องตาม Thai Herbal Pharmacopoeia / WHO Monographs on Medicinal Plants
• ข้อ ค. (ยาผษกล้วย): ยาผษกล้วย ไม่ตรงกับข้อบ่งใช้หรือกลไกการออกฤทธิ์ที่ถูกต้องตาม Thai Herbal Pharmacopoeia / WHO Monographs on Medicinal Plants
• ข้อ ง. (น้ำมันไพล ษ. ยาประสะไพล ส. ยาเถาวัลย์เปรียษ โจทย์เพิ่ม): น้ำมันไพล ษ. ยาประสะไพล ส. ยาเถาวัลย์เปรียษ โจทย์เพิ่ม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Herbal Extraction methods</t>
        </is>
      </c>
      <c r="M21" s="2" t="inlineStr">
        <is>
          <t>Herbal Medicine &amp; Extract</t>
        </is>
      </c>
      <c r="N21" s="2" t="inlineStr">
        <is>
          <t>PLE_CC1_2563_Q ข้อ 101</t>
        </is>
      </c>
      <c r="O21" s="2" t="n"/>
      <c r="P21" s="2" t="n"/>
    </row>
    <row r="22" ht="13.2" customHeight="1" s="49">
      <c r="A22" s="2" t="n">
        <v>20</v>
      </c>
      <c r="B22" s="2" t="inlineStr">
        <is>
          <t>จากการซักประวัติผู้ป่วยเพิ่มเติมพบว่า ผู้ป่วยเคยใช้สมุนไพรเถาวัลย์เปรียงเป็นประจำ แต่อาการไม่ดีขึ้น ควรเลือกใช้ - - ยาในข้อใด</t>
        </is>
      </c>
      <c r="C22" s="2" t="n"/>
      <c r="D22" s="2" t="inlineStr">
        <is>
          <t>เจลว่านหางจระเข้</t>
        </is>
      </c>
      <c r="E22" s="2" t="inlineStr">
        <is>
          <t>Diclofenac tablet</t>
        </is>
      </c>
      <c r="F22" s="2" t="inlineStr">
        <is>
          <t>Tramadol capsule</t>
        </is>
      </c>
      <c r="G22" s="2" t="inlineStr">
        <is>
          <t>Indomethacin spray</t>
        </is>
      </c>
      <c r="H22" s="2" t="inlineStr">
        <is>
          <t>Naproxen tablet</t>
        </is>
      </c>
      <c r="I22" s="2" t="n">
        <v>1</v>
      </c>
      <c r="J2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(Diclofenac tablet): Diclofenac tablet ไม่ตรงกับข้อบ่งใช้หรือกลไกการออกฤทธิ์ที่ถูกต้องตาม Thai Herbal Pharmacopoeia / WHO Monographs on Medicinal Plants
• ข้อ ค. (Tramadol capsule): เป็น weak mu-opioid agonist และ SNRI เป็นเพียง second-line / add-on สำหรับ pain relief ไม่มีฤทธิ์ลดการอักเสบ (no anti-inflammatory efficacy) และเสี่ยงต่อ serotonin syndrome และชัก
• ข้อ ง. (Indomethacin spray): เป็น potent non-selective NSAID มี anti-inflammatory efficacy สูงมากใน acute gout flare แต่มี ADRs เด่นทาง GI toxicity และ CNS (ปวดศีรษะ มึนงง)
• ข้อ จ. (Naproxen tablet): เป็น non-selective NSAID ที่มี cardiovascular safety profile ดีที่สุด และมี efficacy สูงในการระงับ acute inflammation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Herbal Extraction methods</t>
        </is>
      </c>
      <c r="M22" s="2" t="inlineStr">
        <is>
          <t>Product</t>
        </is>
      </c>
      <c r="N22" s="2" t="inlineStr">
        <is>
          <t>ข้อ 3 (PLE_CC1_2562_Key.md)</t>
        </is>
      </c>
      <c r="O22" s="2" t="n"/>
      <c r="P22" s="2" t="n"/>
    </row>
    <row r="23" ht="13.2" customHeight="1" s="49">
      <c r="A23" s="2" t="n">
        <v>21</v>
      </c>
      <c r="B23" s="2" t="inlineStr">
        <is>
          <t>กระทรวงสาธารณสุข ประกาศสมุนไพรใด ที่รับประทานแล้วมีผื่นคัน บวม , Intra articular X ↑ IM</t>
        </is>
      </c>
      <c r="C23" s="2" t="n"/>
      <c r="D23" s="2" t="inlineStr">
        <is>
          <t>ขิง</t>
        </is>
      </c>
      <c r="E23" s="2" t="inlineStr">
        <is>
          <t>ฟ้าทะลายโจร</t>
        </is>
      </c>
      <c r="F23" s="2" t="inlineStr">
        <is>
          <t>รางจืด</t>
        </is>
      </c>
      <c r="G23" s="2" t="inlineStr">
        <is>
          <t>หญ้าดอกขาว</t>
        </is>
      </c>
      <c r="H23" s="2" t="inlineStr">
        <is>
          <t>ขมิ้นชัน</t>
        </is>
      </c>
      <c r="I23" s="2" t="n">
        <v>1</v>
      </c>
      <c r="J23"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ฟ้าทะลายโจร (Andrographis paniculata) มีสาร Andrographolide ยับยั้ง NF-κB ต้านไวรัส ไม่ควรใช้ในหญิงตั้งครรภ์ (abortifacient) และ autoimmune disease
• ข้อ ค. (รางจืด): รางจืด ไม่ตรงกับข้อบ่งใช้หรือกลไกการออกฤทธิ์ที่ถูกต้องตาม Thai Herbal Pharmacopoeia / WHO Monographs on Medicinal Plants
• ข้อ ง. (หญ้าดอกขาว): หญ้าดอกขาว ไม่ตรงกับข้อบ่งใช้หรือกลไกการออกฤทธิ์ที่ถูกต้องตาม Thai Herbal Pharmacopoeia / WHO Monographs on Medicinal Plants
• ข้อ จ. (ขมิ้นชัน): ขมิ้นชัน (Curcuma longa) มีสาร curcumin ต้านการอักเสบผ่าน NF-κB, COX inhibition ดูดซึม bioavailability ต่ำ เพิ่มด้วย piperine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Herbal Extraction methods</t>
        </is>
      </c>
      <c r="M23" s="2" t="inlineStr">
        <is>
          <t>Product</t>
        </is>
      </c>
      <c r="N23" s="2" t="inlineStr">
        <is>
          <t>ข้อ 31 (PLE_CC1_2562_Key.md)</t>
        </is>
      </c>
      <c r="O23" s="2" t="n"/>
      <c r="P23" s="2" t="n"/>
    </row>
    <row r="24" ht="13.2" customHeight="1" s="49">
      <c r="A24" s="2" t="n">
        <v>22</v>
      </c>
      <c r="B24" s="2" t="inlineStr">
        <is>
          <t>สมุนไพรใดที่ไม่ควรใช้ในผู้ป่วยเบาหวาน X O -</t>
        </is>
      </c>
      <c r="C24" s="2" t="n"/>
      <c r="D24" s="2" t="inlineStr">
        <is>
          <t>เถาวัลย์เปรียง</t>
        </is>
      </c>
      <c r="E24" s="2" t="inlineStr">
        <is>
          <t>รางจืด</t>
        </is>
      </c>
      <c r="F24" s="2" t="inlineStr">
        <is>
          <t>หญ้าปักกิ่ง</t>
        </is>
      </c>
      <c r="G24" s="2" t="inlineStr">
        <is>
          <t>กระเจีěยบแดง</t>
        </is>
      </c>
      <c r="H24" s="2" t="inlineStr">
        <is>
          <t>ฟ้าทะลายโจร</t>
        </is>
      </c>
      <c r="I24" s="2" t="n">
        <v>1</v>
      </c>
      <c r="J24"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(หญ้าปักกิ่ง): หญ้าปักกิ่ง ไม่ตรงกับข้อบ่งใช้หรือกลไกการออกฤทธิ์ที่ถูกต้องตาม Thai Herbal Pharmacopoeia / WHO Monographs on Medicinal Plants
• ข้อ ง. (กระเจีěยบแดง): กระเจีěยบแดง ไม่ตรงกับข้อบ่งใช้หรือกลไกการออกฤทธิ์ที่ถูกต้องตาม Thai Herbal Pharmacopoeia / WHO Monographs on Medicinal Plants
• ข้อ จ. (ฟ้าทะลายโจร):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Herbal Extraction methods</t>
        </is>
      </c>
      <c r="M24" s="2" t="inlineStr">
        <is>
          <t>Product</t>
        </is>
      </c>
      <c r="N24" s="2" t="inlineStr">
        <is>
          <t>ข้อ 65 (PLE_CC1_2562_Key.md)</t>
        </is>
      </c>
      <c r="O24" s="2" t="n"/>
      <c r="P24" s="2" t="n"/>
    </row>
    <row r="25" ht="13.2" customHeight="1" s="49">
      <c r="A25" s="2" t="n">
        <v>23</v>
      </c>
      <c r="B25" s="2" t="inlineStr">
        <is>
          <t>สมุนไพรใดมีสาร vincristine หรือ vinblastine &amp; 2 D5 W Tarvein : protein 2: Denature - - X X -</t>
        </is>
      </c>
      <c r="C25" s="2" t="n"/>
      <c r="D25" s="2" t="inlineStr">
        <is>
          <t>ดองดึง</t>
        </is>
      </c>
      <c r="E25" s="2" t="inlineStr">
        <is>
          <t>แพงพวยฝรั่ง</t>
        </is>
      </c>
      <c r="F25" s="2" t="inlineStr">
        <is>
          <t>เสนียด</t>
        </is>
      </c>
      <c r="G25" s="2" t="inlineStr">
        <is>
          <t>ระย่อม</t>
        </is>
      </c>
      <c r="H25" s="2" t="inlineStr">
        <is>
          <t>ต้นสน Pacific</t>
        </is>
      </c>
      <c r="I25" s="2" t="n">
        <v>1</v>
      </c>
      <c r="J25" s="2" t="inlineStr">
        <is>
          <t>✅ คำตอบที่ถูกต้อง: ข้อ ก. ดองดึง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ดองดึง 💡 คำอธิบายและเหตุผลทางเภสัชกรรม:
💡 คำอธิบายและเหตุผลทางเภสัชกรรม:
bpm RR 24/min T 36.40C ไม่สูบบุหรี่ ไม่แพ้ยา ทำงานโรงเลื่อย หมอให้ fenoterol/ipratopium 1 NB q 15 minx3
USP/NF, British Pharmacopoeia (BP) และ Remington: The Science and Practice of Pharmacy (หัวข้อ Herbal Extraction methods)
🔍 ข้ออื่นผิดเพราะอะไร:
• ข้อ ข. (แพงพวยฝรั่ง): แพงพวยฝรั่ง ไม่ตรงกับข้อบ่งใช้หรือกลไกการออกฤทธิ์ที่ถูกต้องตาม Thai Herbal Pharmacopoeia / WHO Monographs on Medicinal Plants
• ข้อ ค. (เสนียด): เสนียด ไม่ตรงกับข้อบ่งใช้หรือกลไกการออกฤทธิ์ที่ถูกต้องตาม Thai Herbal Pharmacopoeia / WHO Monographs on Medicinal Plants
• ข้อ ง. (ระย่อม): ระย่อม (Rauvolfia serpentina) มีสาร reserpine ที่ยับยั้งการเก็บ catecholamines ใน vesicle ลด BP แต่ทำให้ depression, sedation ไม่ใช้ในปัจจุบัน
• ข้อ จ. (ต้นสน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 เป็น non-selective beta-blocker ข้าม blood-brain barrier ได้ดี เหมาะสำหรับ performance anxiety, essential tremor, migraine prophylaxis และ thyroid storm แต่ contraindication ใน asthma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Herbal Extraction methods</t>
        </is>
      </c>
      <c r="M25" s="2" t="inlineStr">
        <is>
          <t>Product</t>
        </is>
      </c>
      <c r="N25" s="2" t="inlineStr">
        <is>
          <t>ข้อ 61 (PLE_CC1_2562_Key.md)</t>
        </is>
      </c>
      <c r="O25" s="2" t="n"/>
      <c r="P25" s="2" t="n"/>
    </row>
    <row r="26" ht="13.2" customHeight="1" s="49">
      <c r="A26" s="2" t="n">
        <v>24</v>
      </c>
      <c r="B26" s="2" t="inlineStr">
        <is>
          <t>สมุนไพรใดสามารถบรรเทาอาการปวดได</t>
        </is>
      </c>
      <c r="C26" s="2" t="n"/>
      <c r="D26" s="2" t="inlineStr">
        <is>
          <t>เหงาขิง</t>
        </is>
      </c>
      <c r="E26" s="2" t="inlineStr">
        <is>
          <t>ยาขิง</t>
        </is>
      </c>
      <c r="F26" s="2" t="inlineStr">
        <is>
          <t>พญาสัตบรรณ</t>
        </is>
      </c>
      <c r="G26" s="2" t="inlineStr">
        <is>
          <t>ประสะกระเพรา</t>
        </is>
      </c>
      <c r="H26" s="2" t="inlineStr">
        <is>
          <t>ยาผสมเถาวัลยTเปรียง</t>
        </is>
      </c>
      <c r="I26" s="2" t="n">
        <v>1</v>
      </c>
      <c r="J26"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(ยาขิง): ขิง (Zingiber officinale) มีฤทธิ์ antiemetic ผ่าน 6-gingerol (ยับยั้ง 5-HT3) ต้านการอักเสบ ต้องระวัง DDI กับ anticoagulants เพิ่ม bleeding risk
• ข้อ ค. (พญาสัตบรรณ): พญาสัตบรรณ ไม่ตรงกับข้อบ่งใช้หรือกลไกการออกฤทธิ์ที่ถูกต้องตาม Thai Herbal Pharmacopoeia / WHO Monographs on Medicinal Plants
• ข้อ ง. (ประสะกระเพรา): ประสะกระเพรา ไม่ตรงกับข้อบ่งใช้หรือกลไกการออกฤทธิ์ที่ถูกต้องตาม Thai Herbal Pharmacopoeia / WHO Monographs on Medicinal Plants
• ข้อ จ. (ยาผสมเถาวัลยTเปรียง): ยาผสมเถาวัลยTเปรียง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Herbal Extraction methods</t>
        </is>
      </c>
      <c r="M26" s="2" t="inlineStr">
        <is>
          <t>Product</t>
        </is>
      </c>
      <c r="N26" s="2" t="inlineStr">
        <is>
          <t>ข้อ 19 (PLE_CC1_2561_Key.md)</t>
        </is>
      </c>
      <c r="O26" s="2" t="n"/>
      <c r="P26" s="2" t="n"/>
    </row>
    <row r="27" ht="13.2" customHeight="1" s="49">
      <c r="A27" s="2" t="n">
        <v>25</v>
      </c>
      <c r="B27" s="2" t="inlineStr">
        <is>
          <t>ยาพัฒนาจากสมุนไพรใดที่ใชรักษาในการรักษาเริม</t>
        </is>
      </c>
      <c r="C27" s="2" t="n"/>
      <c r="D27" s="2" t="inlineStr">
        <is>
          <t>เหงาขิง</t>
        </is>
      </c>
      <c r="E27" s="2" t="inlineStr">
        <is>
          <t>ใบบัวบก</t>
        </is>
      </c>
      <c r="F27" s="2" t="inlineStr">
        <is>
          <t>ใบพลู</t>
        </is>
      </c>
      <c r="G27" s="2" t="inlineStr">
        <is>
          <t>ใบพญายอ</t>
        </is>
      </c>
      <c r="H27" s="2" t="inlineStr">
        <is>
          <t>ใบทองพันชั่ง</t>
        </is>
      </c>
      <c r="I27" s="2" t="n">
        <v>1</v>
      </c>
      <c r="J27"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(ใบบัวบก): บัวบก (Centella asiatica) มีสาร asiaticoside, madecassoside กระตุ้น collagen synthesis ฟื้นฟูแผล ต้องระวังในผู้ป่วย liver disease
• ข้อ ค. (ใบพลู): ใบพลู ไม่ตรงกับข้อบ่งใช้หรือกลไกการออกฤทธิ์ที่ถูกต้องตาม Thai Herbal Pharmacopoeia / WHO Monographs on Medicinal Plants
• ข้อ ง. (ใบพญายอ): ใบพญายอ ไม่ตรงกับข้อบ่งใช้หรือกลไกการออกฤทธิ์ที่ถูกต้องตาม Thai Herbal Pharmacopoeia / WHO Monographs on Medicinal Plants
• ข้อ จ. (ใบทองพันชั่ง): ใบทองพันชั่ง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Herbal Extraction methods</t>
        </is>
      </c>
      <c r="M27" s="2" t="inlineStr">
        <is>
          <t>Product</t>
        </is>
      </c>
      <c r="N27" s="2" t="inlineStr">
        <is>
          <t>ข้อ 26 (PLE_CC1_2561_Key.md)</t>
        </is>
      </c>
      <c r="O27" s="2" t="n"/>
      <c r="P27" s="2" t="n"/>
    </row>
    <row r="28" ht="13.2" customHeight="1" s="49">
      <c r="A28" s="2" t="n">
        <v>26</v>
      </c>
      <c r="B28" s="2" t="inlineStr">
        <is>
          <t>จากขอ 26 หากตองการตรวจสอบคุณภาพผงสมุนไพร ดวยวิธีการ ส!องกลองจุลทรรศนT ควรพบเนื้อเยื้อส!วนใดบาง</t>
        </is>
      </c>
      <c r="C28" s="2" t="n"/>
      <c r="D28" s="2" t="inlineStr">
        <is>
          <t>พบ cortex และ xylem</t>
        </is>
      </c>
      <c r="E28" s="2" t="inlineStr">
        <is>
          <t>พบ cork และ stomata</t>
        </is>
      </c>
      <c r="F28" s="2" t="inlineStr">
        <is>
          <t>พบ cortex และ cambium</t>
        </is>
      </c>
      <c r="G28" s="2" t="inlineStr">
        <is>
          <t>พบ scleried และ stomata</t>
        </is>
      </c>
      <c r="H28" s="2" t="inlineStr">
        <is>
          <t>พบ palisade และ stomata</t>
        </is>
      </c>
      <c r="I28" s="2" t="n">
        <v>1</v>
      </c>
      <c r="J28" s="2" t="inlineStr">
        <is>
          <t>✅ คำตอบที่ถูกต้อง: ข้อ ก. พบ cortex และ xylem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พบ cortex และ xylem 💡 คำอธิบายและเหตุผลทางเภสัชกรรม:
💡 คำอธิบายและเหตุผลทางเภสัชกรรม:
การเลือก พบ cortex และ xylem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(พบ cork และ stomata): พบ cork และ stomata ไม่ตรงกับข้อบ่งใช้หรือกลไกการออกฤทธิ์ที่ถูกต้องตาม Thai Herbal Pharmacopoeia / WHO Monographs on Medicinal Plants
• ข้อ ค. (พบ cortex และ cambium): พบ cortex และ cambium ไม่ตรงกับข้อบ่งใช้หรือกลไกการออกฤทธิ์ที่ถูกต้องตาม Thai Herbal Pharmacopoeia / WHO Monographs on Medicinal Plants
• ข้อ ง. (พบ scleried และ stomata): พบ scleried และ stomata ไม่ตรงกับข้อบ่งใช้หรือกลไกการออกฤทธิ์ที่ถูกต้องตาม Thai Herbal Pharmacopoeia / WHO Monographs on Medicinal Plants
• ข้อ จ. (พบ palisade และ stomata): พบ palisade และ stomata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Herbal Extraction methods</t>
        </is>
      </c>
      <c r="M28" s="2" t="inlineStr">
        <is>
          <t>Product</t>
        </is>
      </c>
      <c r="N28" s="2" t="inlineStr">
        <is>
          <t>ข้อ 27 (PLE_CC1_2561_Key.md)</t>
        </is>
      </c>
      <c r="O28" s="2" t="n"/>
      <c r="P28" s="2" t="n"/>
    </row>
    <row r="29" ht="13.2" customHeight="1" s="49">
      <c r="A29" s="2" t="n">
        <v>27</v>
      </c>
      <c r="B29" s="2" t="inlineStr">
        <is>
          <t>สมุนไพรใดไม!มีฤทธิ์แกไอ</t>
        </is>
      </c>
      <c r="C29" s="2" t="n"/>
      <c r="D29" s="2" t="inlineStr">
        <is>
          <t>ขิง</t>
        </is>
      </c>
      <c r="E29" s="2" t="inlineStr">
        <is>
          <t>มะแวง</t>
        </is>
      </c>
      <c r="F29" s="2" t="inlineStr">
        <is>
          <t>ชะอมเทศ</t>
        </is>
      </c>
      <c r="G29" s="2" t="inlineStr">
        <is>
          <t>มะขามปFอม</t>
        </is>
      </c>
      <c r="H29" s="2" t="inlineStr">
        <is>
          <t>ฟFาทลายโจร a cephang r ข y จ ค</t>
        </is>
      </c>
      <c r="I29" s="2" t="n">
        <v>1</v>
      </c>
      <c r="J29"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(มะแวง): มะแวง ไม่ตรงกับข้อบ่งใช้หรือกลไกการออกฤทธิ์ที่ถูกต้องตาม Thai Herbal Pharmacopoeia / WHO Monographs on Medicinal Plants
• ข้อ ค. (ชะอมเทศ): ชะอมเทศ ไม่ตรงกับข้อบ่งใช้หรือกลไกการออกฤทธิ์ที่ถูกต้องตาม Thai Herbal Pharmacopoeia / WHO Monographs on Medicinal Plants
• ข้อ ง. (มะขามปFอม): มะขามปFอม ไม่ตรงกับข้อบ่งใช้หรือกลไกการออกฤทธิ์ที่ถูกต้องตาม Thai Herbal Pharmacopoeia / WHO Monographs on Medicinal Plants
• ข้อ จ. (ฟFาทลายโจร a cephang r ข y จ ค): ฟFาทลายโจร a cephang r ข y จ ค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Herbal Extraction methods</t>
        </is>
      </c>
      <c r="M29" s="2" t="inlineStr">
        <is>
          <t>Product</t>
        </is>
      </c>
      <c r="N29" s="2" t="inlineStr">
        <is>
          <t>ข้อ 35 (PLE_CC1_2561_Key.md)</t>
        </is>
      </c>
      <c r="O29" s="2" t="n"/>
      <c r="P29" s="2" t="n"/>
    </row>
    <row r="30" ht="13.2" customHeight="1" s="49">
      <c r="A30" s="2" t="n">
        <v>28</v>
      </c>
      <c r="B30" s="2" t="inlineStr">
        <is>
          <t>ตามบัญชียาที่พัฒนามาจากสมุนไพร ยาใดที่สามารถรักษาอาการ โรคผิวหนังจากเชื้อราได(</t>
        </is>
      </c>
      <c r="C30" s="2" t="n"/>
      <c r="D30" s="2" t="inlineStr">
        <is>
          <t>ยาพญายอ</t>
        </is>
      </c>
      <c r="E30" s="2" t="inlineStr">
        <is>
          <t>ยาทิงเจอรพลู</t>
        </is>
      </c>
      <c r="F30" s="2" t="inlineStr">
        <is>
          <t>ยาเปลือกมังคุด</t>
        </is>
      </c>
      <c r="G30" s="2" t="inlineStr">
        <is>
          <t>ยาว.านหางจระเข(</t>
        </is>
      </c>
      <c r="H30" s="2" t="inlineStr">
        <is>
          <t>ยาทิงเจอร X</t>
        </is>
      </c>
      <c r="I30" s="2" t="n">
        <v>1</v>
      </c>
      <c r="J30" s="2" t="inlineStr">
        <is>
          <t>✅ คำตอบที่ถูกต้อง: ข้อ ก. ยาพญายอ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ยาพญายอ 💡 คำอธิบายและเหตุผลทางเภสัชกรรม:
💡 คำอธิบายและเหตุผลทางเภสัชกรรม:
การเลือก ยาพญายอ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(ยาทิงเจอรพลู): ยาทิงเจอรพลู ไม่ตรงกับข้อบ่งใช้หรือกลไกการออกฤทธิ์ที่ถูกต้องตาม Thai Herbal Pharmacopoeia / WHO Monographs on Medicinal Plants
• ข้อ ค. (ยาเปลือกมังคุด): ยาเปลือกมังคุด ไม่ตรงกับข้อบ่งใช้หรือกลไกการออกฤทธิ์ที่ถูกต้องตาม Thai Herbal Pharmacopoeia / WHO Monographs on Medicinal Plants
• ข้อ ง. (ยาว.านหางจระเข(): ยาว.านหางจระเข( ไม่ตรงกับข้อบ่งใช้หรือกลไกการออกฤทธิ์ที่ถูกต้องตาม Thai Herbal Pharmacopoeia / WHO Monographs on Medicinal Plants
• ข้อ จ. (ยาทิงเจอร X): ยาทิงเจอร X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Herbal Extraction methods</t>
        </is>
      </c>
      <c r="M30" s="2" t="inlineStr">
        <is>
          <t>Product</t>
        </is>
      </c>
      <c r="N30" s="2" t="inlineStr">
        <is>
          <t>ข้อ 40 (PLE_CC1_2561_Key.md)</t>
        </is>
      </c>
      <c r="O30" s="2" t="n"/>
      <c r="P30" s="2" t="n"/>
    </row>
    <row r="31" ht="13.2" customHeight="1" s="49">
      <c r="A31" s="2" t="n">
        <v>29</v>
      </c>
      <c r="B31" s="2" t="inlineStr">
        <is>
          <t>ยาสมุนไพรใดมีข้อบ.งใช(ในสูตินรีเวช สามารถใช(แก(อาการปวด ประจำเดือนในสตรีได(</t>
        </is>
      </c>
      <c r="C31" s="2" t="n"/>
      <c r="D31" s="2" t="inlineStr">
        <is>
          <t>ยาสหัสธารา</t>
        </is>
      </c>
      <c r="E31" s="2" t="inlineStr">
        <is>
          <t>ยาจันทนลีลา</t>
        </is>
      </c>
      <c r="F31" s="2" t="inlineStr">
        <is>
          <t>ยาไฟประลัยกัลป}</t>
        </is>
      </c>
      <c r="G31" s="2" t="inlineStr">
        <is>
          <t>ยาหอมอินทรจักร</t>
        </is>
      </c>
      <c r="H31" s="2" t="inlineStr">
        <is>
          <t>ยาประสะกระเพรา</t>
        </is>
      </c>
      <c r="I31" s="2" t="n">
        <v>1</v>
      </c>
      <c r="J31" s="2" t="inlineStr">
        <is>
          <t>✅ คำตอบที่ถูกต้อง: ข้อ ก. ยาสหัสธารา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ยาสหัสธารา 💡 คำอธิบายและเหตุผลทางเภสัชกรรม:
💡 คำอธิบายและเหตุผลทางเภสัชกรรม:
การเลือก ยาสหัสธารา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ยาจันทนลีลา ไม่ตรงกับข้อบ่งใช้หรือกลไกการออกฤทธิ์ที่ถูกต้องตาม Thai Herbal Pharmacopoeia / WHO Monographs on Medicinal Plants
• ข้อ ค. (ยาไฟประลัยกัลป}): ยาไฟประลัยกัลป} ไม่ตรงกับข้อบ่งใช้หรือกลไกการออกฤทธิ์ที่ถูกต้องตาม Thai Herbal Pharmacopoeia / WHO Monographs on Medicinal Plants
• ข้อ ง. (ยาหอมอินทรจักร): ยาหอมอินทรจักร ไม่ตรงกับข้อบ่งใช้หรือกลไกการออกฤทธิ์ที่ถูกต้องตาม Thai Herbal Pharmacopoeia / WHO Monographs on Medicinal Plants
• ข้อ จ. (ยาประสะกระเพรา): ยาประสะกระเพรา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Herbal Extraction methods</t>
        </is>
      </c>
      <c r="M31" s="2" t="inlineStr">
        <is>
          <t>Product</t>
        </is>
      </c>
      <c r="N31" s="2" t="inlineStr">
        <is>
          <t>ข้อ 58 (PLE_CC1_2561_Key.md)</t>
        </is>
      </c>
      <c r="O31" s="2" t="n"/>
      <c r="P31" s="2" t="n"/>
    </row>
    <row r="32" ht="13.2" customHeight="1" s="49">
      <c r="A32" s="2" t="n">
        <v>30</v>
      </c>
      <c r="B32" s="2" t="inlineStr">
        <is>
          <t>สมุนไพรในสาธารณสุขมูลฐานใดที่มีฤทธิ์ขับพยาธิ</t>
        </is>
      </c>
      <c r="C32" s="2" t="n"/>
      <c r="D32" s="2" t="inlineStr">
        <is>
          <t>ใบตำลึง</t>
        </is>
      </c>
      <c r="E32" s="2" t="inlineStr">
        <is>
          <t>เปลือกมังคุด</t>
        </is>
      </c>
      <c r="F32" s="2" t="inlineStr">
        <is>
          <t>เมล็ดฟVกทอง</t>
        </is>
      </c>
      <c r="G32" s="2" t="inlineStr">
        <is>
          <t>ผลแก.แมงลัก</t>
        </is>
      </c>
      <c r="H32" s="2" t="inlineStr">
        <is>
          <t>น้ำมันมะพร(าว</t>
        </is>
      </c>
      <c r="I32" s="2" t="n">
        <v>1</v>
      </c>
      <c r="J32" s="2" t="inlineStr">
        <is>
          <t>✅ คำตอบที่ถูกต้อง: ข้อ ก. ใบตำลึง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ใบตำลึง 💡 คำอธิบายและเหตุผลทางเภสัชกรรม:
💡 คำอธิบายและเหตุผลทางเภสัชกรรม:
การเลือก ใบตำลึง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(เปลือกมังคุด): เปลือกมังคุด ไม่ตรงกับข้อบ่งใช้หรือกลไกการออกฤทธิ์ที่ถูกต้องตาม Thai Herbal Pharmacopoeia / WHO Monographs on Medicinal Plants
• ข้อ ค. (เมล็ดฟVกทอง): เมล็ดฟVกทอง ไม่ตรงกับข้อบ่งใช้หรือกลไกการออกฤทธิ์ที่ถูกต้องตาม Thai Herbal Pharmacopoeia / WHO Monographs on Medicinal Plants
• ข้อ ง. (ผลแก.แมงลัก): ผลแก.แมงลัก ไม่ตรงกับข้อบ่งใช้หรือกลไกการออกฤทธิ์ที่ถูกต้องตาม Thai Herbal Pharmacopoeia / WHO Monographs on Medicinal Plants
• ข้อ จ. (น้ำมันมะพร(าว): น้ำมันมะพร(าว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Herbal Extraction methods</t>
        </is>
      </c>
      <c r="M32" s="2" t="inlineStr">
        <is>
          <t>Product</t>
        </is>
      </c>
      <c r="N32" s="2" t="inlineStr">
        <is>
          <t>ข้อ 65 (PLE_CC1_2561_Key.md)</t>
        </is>
      </c>
      <c r="O32" s="2" t="n"/>
      <c r="P32" s="2" t="n"/>
    </row>
    <row r="33" ht="13.2" customHeight="1" s="49">
      <c r="A33" s="2" t="n">
        <v>31</v>
      </c>
      <c r="B33" s="2" t="inlineStr">
        <is>
          <t>สมุนไพรในบัญชียาหลักหรือสาธารณสุขมูลธารตัวใดมีฤทธิ์แก(ขัด เบา</t>
        </is>
      </c>
      <c r="C33" s="2" t="n"/>
      <c r="D33" s="2" t="inlineStr">
        <is>
          <t>ช(าพลู</t>
        </is>
      </c>
      <c r="E33" s="2" t="inlineStr">
        <is>
          <t>รางจืด</t>
        </is>
      </c>
      <c r="F33" s="2" t="inlineStr">
        <is>
          <t>หญ(าปVกกิ่ง</t>
        </is>
      </c>
      <c r="G33" s="2" t="inlineStr">
        <is>
          <t>ฟqาทะลายโจร</t>
        </is>
      </c>
      <c r="H33" s="2" t="inlineStr">
        <is>
          <t>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t>
        </is>
      </c>
      <c r="I33" s="2" t="n">
        <v>1</v>
      </c>
      <c r="J33" s="2" t="inlineStr">
        <is>
          <t>✅ คำตอบที่ถูกต้อง: ข้อ ก. ช(าพลู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ช(าพลู 💡 คำอธิบายและเหตุผลทางเภสัชกรรม:
💡 คำอธิบายและเหตุผลทางเภสัชกรรม:
การเลือก ช(าพลู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(หญ(าปVกกิ่ง): หญ(าปVกกิ่ง ไม่ตรงกับข้อบ่งใช้หรือกลไกการออกฤทธิ์ที่ถูกต้องตาม Thai Herbal Pharmacopoeia / WHO Monographs on Medicinal Plants
• ข้อ ง. (ฟqาทะลายโจร): ฟqาทะลายโจร ไม่ตรงกับข้อบ่งใช้หรือกลไกการออกฤทธิ์ที่ถูกต้องตาม Thai Herbal Pharmacopoeia / WHO Monographs on Medicinal Plants
• ข้อ จ.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Herbal Extraction methods</t>
        </is>
      </c>
      <c r="M33" s="2" t="inlineStr">
        <is>
          <t>Product</t>
        </is>
      </c>
      <c r="N33" s="2" t="inlineStr">
        <is>
          <t>ข้อ 75 (PLE_CC1_2561_Key.md)</t>
        </is>
      </c>
      <c r="O33" s="2" t="n"/>
      <c r="P33" s="2" t="n"/>
    </row>
    <row r="34" ht="13.2" customHeight="1" s="49">
      <c r="A34" s="2" t="n">
        <v>32</v>
      </c>
      <c r="B34" s="2" t="inlineStr">
        <is>
          <t>ต.อมาผู(ปcวยตั้งครรภ (หลังจากหยุดยาสิวไปแล(ว 1 ปá) แล(วมีอาการ คลื่นไส(อาเจียน ท.านจะใช(สมุนไพร ตัวใดการรักษาอาการ F</t>
        </is>
      </c>
      <c r="C34" s="2" t="n"/>
      <c r="D34" s="2" t="inlineStr">
        <is>
          <t>ขิง</t>
        </is>
      </c>
      <c r="E34" s="2" t="inlineStr">
        <is>
          <t>รางจืด</t>
        </is>
      </c>
      <c r="F34" s="2" t="inlineStr">
        <is>
          <t>ขมิ้นชัน</t>
        </is>
      </c>
      <c r="G34" s="2" t="inlineStr">
        <is>
          <t>เถาวัลยเปรียง</t>
        </is>
      </c>
      <c r="H34" s="2" t="inlineStr">
        <is>
          <t>ฟqาทะลายโจร</t>
        </is>
      </c>
      <c r="I34" s="2" t="n">
        <v>1</v>
      </c>
      <c r="J34"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(ขมิ้นชัน): ขมิ้นชัน (Curcuma longa) มีสาร curcumin ต้านการอักเสบผ่าน NF-κB, COX inhibition ดูดซึม bioavailability ต่ำ เพิ่มด้วย piperine
• ข้อ ง. (เถาวัลยเปรียง): เถาวัลยเปรียง ไม่ตรงกับข้อบ่งใช้หรือกลไกการออกฤทธิ์ที่ถูกต้องตาม Thai Herbal Pharmacopoeia / WHO Monographs on Medicinal Plants
• ข้อ จ. (ฟqาทะลายโจร): ฟqาทะลายโจร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Herbal Extraction methods</t>
        </is>
      </c>
      <c r="M34" s="2" t="inlineStr">
        <is>
          <t>Product</t>
        </is>
      </c>
      <c r="N34" s="2" t="inlineStr">
        <is>
          <t>ข้อ 82 (PLE_CC1_2561_Key.md)</t>
        </is>
      </c>
      <c r="O34" s="2" t="n"/>
      <c r="P34" s="2" t="n"/>
    </row>
    <row r="35" ht="13.2" customHeight="1" s="49">
      <c r="A35" s="2" t="n">
        <v>33</v>
      </c>
      <c r="B35" s="2" t="inlineStr">
        <is>
          <t>ยาสมุนไพรใดแก(พิษแมลงสัตวกัดต.อย</t>
        </is>
      </c>
      <c r="C35" s="2" t="n"/>
      <c r="D35" s="2" t="inlineStr">
        <is>
          <t>พญายอ</t>
        </is>
      </c>
      <c r="E35" s="2" t="inlineStr">
        <is>
          <t>ขมิ้นชัน</t>
        </is>
      </c>
      <c r="F35" s="2" t="inlineStr">
        <is>
          <t>เหง(าไพร</t>
        </is>
      </c>
      <c r="G35" s="2" t="inlineStr">
        <is>
          <t>เปลือกมังคุด</t>
        </is>
      </c>
      <c r="H35" s="2" t="inlineStr">
        <is>
          <t>ว.านหางจระเข( e e</t>
        </is>
      </c>
      <c r="I35" s="2" t="n">
        <v>1</v>
      </c>
      <c r="J35" s="2" t="inlineStr">
        <is>
          <t>✅ คำตอบที่ถูกต้อง: ข้อ ก. 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 คำอธิบายและเหตุผลทางเภสัชกรรม:
💡 คำอธิบายและเหตุผลทางเภสัชกรรม:
การเลือก 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(เหง(าไพร): เหง(าไพร ไม่ตรงกับข้อบ่งใช้หรือกลไกการออกฤทธิ์ที่ถูกต้องตาม Thai Herbal Pharmacopoeia / WHO Monographs on Medicinal Plants
• ข้อ ง. (เปลือกมังคุด): เปลือกมังคุด ไม่ตรงกับข้อบ่งใช้หรือกลไกการออกฤทธิ์ที่ถูกต้องตาม Thai Herbal Pharmacopoeia / WHO Monographs on Medicinal Plants
• ข้อ จ. (ว.านหางจระเข( e e): ว.านหางจระเข( e 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Herbal Extraction methods</t>
        </is>
      </c>
      <c r="M35" s="2" t="inlineStr">
        <is>
          <t>Product</t>
        </is>
      </c>
      <c r="N35" s="2" t="inlineStr">
        <is>
          <t>ข้อ 122 (PLE_CC1_2561_Key.md)</t>
        </is>
      </c>
      <c r="O35" s="2" t="n"/>
      <c r="P35" s="2" t="n"/>
    </row>
    <row r="36" ht="13.2" customHeight="1" s="49">
      <c r="A36" s="2" t="n">
        <v>34</v>
      </c>
      <c r="B36" s="2" t="inlineStr">
        <is>
          <t>สมุนไพรใดบรรเทาอาการคลื่นไส้ อาเจียนได้</t>
        </is>
      </c>
      <c r="C36" s="2" t="n"/>
      <c r="D36" s="2" t="inlineStr">
        <is>
          <t>ขิง</t>
        </is>
      </c>
      <c r="E36" s="2" t="inlineStr">
        <is>
          <t>ไพล</t>
        </is>
      </c>
      <c r="F36" s="2" t="inlineStr">
        <is>
          <t>ดีปลี</t>
        </is>
      </c>
      <c r="G36" s="2" t="inlineStr">
        <is>
          <t>...</t>
        </is>
      </c>
      <c r="H36" s="2" t="inlineStr">
        <is>
          <t>Supercritical Fluid Extraction (SFE-CO2)</t>
        </is>
      </c>
      <c r="I36" s="2" t="n">
        <v>1</v>
      </c>
      <c r="J3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ไพล ไม่ตรงกับข้อบ่งใช้หรือกลไกการออกฤทธิ์ที่ถูกต้องตาม Thai Herbal Pharmacopoeia / WHO Monographs on Medicinal Plants
• ข้อ ค. (ดีปลี): ดีปลี ไม่ตรงกับข้อบ่งใช้หรือกลไกการออกฤทธิ์ที่ถูกต้องตาม Thai Herbal Pharmacopoeia / WHO Monographs on Medicinal Plants
• ข้อ ง. (...): ...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Herbal Extraction methods</t>
        </is>
      </c>
      <c r="M36" s="2" t="inlineStr">
        <is>
          <t>Product</t>
        </is>
      </c>
      <c r="N36" s="2" t="inlineStr">
        <is>
          <t>ข้อ 4 (PLE_CC1_2560 22 April Set 1.md)</t>
        </is>
      </c>
      <c r="O36" s="2" t="n"/>
      <c r="P36" s="2" t="n"/>
    </row>
    <row r="37" ht="13.2" customHeight="1" s="49">
      <c r="A37" s="2" t="n">
        <v>35</v>
      </c>
      <c r="B37" s="2" t="inlineStr">
        <is>
          <t>สมุนไพรใดที่ห้ามใช้ในผู้ป่วยไต และความดัน</t>
        </is>
      </c>
      <c r="C37" s="2" t="n"/>
      <c r="D37" s="2" t="inlineStr">
        <is>
          <t>ขิง</t>
        </is>
      </c>
      <c r="E37" s="2" t="inlineStr">
        <is>
          <t>กระชาย</t>
        </is>
      </c>
      <c r="F37" s="2" t="inlineStr">
        <is>
          <t>หญ้าหนวดแมว</t>
        </is>
      </c>
      <c r="G37" s="2" t="inlineStr">
        <is>
          <t>ข่า</t>
        </is>
      </c>
      <c r="H37" s="2" t="inlineStr">
        <is>
          <t>ทองพันชั่ง ห้ามนำไปทำซ้ำทุกกรณี เว้นแต่จะได้รับอนุญาต</t>
        </is>
      </c>
      <c r="I37" s="2" t="n">
        <v>1</v>
      </c>
      <c r="J37"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หลังจากนั น 3 ปีพบว่าผู้ป่วยได้รับการวินิจฉัยว่าเป็น atrial fibrillation และได้รับยา warfarin 3 mg 1 tab hs.
USP/NF, British Pharmacopoeia (BP) และ Remington: The Science and Practice of Pharmacy (หัวข้อ Herbal Extraction methods)
🔍 ข้ออื่นผิดเพราะอะไร:
• ข้อ ข. (กระชาย): กระชาย (Kaempferia parviflora) มีสาร polymethoxyflavone มีฤทธิ์ PDE5 inhibitor อ่อน ต้านการอักเสบ ต้องระวังในผู้ที่ใช้ nitrates
• ข้อ ค. (หญ้าหนวดแมว): หญ้าหนวดแมว ไม่ตรงกับข้อบ่งใช้หรือกลไกการออกฤทธิ์ที่ถูกต้องตาม Thai Herbal Pharmacopoeia / WHO Monographs on Medicinal Plants
• ข้อ ง. (ข่า): ข่า ไม่ตรงกับข้อบ่งใช้หรือกลไกการออกฤทธิ์ที่ถูกต้องตาม Thai Herbal Pharmacopoeia / WHO Monographs on Medicinal Plants
• ข้อ จ. (ทองพันชั่ง ห้ามนำไปทำซ้ำทุกกรณี เว้นแต่จะได้รับอนุญาต): ทองพันชั่ง ห้ามนำไปทำซ้ำทุกกรณี เว้นแต่จะได้รับอนุญาต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Herbal Extraction methods</t>
        </is>
      </c>
      <c r="M37" s="2" t="inlineStr">
        <is>
          <t>Product</t>
        </is>
      </c>
      <c r="N37" s="2" t="inlineStr">
        <is>
          <t>ข้อ 5 (PLE_CC1_2559.md)</t>
        </is>
      </c>
      <c r="O37" s="2" t="n"/>
      <c r="P37" s="2" t="n"/>
    </row>
    <row r="38" ht="13.2" customHeight="1" s="49">
      <c r="A38" s="2" t="n">
        <v>36</v>
      </c>
      <c r="B38" s="2" t="inlineStr">
        <is>
          <t>สมุนไพรใดที่ใช้ในการเลิกบุหรี่</t>
        </is>
      </c>
      <c r="C38" s="2" t="n"/>
      <c r="D38" s="2" t="inlineStr">
        <is>
          <t>เพชรสังฆาต</t>
        </is>
      </c>
      <c r="E38" s="2" t="inlineStr">
        <is>
          <t>พริก</t>
        </is>
      </c>
      <c r="F38" s="2" t="inlineStr">
        <is>
          <t>หญ้าดอกขาว</t>
        </is>
      </c>
      <c r="G38" s="2" t="inlineStr">
        <is>
          <t>ขลู่</t>
        </is>
      </c>
      <c r="H38" s="2" t="inlineStr">
        <is>
          <t>มะระขี นก</t>
        </is>
      </c>
      <c r="I38" s="2" t="n">
        <v>1</v>
      </c>
      <c r="J38" s="2" t="inlineStr">
        <is>
          <t>✅ คำตอบที่ถูกต้อง: ข้อ ก. เพชรสังฆาต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เพชรสังฆาต 💡 คำอธิบายและเหตุผลทางเภสัชกรรม:
💡 คำอธิบายและเหตุผลทางเภสัชกรรม:
การเลือก เพชรสังฆาต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พริก ไม่ตรงกับข้อบ่งใช้หรือกลไกการออกฤทธิ์ที่ถูกต้องตาม Thai Herbal Pharmacopoeia / WHO Monographs on Medicinal Plants
• ข้อ ค. (หญ้าดอกขาว): หญ้าดอกขาว ไม่ตรงกับข้อบ่งใช้หรือกลไกการออกฤทธิ์ที่ถูกต้องตาม Thai Herbal Pharmacopoeia / WHO Monographs on Medicinal Plants
• ข้อ ง. (ขลู่): ขลู่ ไม่ตรงกับข้อบ่งใช้หรือกลไกการออกฤทธิ์ที่ถูกต้องตาม Thai Herbal Pharmacopoeia / WHO Monographs on Medicinal Plants
• ข้อ จ. (มะระขี นก): มะระขี นก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Herbal Extraction methods</t>
        </is>
      </c>
      <c r="M38" s="2" t="inlineStr">
        <is>
          <t>Product</t>
        </is>
      </c>
      <c r="N38" s="2" t="inlineStr">
        <is>
          <t>ข้อ 14 (PLE_CC1_2559.md)</t>
        </is>
      </c>
      <c r="O38" s="2" t="n"/>
      <c r="P38" s="2" t="n"/>
    </row>
    <row r="39" ht="13.2" customHeight="1" s="49">
      <c r="A39" s="2" t="n">
        <v>37</v>
      </c>
      <c r="B39" s="2" t="inlineStr">
        <is>
          <t>ยาสมุนไพรหรือยาแผนโบราณใดที่ใช้ในการรักษาอีสุกอีใส</t>
        </is>
      </c>
      <c r="C39" s="2" t="n"/>
      <c r="D39" s="2" t="inlineStr">
        <is>
          <t>ยามหานิลแท่งทอง</t>
        </is>
      </c>
      <c r="E39" s="2" t="inlineStr">
        <is>
          <t>ยาจันทน์ลีลา</t>
        </is>
      </c>
      <c r="F39" s="2" t="inlineStr">
        <is>
          <t>ยาเบญจกูล</t>
        </is>
      </c>
      <c r="G39" s="2" t="inlineStr">
        <is>
          <t>ยาเบญจโลกวิเชียร</t>
        </is>
      </c>
      <c r="H39" s="2" t="inlineStr">
        <is>
          <t>ยาหอมอินทรจักร ห้ามนำไปทำซ้ำทุกกรณี เว้นแต่จะได้รับอนุญาต</t>
        </is>
      </c>
      <c r="I39" s="2" t="n">
        <v>1</v>
      </c>
      <c r="J39" s="2" t="inlineStr">
        <is>
          <t>✅ คำตอบที่ถูกต้อง: ข้อ ก. ยามหานิลแท่งทอง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ยามหานิลแท่งทอง 💡 คำอธิบายและเหตุผลทางเภสัชกรรม:
💡 คำอธิบายและเหตุผลทางเภสัชกรรม:
การเลือก ยามหานิลแท่งทอง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ยาจันทน์ลีลา ไม่ตรงกับข้อบ่งใช้หรือกลไกการออกฤทธิ์ที่ถูกต้องตาม Thai Herbal Pharmacopoeia / WHO Monographs on Medicinal Plants
• ข้อ ค. (ยาเบญจกูล): ยาเบญจกูล ไม่ตรงกับข้อบ่งใช้หรือกลไกการออกฤทธิ์ที่ถูกต้องตาม Thai Herbal Pharmacopoeia / WHO Monographs on Medicinal Plants
• ข้อ ง. (ยาเบญจโลกวิเชียร): ยาเบญจโลกวิเชียร ไม่ตรงกับข้อบ่งใช้หรือกลไกการออกฤทธิ์ที่ถูกต้องตาม Thai Herbal Pharmacopoeia / WHO Monographs on Medicinal Plants
• ข้อ จ. (ยาหอมอินทรจักร ห้ามนำไปทำซ้ำทุกกรณี เว้นแต่จะได้รับอนุญาต): ยาหอมอินทรจักร ห้ามนำไปทำซ้ำทุกกรณี เว้นแต่จะได้รับอนุญาต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Herbal Extraction methods</t>
        </is>
      </c>
      <c r="M39" s="2" t="inlineStr">
        <is>
          <t>Product</t>
        </is>
      </c>
      <c r="N39" s="2" t="inlineStr">
        <is>
          <t>ข้อ 38 (PLE_CC1_2559.md)</t>
        </is>
      </c>
      <c r="O39" s="2" t="n"/>
      <c r="P39" s="2" t="n"/>
    </row>
    <row r="40" ht="13.2" customHeight="1" s="49">
      <c r="A40" s="2" t="n">
        <v>38</v>
      </c>
      <c r="B40" s="2" t="inlineStr">
        <is>
          <t>ยาสมุนไพรใดให้ผลการรักษาเทียบเท่ากับ NSAID</t>
        </is>
      </c>
      <c r="C40" s="2" t="n"/>
      <c r="D40" s="2" t="inlineStr">
        <is>
          <t>ขมิ้นชัน</t>
        </is>
      </c>
      <c r="E40" s="2" t="inlineStr">
        <is>
          <t>ใบฝรั่ง</t>
        </is>
      </c>
      <c r="F40" s="2" t="inlineStr">
        <is>
          <t>เมล็ดน้อยหน่า</t>
        </is>
      </c>
      <c r="G40" s="2" t="inlineStr">
        <is>
          <t>เถาวัลย์เปรียง</t>
        </is>
      </c>
      <c r="H40" s="2" t="inlineStr">
        <is>
          <t>เจลพริก</t>
        </is>
      </c>
      <c r="I40" s="2" t="n">
        <v>1</v>
      </c>
      <c r="J40"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(ใบฝรั่ง): ใบฝรั่ง ไม่ตรงกับข้อบ่งใช้หรือกลไกการออกฤทธิ์ที่ถูกต้องตาม Thai Herbal Pharmacopoeia / WHO Monographs on Medicinal Plants
• ข้อ ค. (เมล็ดน้อยหน่า): เมล็ดน้อยหน่า ไม่ตรงกับข้อบ่งใช้หรือกลไกการออกฤทธิ์ที่ถูกต้องตาม Thai Herbal Pharmacopoeia / WHO Monographs on Medicinal Plants
• ข้อ ง. (เถาวัลย์เปรียง): เถาวัลย์เปรียง ไม่ตรงกับข้อบ่งใช้หรือกลไกการออกฤทธิ์ที่ถูกต้องตาม Thai Herbal Pharmacopoeia / WHO Monographs on Medicinal Plants
• ข้อ จ. (เจลพริก): เจลพริก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Herbal Extraction methods</t>
        </is>
      </c>
      <c r="M40" s="2" t="inlineStr">
        <is>
          <t>Product</t>
        </is>
      </c>
      <c r="N40" s="2" t="inlineStr">
        <is>
          <t>ข้อ 64 (PLE_CC1_2558_Key.md)</t>
        </is>
      </c>
      <c r="O40" s="2" t="n"/>
      <c r="P40" s="2" t="n"/>
    </row>
    <row r="41" ht="13.2" customHeight="1" s="49">
      <c r="A41" s="2" t="n">
        <v>39</v>
      </c>
      <c r="B41" s="2" t="inlineStr">
        <is>
          <t>สมุนไพรข้อใดที่ใช้ในการรักษากลาก เกลื้อน ฮ่องกงฟุต</t>
        </is>
      </c>
      <c r="C41" s="2" t="n"/>
      <c r="D41" s="2" t="inlineStr">
        <is>
          <t>ยาทาขลู่</t>
        </is>
      </c>
      <c r="E41" s="2" t="inlineStr">
        <is>
          <t>ยาทาทองพันชั่ง</t>
        </is>
      </c>
      <c r="F41" s="2" t="inlineStr">
        <is>
          <t>ครีมพญายอ</t>
        </is>
      </c>
      <c r="G41" s="2" t="inlineStr">
        <is>
          <t>ครีมบัวบก</t>
        </is>
      </c>
      <c r="H41" s="2" t="inlineStr">
        <is>
          <t>เจลว่านหางจระเข้</t>
        </is>
      </c>
      <c r="I41" s="2" t="n">
        <v>1</v>
      </c>
      <c r="J41" s="2" t="inlineStr">
        <is>
          <t>✅ คำตอบที่ถูกต้อง: ข้อ ก. ยาทาขลู่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ยาทาขลู่ 💡 คำอธิบายและเหตุผลทางเภสัชกรรม:
💡 คำอธิบายและเหตุผลทางเภสัชกรรม:
การเลือก ยาทาขลู่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(ยาทาทองพันชั่ง): ยาทาทองพันชั่ง ไม่ตรงกับข้อบ่งใช้หรือกลไกการออกฤทธิ์ที่ถูกต้องตาม Thai Herbal Pharmacopoeia / WHO Monographs on Medicinal Plants
• ข้อ ค. (ครีมพญายอ): ครีมพญายอ ไม่ตรงกับข้อบ่งใช้หรือกลไกการออกฤทธิ์ที่ถูกต้องตาม Thai Herbal Pharmacopoeia / WHO Monographs on Medicinal Plants
• ข้อ ง. (ครีมบัวบก): บัวบก (Centella asiatica) มีสาร asiaticoside, madecassoside กระตุ้น collagen synthesis ฟื้นฟูแผล ต้องระวังในผู้ป่วย liver disease
• ข้อ จ. (เจลว่านหางจระเข้): เจลว่านหางจระเข้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Herbal Extraction methods</t>
        </is>
      </c>
      <c r="M41" s="2" t="inlineStr">
        <is>
          <t>Product</t>
        </is>
      </c>
      <c r="N41" s="2" t="inlineStr">
        <is>
          <t>ข้อ 98 (PLE_CC1_2558_Key.md)</t>
        </is>
      </c>
      <c r="O41" s="2" t="n"/>
      <c r="P41" s="2" t="n"/>
    </row>
    <row r="42" ht="13.2" customHeight="1" s="49">
      <c r="A42" s="2" t="n">
        <v>40</v>
      </c>
      <c r="B42" s="2" t="inlineStr">
        <is>
          <t>สมุนไพรในข้อใดช่วยรักษาอาการงูสวัด</t>
        </is>
      </c>
      <c r="C42" s="2" t="n"/>
      <c r="D42" s="2" t="inlineStr">
        <is>
          <t>เจลว่านหางจระเข้</t>
        </is>
      </c>
      <c r="E42" s="2" t="inlineStr">
        <is>
          <t>ยาเปลือกมังคุด</t>
        </is>
      </c>
      <c r="F42" s="2" t="inlineStr">
        <is>
          <t>ครีมพญายอ</t>
        </is>
      </c>
      <c r="G42" s="2" t="inlineStr">
        <is>
          <t>ทิงเจอร์พลู</t>
        </is>
      </c>
      <c r="H42" s="2" t="inlineStr">
        <is>
          <t>ยาบัวบก</t>
        </is>
      </c>
      <c r="I42" s="2" t="n">
        <v>1</v>
      </c>
      <c r="J4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(ยาเปลือกมังคุด): ยาเปลือกมังคุด ไม่ตรงกับข้อบ่งใช้หรือกลไกการออกฤทธิ์ที่ถูกต้องตาม Thai Herbal Pharmacopoeia / WHO Monographs on Medicinal Plants
• ข้อ ค. (ครีมพญายอ): ครีมพญายอ ไม่ตรงกับข้อบ่งใช้หรือกลไกการออกฤทธิ์ที่ถูกต้องตาม Thai Herbal Pharmacopoeia / WHO Monographs on Medicinal Plants
• ข้อ ง. (ทิงเจอร์พลู): ทิงเจอร์พลู ไม่ตรงกับข้อบ่งใช้หรือกลไกการออกฤทธิ์ที่ถูกต้องตาม Thai Herbal Pharmacopoeia / WHO Monographs on Medicinal Plants
• ข้อ จ. (ยาบัวบก): บัวบก (Centella asiatica) มีสาร asiaticoside, madecassoside กระตุ้น collagen synthesis ฟื้นฟูแผล ต้องระวังในผู้ป่วย liver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Herbal Extraction methods</t>
        </is>
      </c>
      <c r="M42" s="2" t="inlineStr">
        <is>
          <t>Product</t>
        </is>
      </c>
      <c r="N42" s="2" t="inlineStr">
        <is>
          <t>ข้อ 15 (Pharmtutor_2024_Set1.md)</t>
        </is>
      </c>
      <c r="O42" s="2" t="n"/>
      <c r="P42" s="2" t="n"/>
    </row>
    <row r="43" ht="13.2" customHeight="1" s="49">
      <c r="A43" s="2" t="n">
        <v>41</v>
      </c>
      <c r="B43" s="2" t="inlineStr">
        <is>
          <t>สมุนไพรในข้อใดช่วยบรรเทาอาการคลื่นไส้อาเจียน</t>
        </is>
      </c>
      <c r="C43" s="2" t="n"/>
      <c r="D43" s="2" t="inlineStr">
        <is>
          <t>เหง้าขิง</t>
        </is>
      </c>
      <c r="E43" s="2" t="inlineStr">
        <is>
          <t>ข่า</t>
        </is>
      </c>
      <c r="F43" s="2" t="inlineStr">
        <is>
          <t>ตะไคร้</t>
        </is>
      </c>
      <c r="G43" s="2" t="inlineStr">
        <is>
          <t>ขมิ้นชัน</t>
        </is>
      </c>
      <c r="H43" s="2" t="inlineStr">
        <is>
          <t>ใบมะกรูด</t>
        </is>
      </c>
      <c r="I43" s="2" t="n">
        <v>1</v>
      </c>
      <c r="J43"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(ข่า): ข่า ไม่ตรงกับข้อบ่งใช้หรือกลไกการออกฤทธิ์ที่ถูกต้องตาม Thai Herbal Pharmacopoeia / WHO Monographs on Medicinal Plants
• ข้อ ค. (ตะไคร้): ตะไคร้ ไม่ตรงกับข้อบ่งใช้หรือกลไกการออกฤทธิ์ที่ถูกต้องตาม Thai Herbal Pharmacopoeia / WHO Monographs on Medicinal Plants
• ข้อ ง. (ขมิ้นชัน): ขมิ้นชัน (Curcuma longa) มีสาร curcumin ต้านการอักเสบผ่าน NF-κB, COX inhibition ดูดซึม bioavailability ต่ำ เพิ่มด้วย piperine
• ข้อ จ. (ใบมะกรูด): ใบมะกรูด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Herbal Extraction methods</t>
        </is>
      </c>
      <c r="M43" s="2" t="inlineStr">
        <is>
          <t>Product</t>
        </is>
      </c>
      <c r="N43" s="2" t="inlineStr">
        <is>
          <t>ข้อ 22 (Pharmtutor_2024_Set1.md)</t>
        </is>
      </c>
      <c r="O43" s="2" t="n"/>
      <c r="P43" s="2" t="n"/>
    </row>
    <row r="44" ht="13.2" customHeight="1" s="49">
      <c r="A44" s="2" t="n">
        <v>42</v>
      </c>
      <c r="B44" s="2" t="inlineStr">
        <is>
          <t>สมุนไพรในข้อใดบรรเทาอาการต่างจากข้ออื่น</t>
        </is>
      </c>
      <c r="C44" s="2" t="n"/>
      <c r="D44" s="2" t="inlineStr">
        <is>
          <t>เปลือกทับทิม</t>
        </is>
      </c>
      <c r="E44" s="2" t="inlineStr">
        <is>
          <t>กล้วยน้ำหว้าดิบ</t>
        </is>
      </c>
      <c r="F44" s="2" t="inlineStr">
        <is>
          <t>ใบสีเสียด</t>
        </is>
      </c>
      <c r="G44" s="2" t="inlineStr">
        <is>
          <t>มะขามแขก</t>
        </is>
      </c>
      <c r="H44" s="2" t="inlineStr">
        <is>
          <t>ฟ้าทะลายโจร</t>
        </is>
      </c>
      <c r="I44" s="2" t="n">
        <v>1</v>
      </c>
      <c r="J44" s="2" t="inlineStr">
        <is>
          <t>✅ คำตอบที่ถูกต้อง: ข้อ ก. เปลือกทับทิม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เปลือกทับทิม 💡 คำอธิบายและเหตุผลทางเภสัชกรรม:
💡 คำอธิบายและเหตุผลทางเภสัชกรรม:
การเลือก เปลือกทับทิม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(กล้วยน้ำหว้าดิบ): กล้วยน้ำหว้าดิบ ไม่ตรงกับข้อบ่งใช้หรือกลไกการออกฤทธิ์ที่ถูกต้องตาม Thai Herbal Pharmacopoeia / WHO Monographs on Medicinal Plants
• ข้อ ค. (ใบสีเสียด): ใบสีเสียด ไม่ตรงกับข้อบ่งใช้หรือกลไกการออกฤทธิ์ที่ถูกต้องตาม Thai Herbal Pharmacopoeia / WHO Monographs on Medicinal Plants
• ข้อ ง. (มะขามแขก): มะขามแขก ไม่ตรงกับข้อบ่งใช้หรือกลไกการออกฤทธิ์ที่ถูกต้องตาม Thai Herbal Pharmacopoeia / WHO Monographs on Medicinal Plants
• ข้อ จ. (ฟ้าทะลายโจร):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Herbal Extraction methods</t>
        </is>
      </c>
      <c r="M44" s="2" t="inlineStr">
        <is>
          <t>Product</t>
        </is>
      </c>
      <c r="N44" s="2" t="inlineStr">
        <is>
          <t>ข้อ 26 (Pharmtutor_2024_Set1.md)</t>
        </is>
      </c>
      <c r="O44" s="2" t="n"/>
      <c r="P44" s="2" t="n"/>
    </row>
    <row r="45" ht="13.2" customHeight="1" s="49">
      <c r="A45" s="2" t="n">
        <v>43</v>
      </c>
      <c r="B45" s="2" t="inlineStr">
        <is>
          <t>ยาสมุนไพรในข้อใด มีข้อบ่งใช้ในการบรรเทาอการของโรคโพรงจมูกอักเสบ</t>
        </is>
      </c>
      <c r="C45" s="2" t="n"/>
      <c r="D45" s="2" t="inlineStr">
        <is>
          <t>ยาประสะไพล</t>
        </is>
      </c>
      <c r="E45" s="2" t="inlineStr">
        <is>
          <t>ยาธาตุบรรจบ</t>
        </is>
      </c>
      <c r="F45" s="2" t="inlineStr">
        <is>
          <t>ยาปราบชมพูทวีป</t>
        </is>
      </c>
      <c r="G45" s="2" t="inlineStr">
        <is>
          <t>ยาเหลืองปิดสมุทร</t>
        </is>
      </c>
      <c r="H45" s="2" t="inlineStr">
        <is>
          <t>ยาแคปซูลฟ้าทะลายโจร</t>
        </is>
      </c>
      <c r="I45" s="2" t="n">
        <v>1</v>
      </c>
      <c r="J45" s="2" t="inlineStr">
        <is>
          <t>✅ คำตอบที่ถูกต้อง: ข้อ ก. ยาประสะไพล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ยาประสะไพล 💡 คำอธิบายและเหตุผลทางเภสัชกรรม:
💡 คำอธิบายและเหตุผลทางเภสัชกรรม:
การเลือก ยาประสะไพล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(ยาธาตุบรรจบ): ยาธาตุบรรจบ ไม่ตรงกับข้อบ่งใช้หรือกลไกการออกฤทธิ์ที่ถูกต้องตาม Thai Herbal Pharmacopoeia / WHO Monographs on Medicinal Plants
• ข้อ ค. (ยาปราบชมพูทวีป): ยาปราบชมพูทวีป ไม่ตรงกับข้อบ่งใช้หรือกลไกการออกฤทธิ์ที่ถูกต้องตาม Thai Herbal Pharmacopoeia / WHO Monographs on Medicinal Plants
• ข้อ ง. (ยาเหลืองปิดสมุทร): ยาเหลืองปิดสมุทร ไม่ตรงกับข้อบ่งใช้หรือกลไกการออกฤทธิ์ที่ถูกต้องตาม Thai Herbal Pharmacopoeia / WHO Monographs on Medicinal Plants
• ข้อ จ. (ยาแคปซูลฟ้าทะลายโจร):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Herbal Extraction methods</t>
        </is>
      </c>
      <c r="M45" s="2" t="inlineStr">
        <is>
          <t>Product</t>
        </is>
      </c>
      <c r="N45" s="2" t="inlineStr">
        <is>
          <t>ข้อ 87 (Pharmtutor_2024_Set1.md)</t>
        </is>
      </c>
      <c r="O45" s="2" t="n"/>
      <c r="P45" s="2" t="n"/>
    </row>
    <row r="46" ht="13.2" customHeight="1" s="49">
      <c r="A46" s="2" t="n">
        <v>44</v>
      </c>
      <c r="B46" s="2" t="inlineStr">
        <is>
          <t>ผู้ป่วยเริม สามารถใช้สมุนไพรชนิดใด สำหรับบรรเทาอาการ</t>
        </is>
      </c>
      <c r="C46" s="2" t="n"/>
      <c r="D46" s="2" t="inlineStr">
        <is>
          <t>รางจืด</t>
        </is>
      </c>
      <c r="E46" s="2" t="inlineStr">
        <is>
          <t>เพชรสังฆาต</t>
        </is>
      </c>
      <c r="F46" s="2" t="inlineStr">
        <is>
          <t>มะระขี้นก</t>
        </is>
      </c>
      <c r="G46" s="2" t="inlineStr">
        <is>
          <t>ครีมพญายอ</t>
        </is>
      </c>
      <c r="H46" s="2" t="inlineStr">
        <is>
          <t>ทองพันชั่ง</t>
        </is>
      </c>
      <c r="I46" s="2" t="n">
        <v>1</v>
      </c>
      <c r="J46" s="2" t="inlineStr">
        <is>
          <t>✅ คำตอบที่ถูกต้อง: ข้อ ก. รางจืด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รางจืด 💡 คำอธิบายและเหตุผลทางเภสัชกรรม:
💡 คำอธิบายและเหตุผลทางเภสัชกรรม:
การเลือก รางจืด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(เพชรสังฆาต): เพชรสังฆาต ไม่ตรงกับข้อบ่งใช้หรือกลไกการออกฤทธิ์ที่ถูกต้องตาม Thai Herbal Pharmacopoeia / WHO Monographs on Medicinal Plants
• ข้อ ค. (มะระขี้นก): มะระขี้นก ไม่ตรงกับข้อบ่งใช้หรือกลไกการออกฤทธิ์ที่ถูกต้องตาม Thai Herbal Pharmacopoeia / WHO Monographs on Medicinal Plants
• ข้อ ง. (ครีมพญายอ): ครีมพญายอ ไม่ตรงกับข้อบ่งใช้หรือกลไกการออกฤทธิ์ที่ถูกต้องตาม Thai Herbal Pharmacopoeia / WHO Monographs on Medicinal Plants
• ข้อ จ. (ทองพันชั่ง): ทองพันชั่ง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Herbal Extraction methods</t>
        </is>
      </c>
      <c r="M46" s="2" t="inlineStr">
        <is>
          <t>Product</t>
        </is>
      </c>
      <c r="N46" s="2" t="inlineStr">
        <is>
          <t>ข้อ 16 (Pharmtutor_2024_Set2.md)</t>
        </is>
      </c>
      <c r="O46" s="2" t="n"/>
      <c r="P46" s="2" t="n"/>
    </row>
    <row r="47" ht="13.2" customHeight="1" s="49">
      <c r="A47" s="2" t="n">
        <v>45</v>
      </c>
      <c r="B47" s="2" t="inlineStr">
        <is>
          <t>สมุนไพรในข้อใด มีสรรพคุณลดระดับนํ%าตาลในเลือด (1) มะแว้งต้น (2) มะขามป้อม (3) มะระขี_x001B_นก (4) มะนาว (5) มะหาด Final version | Maximum’2017 Rx30 | Prince of Songkla University</t>
        </is>
      </c>
      <c r="C47" s="2" t="n"/>
      <c r="D47" s="2" t="inlineStr">
        <is>
          <t>Gingerol quantification in Zingiber officinale</t>
        </is>
      </c>
      <c r="E47" s="2" t="inlineStr">
        <is>
          <t>Maceration with Ethanol 70% solvent</t>
        </is>
      </c>
      <c r="F47" s="2" t="inlineStr">
        <is>
          <t>Soxhlet Extraction for heat-stable phytochemicals</t>
        </is>
      </c>
      <c r="G47" s="2" t="inlineStr">
        <is>
          <t>Supercritical Fluid Extraction (SFE-CO2)</t>
        </is>
      </c>
      <c r="H47" s="2" t="inlineStr">
        <is>
          <t>Standardized Curcuminoids in Curcuma longa</t>
        </is>
      </c>
      <c r="I47" s="2" t="n">
        <v>1</v>
      </c>
      <c r="J47"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Maceration with Ethanol 70% solvent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Herbal Extraction methods</t>
        </is>
      </c>
      <c r="M47" s="2" t="inlineStr">
        <is>
          <t>Product</t>
        </is>
      </c>
      <c r="N47" s="2" t="inlineStr">
        <is>
          <t>ข้อ 17 (PLE_CC1_2557.md)</t>
        </is>
      </c>
      <c r="O47" s="2" t="n"/>
      <c r="P47" s="2" t="n"/>
    </row>
    <row r="48" ht="13.2" customHeight="1" s="49">
      <c r="A48" s="2" t="n">
        <v>46</v>
      </c>
      <c r="B48" s="2" t="inlineStr">
        <is>
          <t>หากมีญาติแนะนำผู้ป่วยรายนี%ให้ใช้ยาสมุนไพร A ซึ_x001E_งอ้าง ว่าสามารถลดระดับนํ%าตาลในเลือดได้ ทะเบียนยาในข้อใดที เป็นข้อบ่งชี%ได้ว่ายาสมุนไพร A ขึ%นทะเบียนตำรับอย่าง ถูกต้อง (6) 1A 301/50 (7) 2D 11/51 (8) 3G 32/52 (9) 2G 18/53 1J 102/54</t>
        </is>
      </c>
      <c r="C48" s="2" t="n"/>
      <c r="D48" s="2" t="inlineStr">
        <is>
          <t>Supercritical Fluid Extraction (SFE-CO2)</t>
        </is>
      </c>
      <c r="E48" s="2" t="inlineStr">
        <is>
          <t>Standardized Curcuminoids in Curcuma longa</t>
        </is>
      </c>
      <c r="F48" s="2" t="inlineStr">
        <is>
          <t>Standardized Andrographolide in Andrographis paniculata</t>
        </is>
      </c>
      <c r="G48" s="2" t="inlineStr">
        <is>
          <t>Senna glycosides (Sennosides A &amp; B) Extraction</t>
        </is>
      </c>
      <c r="H48" s="2" t="inlineStr">
        <is>
          <t>Centella asiatica (Madecassoside &amp; Asiaticoside)</t>
        </is>
      </c>
      <c r="I48" s="2" t="n">
        <v>1</v>
      </c>
      <c r="J48"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Herbal Extraction methods</t>
        </is>
      </c>
      <c r="M48" s="2" t="inlineStr">
        <is>
          <t>Product</t>
        </is>
      </c>
      <c r="N48" s="2" t="inlineStr">
        <is>
          <t>ข้อ 18 (PLE_CC1_2557.md)</t>
        </is>
      </c>
      <c r="O48" s="2" t="n"/>
      <c r="P48" s="2" t="n"/>
    </row>
    <row r="49" ht="13.2" customHeight="1" s="49">
      <c r="A49" s="2" t="n">
        <v>47</v>
      </c>
      <c r="B49" s="2" t="inlineStr">
        <is>
          <t>สมุนไพรใด สามารถบรรเทาอาการคลื_x001E_นไส้ อาเจียน (1) เหง้าขิงแก่ (2) ผลยอสุก (3) ผลฝรั_x0003_งอ่อน (4) ใบชุมเห็ดเทศ (5) ดอกกานพลู</t>
        </is>
      </c>
      <c r="C49" s="2" t="n"/>
      <c r="D49" s="2" t="inlineStr">
        <is>
          <t>Senna glycosides (Sennosides A &amp; B) Extraction</t>
        </is>
      </c>
      <c r="E49" s="2" t="inlineStr">
        <is>
          <t>Centella asiatica (Madecassoside &amp; Asiaticoside)</t>
        </is>
      </c>
      <c r="F49" s="2" t="inlineStr">
        <is>
          <t>Gingerol quantification in Zingiber officinale</t>
        </is>
      </c>
      <c r="G49" s="2" t="inlineStr">
        <is>
          <t>Maceration with Ethanol 70% solvent</t>
        </is>
      </c>
      <c r="H49" s="2" t="inlineStr">
        <is>
          <t>Soxhlet Extraction for heat-stable phytochemicals</t>
        </is>
      </c>
      <c r="I49" s="2" t="n">
        <v>1</v>
      </c>
      <c r="J49"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Herbal Extraction methods</t>
        </is>
      </c>
      <c r="M49" s="2" t="inlineStr">
        <is>
          <t>Product</t>
        </is>
      </c>
      <c r="N49" s="2" t="inlineStr">
        <is>
          <t>ข้อ 24 (PLE_CC1_2557.md)</t>
        </is>
      </c>
      <c r="O49" s="2" t="n"/>
      <c r="P49" s="2" t="n"/>
    </row>
    <row r="50" ht="13.2" customHeight="1" s="49">
      <c r="A50" s="2" t="n">
        <v>48</v>
      </c>
      <c r="B50" s="2" t="inlineStr">
        <is>
          <t>ผู้ป่วยที_x001E_มีปัญหาโรคตับ ไม่ควรใช้สมุนไพรในข้อใด (1) ขมิ_x001B_นชัน (2) ขี_x001B_เหล็ก (3) ขิง (4) กระเจีBยบแดง (5) หญ้าหนวดแมว</t>
        </is>
      </c>
      <c r="C50" s="2" t="n"/>
      <c r="D50" s="2" t="inlineStr">
        <is>
          <t>Maceration with Ethanol 70% solvent</t>
        </is>
      </c>
      <c r="E50" s="2" t="inlineStr">
        <is>
          <t>Soxhlet Extraction for heat-stable phytochemicals</t>
        </is>
      </c>
      <c r="F50" s="2" t="inlineStr">
        <is>
          <t>Supercritical Fluid Extraction (SFE-CO2)</t>
        </is>
      </c>
      <c r="G50" s="2" t="inlineStr">
        <is>
          <t>Standardized Curcuminoids in Curcuma longa</t>
        </is>
      </c>
      <c r="H50" s="2" t="inlineStr">
        <is>
          <t>Standardized Andrographolide in Andrographis paniculata</t>
        </is>
      </c>
      <c r="I50" s="2" t="n">
        <v>1</v>
      </c>
      <c r="J50"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Herbal Extraction methods</t>
        </is>
      </c>
      <c r="M50" s="2" t="inlineStr">
        <is>
          <t>Product</t>
        </is>
      </c>
      <c r="N50" s="2" t="inlineStr">
        <is>
          <t>ข้อ 61 (PLE_CC1_2557.md)</t>
        </is>
      </c>
      <c r="O50" s="2" t="n"/>
      <c r="P50" s="2" t="n"/>
    </row>
    <row r="51" ht="13.2" customHeight="1" s="49">
      <c r="A51" s="2" t="n">
        <v>49</v>
      </c>
      <c r="B51" s="2" t="inlineStr">
        <is>
          <t>สมุนไพรในข้อใด มีสารสำคัญที_x001E_มีสรรพคุณคล้ายกับ ฮอร์โมนเพศหญิงในร่างกาย (1) ชะเอมเทศ (2) กวาวเครือแดง (3) ยี_x0003_โถ (4) มะคำดีควาย (5) บัวบก</t>
        </is>
      </c>
      <c r="C51" s="2" t="n"/>
      <c r="D51" s="2" t="inlineStr">
        <is>
          <t>Standardized Curcuminoids in Curcuma longa</t>
        </is>
      </c>
      <c r="E51" s="2" t="inlineStr">
        <is>
          <t>Standardized Andrographolide in Andrographis paniculata</t>
        </is>
      </c>
      <c r="F51" s="2" t="inlineStr">
        <is>
          <t>Senna glycosides (Sennosides A &amp; B) Extraction</t>
        </is>
      </c>
      <c r="G51" s="2" t="inlineStr">
        <is>
          <t>Centella asiatica (Madecassoside &amp; Asiaticoside)</t>
        </is>
      </c>
      <c r="H51" s="2" t="inlineStr">
        <is>
          <t>Gingerol quantification in Zingiber officinale</t>
        </is>
      </c>
      <c r="I51" s="2" t="n">
        <v>1</v>
      </c>
      <c r="J51"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Herbal Extraction methods</t>
        </is>
      </c>
      <c r="M51" s="2" t="inlineStr">
        <is>
          <t>Product</t>
        </is>
      </c>
      <c r="N51" s="2" t="inlineStr">
        <is>
          <t>ข้อ 42 (PLE_CC1_2557.md)</t>
        </is>
      </c>
      <c r="O51" s="2" t="n"/>
      <c r="P51" s="2" t="n"/>
    </row>
    <row r="52" ht="13.2" customHeight="1" s="49">
      <c r="A52" s="2" t="n">
        <v>50</v>
      </c>
      <c r="B52" s="2" t="inlineStr">
        <is>
          <t>ฟ้าทะลายโจร บางครั้งเวลาเจ็บคอ</t>
        </is>
      </c>
      <c r="C52" s="2" t="n"/>
      <c r="D52" s="2" t="inlineStr">
        <is>
          <t>Centella asiatica (Madecassoside &amp; Asiaticoside)</t>
        </is>
      </c>
      <c r="E52" s="2" t="inlineStr">
        <is>
          <t>Gingerol quantification in Zingiber officinale</t>
        </is>
      </c>
      <c r="F52" s="2" t="inlineStr">
        <is>
          <t>Maceration with Ethanol 70% solvent</t>
        </is>
      </c>
      <c r="G52" s="2" t="inlineStr">
        <is>
          <t>Soxhlet Extraction for heat-stable phytochemicals</t>
        </is>
      </c>
      <c r="H52" s="2" t="inlineStr">
        <is>
          <t>Supercritical Fluid Extraction (SFE-CO2)</t>
        </is>
      </c>
      <c r="I52" s="2" t="n">
        <v>1</v>
      </c>
      <c r="J52"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Herbal Extraction methods</t>
        </is>
      </c>
      <c r="M52" s="2" t="inlineStr">
        <is>
          <t>Product</t>
        </is>
      </c>
      <c r="N52" s="2" t="inlineStr">
        <is>
          <t>ข้อ 5 (PLE_CC1_2556.md)</t>
        </is>
      </c>
      <c r="O52" s="2" t="n"/>
      <c r="P52" s="2" t="n"/>
    </row>
    <row r="53" ht="13.2" customHeight="1" s="49">
      <c r="A53" s="2" t="n">
        <v>51</v>
      </c>
      <c r="B53" s="2" t="inlineStr">
        <is>
          <t>ถ้าจะใช้เป็นสมุนไพรสาธารณสุขมูลฐาน ต้องใช้อะไร</t>
        </is>
      </c>
      <c r="C53" s="2" t="n"/>
      <c r="D53" s="2" t="inlineStr">
        <is>
          <t>กระเทียม</t>
        </is>
      </c>
      <c r="E53" s="2" t="inlineStr">
        <is>
          <t>ยอ</t>
        </is>
      </c>
      <c r="F53" s="2" t="inlineStr">
        <is>
          <t>ขมิ้นชัน</t>
        </is>
      </c>
      <c r="G53" s="2" t="inlineStr">
        <is>
          <t>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t>
        </is>
      </c>
      <c r="H53" s="2" t="inlineStr">
        <is>
          <t>Senna glycosides (Sennosides A &amp; B) Extraction</t>
        </is>
      </c>
      <c r="I53" s="2" t="n">
        <v>4</v>
      </c>
      <c r="J53" s="2" t="inlineStr">
        <is>
          <t>✅ คำตอบที่ถูกต้อง: ข้อ ง.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 คำอธิบายและเหตุผลทางเภสัชกรรม:
💡 คำอธิบายและเหตุผลทางเภสัชกรรม:
การเลือก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(กระเทียม): กระเทียม (Allium sativum) มีสาร Allicin (ลดไขมัน ต้านจุลชีพ) และ Ajoene (ยับยั้ง platelet) มี DDI กับ warfarin/antiplatelet เพิ่ม bleeding risk
• ข้อ ข. (ยอ): ยอ ไม่ตรงกับข้อบ่งใช้หรือกลไกการออกฤทธิ์ที่ถูกต้องตาม Thai Herbal Pharmacopoeia / WHO Monographs on Medicinal Plants
• ข้อ ค. (ขมิ้นชัน): ขมิ้นชัน (Curcuma longa) มีสาร curcumin ต้านการอักเสบผ่าน NF-κB, COX inhibition ดูดซึม bioavailability ต่ำ เพิ่มด้วย piperine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Herbal Extraction methods</t>
        </is>
      </c>
      <c r="M53" s="2" t="inlineStr">
        <is>
          <t>Product</t>
        </is>
      </c>
      <c r="N53" s="2" t="inlineStr">
        <is>
          <t>ข้อ 3 (PLE_CC1_2554 SET2.md)</t>
        </is>
      </c>
      <c r="O53" s="2" t="n"/>
      <c r="P53" s="2" t="n"/>
    </row>
    <row r="54" ht="13.2" customHeight="1" s="49">
      <c r="A54" s="2" t="n">
        <v>52</v>
      </c>
      <c r="B54" s="2" t="inlineStr">
        <is>
          <t>สมุนไพรใดใช้บรรเทาอาการนี้</t>
        </is>
      </c>
      <c r="C54" s="2" t="n"/>
      <c r="D54" s="2" t="inlineStr">
        <is>
          <t>ฝรั่ง</t>
        </is>
      </c>
      <c r="E54" s="2" t="inlineStr">
        <is>
          <t>ขมิ้นชัน</t>
        </is>
      </c>
      <c r="F54" s="2" t="inlineStr">
        <is>
          <t>Centella asiatica (Madecassoside &amp; Asiaticoside)</t>
        </is>
      </c>
      <c r="G54" s="2" t="inlineStr">
        <is>
          <t>Gingerol quantification in Zingiber officinale</t>
        </is>
      </c>
      <c r="H54" s="2" t="inlineStr">
        <is>
          <t>Maceration with Ethanol 70% solvent</t>
        </is>
      </c>
      <c r="I54" s="2" t="n">
        <v>1</v>
      </c>
      <c r="J54" s="2" t="inlineStr">
        <is>
          <t>✅ คำตอบที่ถูกต้อง: ข้อ ก. 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ฝรั่ง 💡 คำอธิบายและเหตุผลทางเภสัชกรรม:
💡 คำอธิบายและเหตุผลทางเภสัชกรรม:
การเลือก 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ง.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จ. (Maceration with Ethanol 70% solvent): Maceration with Ethanol 70% solvent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Herbal Extraction methods</t>
        </is>
      </c>
      <c r="M54" s="2" t="inlineStr">
        <is>
          <t>Product</t>
        </is>
      </c>
      <c r="N54" s="2" t="inlineStr">
        <is>
          <t>ข้อ 7 (PLE_CC1_2533.md)</t>
        </is>
      </c>
      <c r="O54" s="2" t="n"/>
      <c r="P54" s="2" t="n"/>
    </row>
    <row r="55" ht="13.2" customHeight="1" s="49">
      <c r="A55" s="2" t="n">
        <v>53</v>
      </c>
      <c r="B55" s="2" t="inlineStr">
        <is>
          <t>ระเหย ในขมิ้นชัน มีสรรพคุณบรรเทา อาการปวดท้อง ท้องอืด แน่นจุดเสียด</t>
        </is>
      </c>
      <c r="C55" s="2" t="n"/>
      <c r="D55" s="2" t="inlineStr">
        <is>
          <t>Gingerol quantification in Zingiber officinale</t>
        </is>
      </c>
      <c r="E55" s="2" t="inlineStr">
        <is>
          <t>Maceration with Ethanol 70% solvent</t>
        </is>
      </c>
      <c r="F55" s="2" t="inlineStr">
        <is>
          <t>Soxhlet Extraction for heat-stable phytochemicals</t>
        </is>
      </c>
      <c r="G55" s="2" t="inlineStr">
        <is>
          <t>Supercritical Fluid Extraction (SFE-CO2)</t>
        </is>
      </c>
      <c r="H55" s="2" t="inlineStr">
        <is>
          <t>Standardized Curcuminoids in Curcuma longa</t>
        </is>
      </c>
      <c r="I55" s="2" t="n">
        <v>2</v>
      </c>
      <c r="J55"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Herbal Extraction methods</t>
        </is>
      </c>
      <c r="M55" s="2" t="inlineStr">
        <is>
          <t>Product</t>
        </is>
      </c>
      <c r="N55" s="2" t="inlineStr">
        <is>
          <t>ข้อ 5 (PLE_CC1_2533.md)</t>
        </is>
      </c>
      <c r="O55" s="2" t="n"/>
      <c r="P55" s="2" t="n"/>
    </row>
    <row r="56" ht="13.2" customHeight="1" s="49">
      <c r="A56" s="2" t="n">
        <v>54</v>
      </c>
      <c r="B56" s="2" t="inlineStr">
        <is>
          <t>สมุนไพรข้อใดไม่แนะนำให้กินเสริมธาตุเหล็ก</t>
        </is>
      </c>
      <c r="C56" s="2" t="n"/>
      <c r="D56" s="2" t="inlineStr">
        <is>
          <t>Supercritical Fluid Extraction (SFE-CO2)</t>
        </is>
      </c>
      <c r="E56" s="2" t="inlineStr">
        <is>
          <t>Standardized Curcuminoids in Curcuma longa</t>
        </is>
      </c>
      <c r="F56" s="2" t="inlineStr">
        <is>
          <t>Standardized Andrographolide in Andrographis paniculata</t>
        </is>
      </c>
      <c r="G56" s="2" t="inlineStr">
        <is>
          <t>Senna glycosides (Sennosides A &amp; B) Extraction</t>
        </is>
      </c>
      <c r="H56" s="2" t="inlineStr">
        <is>
          <t>Centella asiatica (Madecassoside &amp; Asiaticoside)</t>
        </is>
      </c>
      <c r="I56" s="2" t="n">
        <v>1</v>
      </c>
      <c r="J56"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Herbal Extraction methods</t>
        </is>
      </c>
      <c r="M56" s="2" t="inlineStr">
        <is>
          <t>Product</t>
        </is>
      </c>
      <c r="N56" s="2" t="inlineStr">
        <is>
          <t>ข้อ 7 (PLE_CC1_2533.md)</t>
        </is>
      </c>
      <c r="O56" s="2" t="n"/>
      <c r="P56" s="2" t="n"/>
    </row>
    <row r="57" ht="13.2" customHeight="1" s="49">
      <c r="A57" s="2" t="n">
        <v>55</v>
      </c>
      <c r="B57" s="2" t="inlineStr">
        <is>
          <t>Standard Operating Procedure 7.สมุนไพรสาธารณะสุขมูลฐานที่ใช้แก้อาการเบื่ออาหาร</t>
        </is>
      </c>
      <c r="C57" s="2" t="n"/>
      <c r="D57" s="2" t="inlineStr">
        <is>
          <t>Senna glycosides (Sennosides A &amp; B) Extraction</t>
        </is>
      </c>
      <c r="E57" s="2" t="inlineStr">
        <is>
          <t>Centella asiatica (Madecassoside &amp; Asiaticoside)</t>
        </is>
      </c>
      <c r="F57" s="2" t="inlineStr">
        <is>
          <t>Gingerol quantification in Zingiber officinale</t>
        </is>
      </c>
      <c r="G57" s="2" t="inlineStr">
        <is>
          <t>Maceration with Ethanol 70% solvent</t>
        </is>
      </c>
      <c r="H57" s="2" t="inlineStr">
        <is>
          <t>Soxhlet Extraction for heat-stable phytochemicals</t>
        </is>
      </c>
      <c r="I57" s="2" t="n">
        <v>1</v>
      </c>
      <c r="J57"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Herbal Extraction methods</t>
        </is>
      </c>
      <c r="M57" s="2" t="inlineStr">
        <is>
          <t>Product</t>
        </is>
      </c>
      <c r="N57" s="2" t="inlineStr">
        <is>
          <t>ข้อ 5 (PLE_CC1_2533.md)</t>
        </is>
      </c>
      <c r="O57" s="2" t="n"/>
      <c r="P57" s="2" t="n"/>
    </row>
    <row r="58" ht="13.2" customHeight="1" s="49">
      <c r="A58" s="2" t="n">
        <v>56</v>
      </c>
      <c r="B58" s="2" t="inlineStr">
        <is>
          <t>ไม่ถูกต้องเพราะยาสมุนไพรไม่ได้สามารถตีพิมพ์โฆษณาในหนังสือทั่วไปได้</t>
        </is>
      </c>
      <c r="C58" s="2" t="n"/>
      <c r="D58" s="2" t="inlineStr">
        <is>
          <t>Maceration with Ethanol 70% solvent</t>
        </is>
      </c>
      <c r="E58" s="2" t="inlineStr">
        <is>
          <t>Soxhlet Extraction for heat-stable phytochemicals</t>
        </is>
      </c>
      <c r="F58" s="2" t="inlineStr">
        <is>
          <t>Supercritical Fluid Extraction (SFE-CO2)</t>
        </is>
      </c>
      <c r="G58" s="2" t="inlineStr">
        <is>
          <t>Standardized Curcuminoids in Curcuma longa</t>
        </is>
      </c>
      <c r="H58" s="2" t="inlineStr">
        <is>
          <t>Standardized Andrographolide in Andrographis paniculata</t>
        </is>
      </c>
      <c r="I58" s="2" t="n">
        <v>1</v>
      </c>
      <c r="J58"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Herbal Extraction methods</t>
        </is>
      </c>
      <c r="M58" s="2" t="inlineStr">
        <is>
          <t>Product</t>
        </is>
      </c>
      <c r="N58" s="2" t="inlineStr">
        <is>
          <t>ข้อ 3 (PLE_CC1_2533.md)</t>
        </is>
      </c>
      <c r="O58" s="2" t="n"/>
      <c r="P58" s="2" t="n"/>
    </row>
    <row r="59" ht="13.2" customHeight="1" s="49">
      <c r="A59" s="2" t="n">
        <v>57</v>
      </c>
      <c r="B59" s="2" t="inlineStr">
        <is>
          <t>ก่อนมาพบแพทย์ผู้ป่วยมีอาการไอหากต้องการบรรเทาอาการเบื้องต้น สมุนไพรในข้อใดเป็นสมุนไพรที่ใช้ บรรเทาอาการไอ/ขับเสมหะตามสาธารณสุขมูลฐาน</t>
        </is>
      </c>
      <c r="C59" s="2" t="n"/>
      <c r="D59" s="2" t="inlineStr">
        <is>
          <t>ขมิ้นชัน</t>
        </is>
      </c>
      <c r="E59" s="2" t="inlineStr">
        <is>
          <t>ฟ้าทะลายโจร</t>
        </is>
      </c>
      <c r="F59" s="2" t="inlineStr">
        <is>
          <t>ชุมเห็ดเทศ</t>
        </is>
      </c>
      <c r="G59" s="2" t="inlineStr">
        <is>
          <t>มะแว้งต้น</t>
        </is>
      </c>
      <c r="H59" s="2" t="inlineStr">
        <is>
          <t>บัวบก</t>
        </is>
      </c>
      <c r="I59" s="2" t="n">
        <v>1</v>
      </c>
      <c r="J59"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ฟ้าทะลายโจร (Andrographis paniculata) มีสาร Andrographolide ยับยั้ง NF-κB ต้านไวรัส ไม่ควรใช้ในหญิงตั้งครรภ์ (abortifacient) และ autoimmune disease
• ข้อ ค. (ชุมเห็ดเทศ): ชุมเห็ดเทศ (Senna alata) มีสาร anthraquinone glycosides ออกฤทธิ์เป็น stimulant laxative กระตุ้น colon motility ใช้ในท้องผูก
• ข้อ ง. (มะแว้งต้น): มะแว้งต้น ไม่ตรงกับข้อบ่งใช้หรือกลไกการออกฤทธิ์ที่ถูกต้องตาม Thai Herbal Pharmacopoeia / WHO Monographs on Medicinal Plants
• ข้อ จ. (บัวบก): บัวบก (Centella asiatica) มีสาร asiaticoside, madecassoside กระตุ้น collagen synthesis ฟื้นฟูแผล ต้องระวังในผู้ป่วย liver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Herbal Extraction methods</t>
        </is>
      </c>
      <c r="M59" s="2" t="inlineStr">
        <is>
          <t>Product</t>
        </is>
      </c>
      <c r="N59" s="2" t="inlineStr">
        <is>
          <t>ข้อ 14 (PLE_CC1_Practice_Exam.md)</t>
        </is>
      </c>
      <c r="O59" s="2" t="n"/>
      <c r="P59" s="2" t="n"/>
    </row>
    <row r="60" ht="13.2" customHeight="1" s="49">
      <c r="A60" s="2" t="n">
        <v>58</v>
      </c>
      <c r="B60" s="2" t="inlineStr">
        <is>
          <t>ผู้ป่วยหญิงไทยคู่ อายุ 40 ปี มีโรคประจำตัวคือ โรคเบาหวาน 10 ปี, ความดันโลหิตสูง 1 ปี MED PTA : HCTZ 1x1 po pc Metformin 1x1 po pc ผู้ป่วยไม่มีปัญหาการให้ความร่วมมือในการใช้ยาและปรับเปลี่ยนพฤติกรรมตามที่แพทย์แนะนำ มาพบแพทย์ตามนัดทุก 1 เดือน ไม่สามารถคุมความดันโลหิตให้อยู่ในระดับปกติได้เป็นเวลานาน แพทย์จึงสั่ง จ่าย Amlodipine(5) 1x1 po pc เพิ่มจากยาที่รับประทานอยู่ หลังจากนั้น 2 เดือน ผู้ป่วยมาโรงพยาบาลด้วย 235 โรคระบบภูมิคุ้มกัน นักศึกษาเภสัชศาสตร์ชั้นปีที่ 4 รุ่นที่ 22</t>
        </is>
      </c>
      <c r="C60" s="2" t="n"/>
      <c r="D60" s="2" t="inlineStr">
        <is>
          <t>ใช้ยาตามเดิมและติดตามอาการเป็นระยะ</t>
        </is>
      </c>
      <c r="E60" s="2" t="inlineStr">
        <is>
          <t>เปลี่ยนยาสำหรับรักษาความดันโลหิตทั้ง 2 ตัว พร้อมออกบัตรแพ้ยาให้แก่ผู้ป่วย</t>
        </is>
      </c>
      <c r="F60" s="2" t="inlineStr">
        <is>
          <t>พิจารณาปรับขนาดยาที่ผู้ป่วยใช้อยู่ทั้งหมด เนื่องจากผู้ป่วยมีภาวะ Renal impairment จาก โรคเบาหวาน</t>
        </is>
      </c>
      <c r="G60" s="2" t="inlineStr">
        <is>
          <t>พิจารณาการรักษา Renal impairment ร่วมด้วย เนื่องจากอาการขาบวมเกิดจากภาวะ Fluid retention</t>
        </is>
      </c>
      <c r="H60" s="2" t="inlineStr">
        <is>
          <t>เปลี่ยนยา Amlodipine เป็นยารักษาความดันโลหิตสูงชนิดอื่น</t>
        </is>
      </c>
      <c r="I60" s="2" t="n">
        <v>1</v>
      </c>
      <c r="J60" s="2" t="inlineStr">
        <is>
          <t>✅ คำตอบที่ถูกต้อง: ข้อ ก. ใช้ยาตามเดิมและติดตามอาการเป็นระยะ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ใช้ยาตามเดิมและติดตามอาการเป็นระยะ 💡 คำอธิบายและเหตุผลทางเภสัชกรรม:
💡 คำอธิบายและเหตุผลทางเภสัชกรรม:
การเลือก ใช้ยาตามเดิมและติดตามอาการเป็นระยะ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(เปลี่ยนยาสำหรับรักษาความดันโลหิตทั้ง 2 ตัว พร้อมออกบัตรแพ้ยาให้แก่ผู้ป่วย): เปลี่ยนยาสำหรับรักษาความดันโลหิตทั้ง 2 ตัว พร้อมออกบัตรแพ้ยาให้แก่ผู้ป่วย ไม่ตรงกับข้อบ่งใช้หรือกลไกการออกฤทธิ์ที่ถูกต้องตาม Thai Herbal Pharmacopoeia / WHO Monographs on Medicinal Plants
• ข้อ ค. (พิจารณาปรับขนาดยาที่ผู้ป่วยใช้อยู่ทั้งหมด เนื่องจากผู้ป่วยมีภาวะ Renal impairment จาก โรคเบาหวาน): พิจารณาปรับขนาดยาที่ผู้ป่วยใช้อยู่ทั้งหมด เนื่องจากผู้ป่วยมีภาวะ Renal impairment จาก โรคเบาหวาน ไม่ตรงกับข้อบ่งใช้หรือกลไกการออกฤทธิ์ที่ถูกต้องตาม Thai Herbal Pharmacopoeia / WHO Monographs on Medicinal Plants
• ข้อ ง. (พิจารณาการรักษา Renal impairment ร่วมด้วย เนื่องจากอาการขาบวมเกิดจากภาวะ Fluid retention): พิจารณาการรักษา Renal impairment ร่วมด้วย เนื่องจากอาการขาบวมเกิดจากภาวะ Fluid retention ไม่ตรงกับข้อบ่งใช้หรือกลไกการออกฤทธิ์ที่ถูกต้องตาม Thai Herbal Pharmacopoeia / WHO Monographs on Medicinal Plants
• ข้อ จ. (เปลี่ยนยา Amlodipine เป็นยารักษาความดันโลหิตสูงชนิดอื่น):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Herbal Extraction methods</t>
        </is>
      </c>
      <c r="M60" s="2" t="inlineStr">
        <is>
          <t>Product</t>
        </is>
      </c>
      <c r="N60" s="2" t="inlineStr">
        <is>
          <t>ข้อ 32 (PLE_CC1_Practice_Exam.md)</t>
        </is>
      </c>
      <c r="O60" s="2" t="n"/>
      <c r="P60" s="2" t="n"/>
    </row>
    <row r="61" ht="13.2" customHeight="1" s="49">
      <c r="A61" s="2" t="n">
        <v>59</v>
      </c>
      <c r="B61" s="2" t="inlineStr">
        <is>
          <t>สมุนไพรใดมีฤทธิ์บรรเทาอาการไอ</t>
        </is>
      </c>
      <c r="C61" s="2" t="n"/>
      <c r="D61" s="2" t="inlineStr">
        <is>
          <t>เพกา</t>
        </is>
      </c>
      <c r="E61" s="2" t="inlineStr">
        <is>
          <t>ขมิ้นชัน</t>
        </is>
      </c>
      <c r="F61" s="2" t="inlineStr">
        <is>
          <t>ฟ้าทะลายโจร</t>
        </is>
      </c>
      <c r="G61" s="2" t="inlineStr">
        <is>
          <t>พริกไทย</t>
        </is>
      </c>
      <c r="H61" s="2" t="inlineStr">
        <is>
          <t>ตะไคร้</t>
        </is>
      </c>
      <c r="I61" s="2" t="n">
        <v>1</v>
      </c>
      <c r="J61" s="2" t="inlineStr">
        <is>
          <t>✅ คำตอบที่ถูกต้อง: ข้อ ก. เพกา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เพกา 💡 คำอธิบายและเหตุผลทางเภสัชกรรม:
💡 คำอธิบายและเหตุผลทางเภสัชกรรม:
การเลือก เพกา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(ฟ้าทะลายโจร): ฟ้าทะลายโจร (Andrographis paniculata) มีสาร Andrographolide ยับยั้ง NF-κB ต้านไวรัส ไม่ควรใช้ในหญิงตั้งครรภ์ (abortifacient) และ autoimmune disease
• ข้อ ง. (พริกไทย): พริกไทย ไม่ตรงกับข้อบ่งใช้หรือกลไกการออกฤทธิ์ที่ถูกต้องตาม Thai Herbal Pharmacopoeia / WHO Monographs on Medicinal Plants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Herbal Extraction methods</t>
        </is>
      </c>
      <c r="M61" s="2" t="inlineStr">
        <is>
          <t>Product</t>
        </is>
      </c>
      <c r="N61" s="2" t="inlineStr">
        <is>
          <t>ข้อ 1 (PLE_CC1_Practice_Exam.md)</t>
        </is>
      </c>
      <c r="O61" s="2" t="n"/>
      <c r="P61" s="2" t="n"/>
    </row>
    <row r="62" ht="13.2" customHeight="1" s="49">
      <c r="A62" s="2" t="n">
        <v>60</v>
      </c>
      <c r="B62" s="2" t="inlineStr">
        <is>
          <t>หนูนิดโดนน้ำร้อนลวก คุณแม่สามารถใช้สมุนไพรใดเพื่อบรรเทาอาการของหนูนิดได้</t>
        </is>
      </c>
      <c r="C62" s="2" t="n"/>
      <c r="D62" s="2" t="inlineStr">
        <is>
          <t>ผักคราดหัวแหวน</t>
        </is>
      </c>
      <c r="E62" s="2" t="inlineStr">
        <is>
          <t>น้ำมันมะพร้าว</t>
        </is>
      </c>
      <c r="F62" s="2" t="inlineStr">
        <is>
          <t>ฝรั่ง</t>
        </is>
      </c>
      <c r="G62" s="2" t="inlineStr">
        <is>
          <t>ตะไคร้</t>
        </is>
      </c>
      <c r="H62" s="2" t="inlineStr">
        <is>
          <t>บอระเพ็ด</t>
        </is>
      </c>
      <c r="I62" s="2" t="n">
        <v>1</v>
      </c>
      <c r="J62" s="2" t="inlineStr">
        <is>
          <t>✅ คำตอบที่ถูกต้อง: ข้อ ก. ผักคราดหัวแหวน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ผักคราดหัวแหวน 💡 คำอธิบายและเหตุผลทางเภสัชกรรม:
💡 คำอธิบายและเหตุผลทางเภสัชกรรม:
การเลือก ผักคราดหัวแหวน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(น้ำมันมะพร้าว): น้ำมันมะพร้าว ไม่ตรงกับข้อบ่งใช้หรือกลไกการออกฤทธิ์ที่ถูกต้องตาม Thai Herbal Pharmacopoeia / WHO Monographs on Medicinal Plants
• ข้อ ค. (ฝรั่ง): ฝรั่ง ไม่ตรงกับข้อบ่งใช้หรือกลไกการออกฤทธิ์ที่ถูกต้องตาม Thai Herbal Pharmacopoeia / WHO Monographs on Medicinal Plants
• ข้อ ง. (ตะไคร้): ตะไคร้ ไม่ตรงกับข้อบ่งใช้หรือกลไกการออกฤทธิ์ที่ถูกต้องตาม Thai Herbal Pharmacopoeia / WHO Monographs on Medicinal Plants
• ข้อ จ. (บอระเพ็ด): บอระเพ็ด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Herbal Extraction methods</t>
        </is>
      </c>
      <c r="M62" s="2" t="inlineStr">
        <is>
          <t>Product</t>
        </is>
      </c>
      <c r="N62" s="2" t="inlineStr">
        <is>
          <t>ข้อ 2 (PLE_CC1_Practice_Exam.md)</t>
        </is>
      </c>
      <c r="O62" s="2" t="n"/>
      <c r="P62" s="2" t="n"/>
    </row>
    <row r="63" ht="13.2" customHeight="1" s="49">
      <c r="A63" s="2" t="n">
        <v>61</v>
      </c>
      <c r="B63" s="2" t="inlineStr">
        <is>
          <t>น้องแก้วต้องการใช้สมุนไพรขับพยาธิ น้องแก้วควรเลือกสมุนไพรใด</t>
        </is>
      </c>
      <c r="C63" s="2" t="n"/>
      <c r="D63" s="2" t="inlineStr">
        <is>
          <t>สับปะรด 355 Pharmacognosy</t>
        </is>
      </c>
      <c r="E63" s="2" t="inlineStr">
        <is>
          <t>กระเจี๊ยบมอญ</t>
        </is>
      </c>
      <c r="F63" s="2" t="inlineStr">
        <is>
          <t>หมาก</t>
        </is>
      </c>
      <c r="G63" s="2" t="inlineStr">
        <is>
          <t>กานพลู</t>
        </is>
      </c>
      <c r="H63" s="2" t="inlineStr">
        <is>
          <t>ตะไคร้</t>
        </is>
      </c>
      <c r="I63" s="2" t="n">
        <v>1</v>
      </c>
      <c r="J63" s="2" t="inlineStr">
        <is>
          <t>✅ คำตอบที่ถูกต้อง: ข้อ ก. สับปะรด 355 Pharmacognosy</t>
        </is>
      </c>
      <c r="K63" s="2" t="n"/>
      <c r="L63" s="2" t="inlineStr">
        <is>
          <t>Herbal Extraction methods</t>
        </is>
      </c>
      <c r="M63" s="2" t="inlineStr">
        <is>
          <t>Product</t>
        </is>
      </c>
      <c r="N63" s="2" t="inlineStr">
        <is>
          <t>ข้อ 5 (PLE_CC1_Practice_Exam.md)</t>
        </is>
      </c>
      <c r="O63" s="2" t="n"/>
      <c r="P63" s="2" t="n"/>
    </row>
    <row r="64" ht="13.2" customHeight="1" s="49">
      <c r="A64" s="2" t="n">
        <v>62</v>
      </c>
      <c r="B64" s="2" t="inlineStr">
        <is>
          <t>Vincristine เป็นสาระสำคัญที่ได้จากสมุนไพรอะไร</t>
        </is>
      </c>
      <c r="C64" s="2" t="n"/>
      <c r="D64" s="2" t="inlineStr">
        <is>
          <t>แพงพวยฝรั่ง</t>
        </is>
      </c>
      <c r="E64" s="2" t="inlineStr">
        <is>
          <t>Pacific Yew</t>
        </is>
      </c>
      <c r="F64" s="2" t="inlineStr">
        <is>
          <t>ลำโพง</t>
        </is>
      </c>
      <c r="G64" s="2" t="inlineStr">
        <is>
          <t>ดองดึง</t>
        </is>
      </c>
      <c r="H64" s="2" t="inlineStr">
        <is>
          <t>เสนียด</t>
        </is>
      </c>
      <c r="I64" s="2" t="n">
        <v>1</v>
      </c>
      <c r="J64" s="2" t="inlineStr">
        <is>
          <t>✅ คำตอบที่ถูกต้อง: ข้อ ก. แพงพวยฝรั่ง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แพงพวยฝรั่ง 💡 คำอธิบายและเหตุผลทางเภสัชกรรม:
💡 คำอธิบายและเหตุผลทางเภสัชกรรม:
การเลือก แพงพวยฝรั่ง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(Pacific Yew): Pacific Yew ไม่ตรงกับข้อบ่งใช้หรือกลไกการออกฤทธิ์ที่ถูกต้องตาม Thai Herbal Pharmacopoeia / WHO Monographs on Medicinal Plants
• ข้อ ค. (ลำโพง): ลำโพง ไม่ตรงกับข้อบ่งใช้หรือกลไกการออกฤทธิ์ที่ถูกต้องตาม Thai Herbal Pharmacopoeia / WHO Monographs on Medicinal Plants
• ข้อ ง. (ดองดึง): ดองดึง ไม่ตรงกับข้อบ่งใช้หรือกลไกการออกฤทธิ์ที่ถูกต้องตาม Thai Herbal Pharmacopoeia / WHO Monographs on Medicinal Plants
• ข้อ จ. (เสนียด): เสนียด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Herbal Extraction methods</t>
        </is>
      </c>
      <c r="M64" s="2" t="inlineStr">
        <is>
          <t>Product</t>
        </is>
      </c>
      <c r="N64" s="2" t="inlineStr">
        <is>
          <t>ข้อ 13 (PLE_CC1_Practice_Exam.md)</t>
        </is>
      </c>
      <c r="O64" s="2" t="n"/>
      <c r="P64" s="2" t="n"/>
    </row>
    <row r="65" ht="13.2" customHeight="1" s="49">
      <c r="A65" s="2" t="n">
        <v>63</v>
      </c>
      <c r="B65" s="2" t="inlineStr">
        <is>
          <t>สมุนไพรใดที่ออกฤทธิ์เป็นยาชาเฉพาะที่ได้</t>
        </is>
      </c>
      <c r="C65" s="2" t="n"/>
      <c r="D65" s="2" t="inlineStr">
        <is>
          <t>โคคา 357 Pharmacognosy</t>
        </is>
      </c>
      <c r="E65" s="2" t="inlineStr">
        <is>
          <t>บอระเพ็ด</t>
        </is>
      </c>
      <c r="F65" s="2" t="inlineStr">
        <is>
          <t>Pacific Yew</t>
        </is>
      </c>
      <c r="G65" s="2" t="inlineStr">
        <is>
          <t>เสลดพังพอน</t>
        </is>
      </c>
      <c r="H65" s="2" t="inlineStr">
        <is>
          <t>ว่านมหากาฬ</t>
        </is>
      </c>
      <c r="I65" s="2" t="n">
        <v>1</v>
      </c>
      <c r="J65" s="2" t="inlineStr">
        <is>
          <t>✅ คำตอบที่ถูกต้อง: ข้อ ก. โคคา 357 Pharmacognosy</t>
        </is>
      </c>
      <c r="K65" s="2" t="n"/>
      <c r="L65" s="2" t="inlineStr">
        <is>
          <t>Herbal Extraction methods</t>
        </is>
      </c>
      <c r="M65" s="2" t="inlineStr">
        <is>
          <t>Product</t>
        </is>
      </c>
      <c r="N65" s="2" t="inlineStr">
        <is>
          <t>ข้อ 15 (PLE_CC1_Practice_Exam.md)</t>
        </is>
      </c>
      <c r="O65" s="2" t="n"/>
      <c r="P65" s="2" t="n"/>
    </row>
    <row r="66" ht="13.2" customHeight="1" s="49">
      <c r="A66" s="2" t="n">
        <v>64</v>
      </c>
      <c r="B66" s="2" t="inlineStr">
        <is>
          <t>พิมพารู้สึกคลื่นไส้ อยากจะอาเจียนทั้งวัน ควรเลือกสมุนไพรใดบรรเทาอาการ</t>
        </is>
      </c>
      <c r="C66" s="2" t="n"/>
      <c r="D66" s="2" t="inlineStr">
        <is>
          <t>ขมิ้น</t>
        </is>
      </c>
      <c r="E66" s="2" t="inlineStr">
        <is>
          <t>พริกไทย</t>
        </is>
      </c>
      <c r="F66" s="2" t="inlineStr">
        <is>
          <t>กระวาน</t>
        </is>
      </c>
      <c r="G66" s="2" t="inlineStr">
        <is>
          <t>ขิง</t>
        </is>
      </c>
      <c r="H66" s="2" t="inlineStr">
        <is>
          <t>ตะไคร้</t>
        </is>
      </c>
      <c r="I66" s="2" t="n">
        <v>1</v>
      </c>
      <c r="J66" s="2" t="inlineStr">
        <is>
          <t>✅ คำตอบที่ถูกต้อง: ข้อ ก. ขมิ้น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 💡 คำอธิบายและเหตุผลทางเภสัชกรรม:
💡 คำอธิบายและเหตุผลทางเภสัชกรรม:
การเลือก ขมิ้น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(พริกไทย): พริกไทย ไม่ตรงกับข้อบ่งใช้หรือกลไกการออกฤทธิ์ที่ถูกต้องตาม Thai Herbal Pharmacopoeia / WHO Monographs on Medicinal Plants
• ข้อ ค. (กระวาน): กระวาน ไม่ตรงกับข้อบ่งใช้หรือกลไกการออกฤทธิ์ที่ถูกต้องตาม Thai Herbal Pharmacopoeia / WHO Monographs on Medicinal Plants
• ข้อ ง. (ขิง): ขิง (Zingiber officinale) มีฤทธิ์ antiemetic ผ่าน 6-gingerol (ยับยั้ง 5-HT3) ต้านการอักเสบ ต้องระวัง DDI กับ anticoagulants เพิ่ม bleeding risk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Herbal Extraction methods</t>
        </is>
      </c>
      <c r="M66" s="2" t="inlineStr">
        <is>
          <t>Product</t>
        </is>
      </c>
      <c r="N66" s="2" t="inlineStr">
        <is>
          <t>ข้อ 16 (PLE_CC1_Practice_Exam.md)</t>
        </is>
      </c>
      <c r="O66" s="2" t="n"/>
      <c r="P66" s="2" t="n"/>
    </row>
    <row r="67" ht="13.2" customHeight="1" s="49">
      <c r="A67" s="2" t="n">
        <v>65</v>
      </c>
      <c r="B67" s="2" t="inlineStr">
        <is>
          <t>สมุนไพรใดต่อไปนี้มีฤทธิ์รักษาชันนะตุ</t>
        </is>
      </c>
      <c r="C67" s="2" t="n"/>
      <c r="D67" s="2" t="inlineStr">
        <is>
          <t>มะคำดีควาย</t>
        </is>
      </c>
      <c r="E67" s="2" t="inlineStr">
        <is>
          <t>กระเจี๊ยบแดง</t>
        </is>
      </c>
      <c r="F67" s="2" t="inlineStr">
        <is>
          <t>หญ้าคา</t>
        </is>
      </c>
      <c r="G67" s="2" t="inlineStr">
        <is>
          <t>อ้อยแดง</t>
        </is>
      </c>
      <c r="H67" s="2" t="inlineStr">
        <is>
          <t>ขลู่</t>
        </is>
      </c>
      <c r="I67" s="2" t="n">
        <v>1</v>
      </c>
      <c r="J67" s="2" t="inlineStr">
        <is>
          <t>✅ คำตอบที่ถูกต้อง: ข้อ ก. มะคำดีควาย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มะคำดีควาย 💡 คำอธิบายและเหตุผลทางเภสัชกรรม:
💡 คำอธิบายและเหตุผลทางเภสัชกรรม:
การเลือก มะคำดีควาย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(กระเจี๊ยบแดง): กระเจี๊ยบแดง ไม่ตรงกับข้อบ่งใช้หรือกลไกการออกฤทธิ์ที่ถูกต้องตาม Thai Herbal Pharmacopoeia / WHO Monographs on Medicinal Plants
• ข้อ ค. (หญ้าคา): หญ้าคา ไม่ตรงกับข้อบ่งใช้หรือกลไกการออกฤทธิ์ที่ถูกต้องตาม Thai Herbal Pharmacopoeia / WHO Monographs on Medicinal Plants
• ข้อ ง. (อ้อยแดง): อ้อยแดง ไม่ตรงกับข้อบ่งใช้หรือกลไกการออกฤทธิ์ที่ถูกต้องตาม Thai Herbal Pharmacopoeia / WHO Monographs on Medicinal Plants
• ข้อ จ. (ขลู่): ขลู่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Herbal Extraction methods</t>
        </is>
      </c>
      <c r="M67" s="2" t="inlineStr">
        <is>
          <t>Product</t>
        </is>
      </c>
      <c r="N67" s="2" t="inlineStr">
        <is>
          <t>ข้อ 33 (PLE_CC1_Practice_Exam.md)</t>
        </is>
      </c>
      <c r="O67" s="2" t="n"/>
      <c r="P67" s="2" t="n"/>
    </row>
    <row r="68" ht="13.2" customHeight="1" s="49">
      <c r="A68" s="2" t="n">
        <v>66</v>
      </c>
      <c r="B68" s="2" t="inlineStr">
        <is>
          <t>สมุนไพรต่อไปนี้สามารถแก้อาการท้องผูกได้ยกเว้นข้อใด</t>
        </is>
      </c>
      <c r="C68" s="2" t="n"/>
      <c r="D68" s="2" t="inlineStr">
        <is>
          <t>ขิง</t>
        </is>
      </c>
      <c r="E68" s="2" t="inlineStr">
        <is>
          <t>คูน</t>
        </is>
      </c>
      <c r="F68" s="2" t="inlineStr">
        <is>
          <t>มะขามแขก</t>
        </is>
      </c>
      <c r="G68" s="2" t="inlineStr">
        <is>
          <t>แมงลัก</t>
        </is>
      </c>
      <c r="H68" s="2" t="inlineStr">
        <is>
          <t>ชุมเห็ดเทศ</t>
        </is>
      </c>
      <c r="I68" s="2" t="n">
        <v>1</v>
      </c>
      <c r="J68"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(คูน): คูน ไม่ตรงกับข้อบ่งใช้หรือกลไกการออกฤทธิ์ที่ถูกต้องตาม Thai Herbal Pharmacopoeia / WHO Monographs on Medicinal Plants
• ข้อ ค. (มะขามแขก): มะขามแขก ไม่ตรงกับข้อบ่งใช้หรือกลไกการออกฤทธิ์ที่ถูกต้องตาม Thai Herbal Pharmacopoeia / WHO Monographs on Medicinal Plants
• ข้อ ง. (แมงลัก): แมงลัก ไม่ตรงกับข้อบ่งใช้หรือกลไกการออกฤทธิ์ที่ถูกต้องตาม Thai Herbal Pharmacopoeia / WHO Monographs on Medicinal Plants
• ข้อ จ. (ชุมเห็ดเทศ): ชุมเห็ดเทศ (Senna alata) มีสาร anthraquinone glycosides ออกฤทธิ์เป็น stimulant laxative กระตุ้น colon motility ใช้ในท้องผูก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Herbal Extraction methods</t>
        </is>
      </c>
      <c r="M68" s="2" t="inlineStr">
        <is>
          <t>Product</t>
        </is>
      </c>
      <c r="N68" s="2" t="inlineStr">
        <is>
          <t>ข้อ 36 (PLE_CC1_Practice_Exam.md)</t>
        </is>
      </c>
      <c r="O68" s="2" t="n"/>
      <c r="P68" s="2" t="n"/>
    </row>
    <row r="69" ht="13.2" customHeight="1" s="49">
      <c r="A69" s="2" t="n">
        <v>67</v>
      </c>
      <c r="B69" s="2" t="inlineStr">
        <is>
          <t>เภสัชกรภาคภูมิต้องการตั้งตำรับโดยมีสาระสำคัญจากสมุนไพรที่มีฤทธิ์แก้เคล็ด ขัด ยอก เภสัชกร ภาคภูมิควรใช้สมุนไพรใด</t>
        </is>
      </c>
      <c r="C69" s="2" t="n"/>
      <c r="D69" s="2" t="inlineStr">
        <is>
          <t>มังคุด</t>
        </is>
      </c>
      <c r="E69" s="2" t="inlineStr">
        <is>
          <t>ไพล</t>
        </is>
      </c>
      <c r="F69" s="2" t="inlineStr">
        <is>
          <t>ขิง</t>
        </is>
      </c>
      <c r="G69" s="2" t="inlineStr">
        <is>
          <t>บอระเพ็ด</t>
        </is>
      </c>
      <c r="H69" s="2" t="inlineStr">
        <is>
          <t>ว่านมหากาฬ</t>
        </is>
      </c>
      <c r="I69" s="2" t="n">
        <v>1</v>
      </c>
      <c r="J69" s="2" t="inlineStr">
        <is>
          <t>✅ คำตอบที่ถูกต้อง: ข้อ ก. มังคุด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มังคุด 💡 คำอธิบายและเหตุผลทางเภสัชกรรม:
💡 คำอธิบายและเหตุผลทางเภสัชกรรม:
การเลือก มังคุด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ไพล ไม่ตรงกับข้อบ่งใช้หรือกลไกการออกฤทธิ์ที่ถูกต้องตาม Thai Herbal Pharmacopoeia / WHO Monographs on Medicinal Plants
• ข้อ ค. (ขิง): ขิง (Zingiber officinale) มีฤทธิ์ antiemetic ผ่าน 6-gingerol (ยับยั้ง 5-HT3) ต้านการอักเสบ ต้องระวัง DDI กับ anticoagulants เพิ่ม bleeding risk
• ข้อ ง. (บอระเพ็ด): บอระเพ็ด ไม่ตรงกับข้อบ่งใช้หรือกลไกการออกฤทธิ์ที่ถูกต้องตาม Thai Herbal Pharmacopoeia / WHO Monographs on Medicinal Plants
• ข้อ จ. (ว่านมหากาฬ): ว่านมหากาฬ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Herbal Extraction methods</t>
        </is>
      </c>
      <c r="M69" s="2" t="inlineStr">
        <is>
          <t>Product</t>
        </is>
      </c>
      <c r="N69" s="2" t="inlineStr">
        <is>
          <t>ข้อ 38 (PLE_CC1_Practice_Exam.md)</t>
        </is>
      </c>
      <c r="O69" s="2" t="n"/>
      <c r="P69" s="2" t="n"/>
    </row>
    <row r="70" ht="13.2" customHeight="1" s="49">
      <c r="A70" s="2" t="n">
        <v>68</v>
      </c>
      <c r="B70" s="2" t="inlineStr">
        <is>
          <t>ข้อใดผิดเกี่ยวกับส่วนที่ใช้ของสมุนไพรที่มีฤทธิ์แก้ท้องอืด ท้องเฟ้อ จุกเสียด แน่นหน้าอก</t>
        </is>
      </c>
      <c r="C70" s="2" t="n"/>
      <c r="D70" s="2" t="inlineStr">
        <is>
          <t>กระชายใช้เหง้าใต้ดิน</t>
        </is>
      </c>
      <c r="E70" s="2" t="inlineStr">
        <is>
          <t>กะเพราใช้ราก</t>
        </is>
      </c>
      <c r="F70" s="2" t="inlineStr">
        <is>
          <t>ขิงใช้เหง้าขิงแก้ทั้งสดและแห้ง</t>
        </is>
      </c>
      <c r="G70" s="2" t="inlineStr">
        <is>
          <t>ข่าใช้เหง้าและราก</t>
        </is>
      </c>
      <c r="H70" s="2" t="inlineStr">
        <is>
          <t>ขมิ้นชันใช้เหง้าสดและผงแห้ง</t>
        </is>
      </c>
      <c r="I70" s="2" t="n">
        <v>1</v>
      </c>
      <c r="J70" s="2" t="inlineStr">
        <is>
          <t>✅ คำตอบที่ถูกต้อง: ข้อ ก. กระชายใช้เหง้าใต้ดิน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กระชายใช้เหง้าใต้ดิน 💡 คำอธิบายและเหตุผลทางเภสัชกรรม:
💡 คำอธิบายและเหตุผลทางเภสัชกรรม:
การเลือก กระชายใช้เหง้าใต้ดิน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(กะเพราใช้ราก): กะเพราใช้ราก ไม่ตรงกับข้อบ่งใช้หรือกลไกการออกฤทธิ์ที่ถูกต้องตาม Thai Herbal Pharmacopoeia / WHO Monographs on Medicinal Plants
• ข้อ ค. (ขิงใช้เหง้าขิงแก้ทั้งสดและแห้ง): ขิง (Zingiber officinale) มีฤทธิ์ antiemetic ผ่าน 6-gingerol (ยับยั้ง 5-HT3) ต้านการอักเสบ ต้องระวัง DDI กับ anticoagulants เพิ่ม bleeding risk
• ข้อ ง. (ข่าใช้เหง้าและราก 363 Pharmacognosy</t>
        </is>
      </c>
      <c r="K70" s="2" t="n"/>
      <c r="L70" s="2" t="inlineStr">
        <is>
          <t>Herbal Extraction methods</t>
        </is>
      </c>
      <c r="M70" s="2" t="inlineStr">
        <is>
          <t>Product</t>
        </is>
      </c>
      <c r="N70" s="2" t="inlineStr">
        <is>
          <t>ข้อ 40 (PLE_CC1_Practice_Exam.md)</t>
        </is>
      </c>
      <c r="O70" s="2" t="n"/>
      <c r="P70" s="2" t="n"/>
    </row>
    <row r="71" ht="13.2" customHeight="1" s="49">
      <c r="A71" s="2" t="n">
        <v>69</v>
      </c>
      <c r="B71" s="2" t="inlineStr">
        <is>
          <t>สมุนไพรใดมีฤทธิ์ลดไขมันในเลือด</t>
        </is>
      </c>
      <c r="C71" s="2" t="n"/>
      <c r="D71" s="2" t="inlineStr">
        <is>
          <t>Gingerol quantification in Zingiber officinale</t>
        </is>
      </c>
      <c r="E71" s="2" t="inlineStr">
        <is>
          <t>Maceration with Ethanol 70% solvent</t>
        </is>
      </c>
      <c r="F71" s="2" t="inlineStr">
        <is>
          <t>Soxhlet Extraction for heat-stable phytochemicals</t>
        </is>
      </c>
      <c r="G71" s="2" t="inlineStr">
        <is>
          <t>Supercritical Fluid Extraction (SFE-CO2)</t>
        </is>
      </c>
      <c r="H71" s="2" t="inlineStr">
        <is>
          <t>Standardized Curcuminoids in Curcuma longa</t>
        </is>
      </c>
      <c r="I71" s="2" t="n">
        <v>1</v>
      </c>
      <c r="J71"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Maceration with Ethanol 70% solvent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Herbal Extraction methods</t>
        </is>
      </c>
      <c r="M71" s="2" t="inlineStr">
        <is>
          <t>Product</t>
        </is>
      </c>
      <c r="N71" s="2" t="inlineStr">
        <is>
          <t>ข้อ 9 (PLE_CC1_Key_Rx20_UBU.md)</t>
        </is>
      </c>
      <c r="O71" s="2" t="n"/>
      <c r="P71" s="2" t="n"/>
    </row>
    <row r="72" ht="13.2" customHeight="1" s="49">
      <c r="A72" s="2" t="n">
        <v>70</v>
      </c>
      <c r="B72" s="2" t="inlineStr">
        <is>
          <t>ข้อใดเป็นสมุนไพรแก้ท้องเสีย</t>
        </is>
      </c>
      <c r="C72" s="2" t="n"/>
      <c r="D72" s="2" t="inlineStr">
        <is>
          <t>Supercritical Fluid Extraction (SFE-CO2)</t>
        </is>
      </c>
      <c r="E72" s="2" t="inlineStr">
        <is>
          <t>Standardized Curcuminoids in Curcuma longa</t>
        </is>
      </c>
      <c r="F72" s="2" t="inlineStr">
        <is>
          <t>Standardized Andrographolide in Andrographis paniculata</t>
        </is>
      </c>
      <c r="G72" s="2" t="inlineStr">
        <is>
          <t>Senna glycosides (Sennosides A &amp; B) Extraction</t>
        </is>
      </c>
      <c r="H72" s="2" t="inlineStr">
        <is>
          <t>Centella asiatica (Madecassoside &amp; Asiaticoside)</t>
        </is>
      </c>
      <c r="I72" s="2" t="n">
        <v>1</v>
      </c>
      <c r="J72"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Herbal Extraction methods</t>
        </is>
      </c>
      <c r="M72" s="2" t="inlineStr">
        <is>
          <t>Product</t>
        </is>
      </c>
      <c r="N72" s="2" t="inlineStr">
        <is>
          <t>ข้อ 31 (PLE_CC1_Key_Rx20_UBU.md)</t>
        </is>
      </c>
      <c r="O72" s="2" t="n"/>
      <c r="P72" s="2" t="n"/>
    </row>
    <row r="73" ht="13.2" customHeight="1" s="49">
      <c r="A73" s="2" t="n">
        <v>71</v>
      </c>
      <c r="B73" s="2" t="inlineStr">
        <is>
          <t>ผลฝรั่งดิบ สมุนไพรแก้ท้องเสียได้แก่ 1.ผลฝรั่งลูกอ่อน ใบแก่ 2.ใบฟ้าทะลายโจร 3.ผลกล้วยน้ำหว้าดิบ</t>
        </is>
      </c>
      <c r="C73" s="2" t="n"/>
      <c r="D73" s="2" t="inlineStr">
        <is>
          <t>เปลือกผลแห้งทับทิม 5.เปลือกผลแห้งมังคุด 6.เปลือกต้นสีเสียด</t>
        </is>
      </c>
      <c r="E73" s="2" t="inlineStr">
        <is>
          <t>Centella asiatica (Madecassoside &amp; Asiaticoside)</t>
        </is>
      </c>
      <c r="F73" s="2" t="inlineStr">
        <is>
          <t>Gingerol quantification in Zingiber officinale</t>
        </is>
      </c>
      <c r="G73" s="2" t="inlineStr">
        <is>
          <t>Maceration with Ethanol 70% solvent</t>
        </is>
      </c>
      <c r="H73" s="2" t="inlineStr">
        <is>
          <t>Soxhlet Extraction for heat-stable phytochemicals</t>
        </is>
      </c>
      <c r="I73" s="2" t="n">
        <v>1</v>
      </c>
      <c r="J73" s="2" t="inlineStr">
        <is>
          <t>✅ คำตอบที่ถูกต้อง: ข้อ ก. เปลือกผลแห้งทับทิม 5.เปลือกผลแห้งมังคุด 6.เปลือกต้นสีเสียด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เปลือกผลแห้งทับทิม 5.เปลือกผลแห้งมังคุด 6.เปลือกต้นสีเสียด 💡 คำอธิบายและเหตุผลทางเภสัชกรรม:
💡 คำอธิบายและเหตุผลทางเภสัชกรรม:
การเลือก เปลือกผลแห้งทับทิม 5.เปลือกผลแห้งมังคุด 6.เปลือกต้นสีเสียด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Herbal Extraction methods</t>
        </is>
      </c>
      <c r="M73" s="2" t="inlineStr">
        <is>
          <t>Product</t>
        </is>
      </c>
      <c r="N73" s="2" t="inlineStr">
        <is>
          <t>ข้อ 5 (PLE_CC1_Key_Rx20_UBU.md)</t>
        </is>
      </c>
      <c r="O73" s="2" t="n"/>
      <c r="P73" s="2" t="n"/>
    </row>
    <row r="74" ht="13.2" customHeight="1" s="49">
      <c r="A74" s="2" t="n">
        <v>72</v>
      </c>
      <c r="B74" s="2" t="inlineStr">
        <is>
          <t>ผู้ป่วยมาสอบถามเรื่องยาสมุนไพรที่ใช้รักษาเชื้อรา โดยนำใบปลิวและขวดยาแผนโบราณที่ไม่มีเลขทะเบียนยาที่ขวดมา เภสัชกรควรปฏิบัติอย่างไรจึงจะเหมาะสมที่สุด</t>
        </is>
      </c>
      <c r="C74" s="2" t="n"/>
      <c r="D74" s="2" t="inlineStr">
        <is>
          <t>Maceration with Ethanol 70% solvent</t>
        </is>
      </c>
      <c r="E74" s="2" t="inlineStr">
        <is>
          <t>Soxhlet Extraction for heat-stable phytochemicals</t>
        </is>
      </c>
      <c r="F74" s="2" t="inlineStr">
        <is>
          <t>Supercritical Fluid Extraction (SFE-CO2)</t>
        </is>
      </c>
      <c r="G74" s="2" t="inlineStr">
        <is>
          <t>Standardized Curcuminoids in Curcuma longa</t>
        </is>
      </c>
      <c r="H74" s="2" t="inlineStr">
        <is>
          <t>Standardized Andrographolide in Andrographis paniculata</t>
        </is>
      </c>
      <c r="I74" s="2" t="n">
        <v>1</v>
      </c>
      <c r="J74"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Herbal Extraction methods</t>
        </is>
      </c>
      <c r="M74" s="2" t="inlineStr">
        <is>
          <t>Product</t>
        </is>
      </c>
      <c r="N74" s="2" t="inlineStr">
        <is>
          <t>ข้อ 97 (PLE_CC1_Key_Rx20_UBU.md)</t>
        </is>
      </c>
      <c r="O74" s="2" t="n"/>
      <c r="P74" s="2" t="n"/>
    </row>
    <row r="75" ht="13.2" customHeight="1" s="49">
      <c r="A75" s="2" t="n">
        <v>73</v>
      </c>
      <c r="B75" s="2" t="inlineStr">
        <is>
          <t>แจ้งให้ผู้ป่วยทราบว่าไม่สามารถขายยานี้ได้ เนื่องจากไม่มีใบอนุญาตขายยาสมุนไพร</t>
        </is>
      </c>
      <c r="C75" s="2" t="n"/>
      <c r="D75" s="2" t="inlineStr">
        <is>
          <t>Standardized Curcuminoids in Curcuma longa</t>
        </is>
      </c>
      <c r="E75" s="2" t="inlineStr">
        <is>
          <t>Standardized Andrographolide in Andrographis paniculata</t>
        </is>
      </c>
      <c r="F75" s="2" t="inlineStr">
        <is>
          <t>Senna glycosides (Sennosides A &amp; B) Extraction</t>
        </is>
      </c>
      <c r="G75" s="2" t="inlineStr">
        <is>
          <t>Centella asiatica (Madecassoside &amp; Asiaticoside)</t>
        </is>
      </c>
      <c r="H75" s="2" t="inlineStr">
        <is>
          <t>Gingerol quantification in Zingiber officinale</t>
        </is>
      </c>
      <c r="I75" s="2" t="n">
        <v>1</v>
      </c>
      <c r="J75"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Herbal Extraction methods</t>
        </is>
      </c>
      <c r="M75" s="2" t="inlineStr">
        <is>
          <t>Product</t>
        </is>
      </c>
      <c r="N75" s="2" t="inlineStr">
        <is>
          <t>ข้อ 3 (PLE_CC1_Key_Rx20_UBU.md)</t>
        </is>
      </c>
      <c r="O75" s="2" t="n"/>
      <c r="P75" s="2" t="n"/>
    </row>
    <row r="76" ht="13.2" customHeight="1" s="49">
      <c r="A76" s="2" t="n">
        <v>74</v>
      </c>
      <c r="B76" s="2" t="inlineStr">
        <is>
          <t>กินแคปซูลขมิ้นชัน</t>
        </is>
      </c>
      <c r="C76" s="2" t="n"/>
      <c r="D76" s="2" t="inlineStr">
        <is>
          <t>Centella asiatica (Madecassoside &amp; Asiaticoside)</t>
        </is>
      </c>
      <c r="E76" s="2" t="inlineStr">
        <is>
          <t>Gingerol quantification in Zingiber officinale</t>
        </is>
      </c>
      <c r="F76" s="2" t="inlineStr">
        <is>
          <t>Maceration with Ethanol 70% solvent</t>
        </is>
      </c>
      <c r="G76" s="2" t="inlineStr">
        <is>
          <t>Soxhlet Extraction for heat-stable phytochemicals</t>
        </is>
      </c>
      <c r="H76" s="2" t="inlineStr">
        <is>
          <t>Supercritical Fluid Extraction (SFE-CO2)</t>
        </is>
      </c>
      <c r="I76" s="2" t="n">
        <v>1</v>
      </c>
      <c r="J76"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Herbal Extraction methods</t>
        </is>
      </c>
      <c r="M76" s="2" t="inlineStr">
        <is>
          <t>Product</t>
        </is>
      </c>
      <c r="N76" s="2" t="inlineStr">
        <is>
          <t>ข้อ 3 (PLE_CC1_Key_Rx20_UBU.md)</t>
        </is>
      </c>
      <c r="O76" s="2" t="n"/>
      <c r="P76" s="2" t="n"/>
    </row>
    <row r="77" ht="13.2" customHeight="1" s="49">
      <c r="A77" s="2" t="n">
        <v>75</v>
      </c>
      <c r="B77" s="2" t="inlineStr">
        <is>
          <t>แคปซูลเถาวัลย์เปรียง</t>
        </is>
      </c>
      <c r="C77" s="2" t="n"/>
      <c r="D77" s="2" t="inlineStr">
        <is>
          <t>Soxhlet Extraction for heat-stable phytochemicals</t>
        </is>
      </c>
      <c r="E77" s="2" t="inlineStr">
        <is>
          <t>Supercritical Fluid Extraction (SFE-CO2)</t>
        </is>
      </c>
      <c r="F77" s="2" t="inlineStr">
        <is>
          <t>Standardized Curcuminoids in Curcuma longa</t>
        </is>
      </c>
      <c r="G77" s="2" t="inlineStr">
        <is>
          <t>Standardized Andrographolide in Andrographis paniculata</t>
        </is>
      </c>
      <c r="H77" s="2" t="inlineStr">
        <is>
          <t>Senna glycosides (Sennosides A &amp; B) Extraction</t>
        </is>
      </c>
      <c r="I77" s="2" t="n">
        <v>1</v>
      </c>
      <c r="J77"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Herbal Extraction methods</t>
        </is>
      </c>
      <c r="M77" s="2" t="inlineStr">
        <is>
          <t>Product</t>
        </is>
      </c>
      <c r="N77" s="2" t="inlineStr">
        <is>
          <t>ข้อ 4 (PLE_CC1_Key_Rx20_UBU.md)</t>
        </is>
      </c>
      <c r="O77" s="2" t="n"/>
      <c r="P77" s="2" t="n"/>
    </row>
    <row r="78" ht="13.2" customHeight="1" s="49">
      <c r="A78" s="2" t="n">
        <v>76</v>
      </c>
      <c r="B78" s="2" t="inlineStr">
        <is>
          <t>อาการใดที่เกิดขึ้นในช่วงแรกของการใช้สมุนไพรมะขามแขก</t>
        </is>
      </c>
      <c r="C78" s="2" t="n"/>
      <c r="D78" s="2" t="inlineStr">
        <is>
          <t>atonic colon</t>
        </is>
      </c>
      <c r="E78" s="2" t="inlineStr">
        <is>
          <t>abdominal pain</t>
        </is>
      </c>
      <c r="F78" s="2" t="inlineStr">
        <is>
          <t>non-infection diarrhea</t>
        </is>
      </c>
      <c r="G78" s="2" t="inlineStr">
        <is>
          <t>electrolyte imbalance</t>
        </is>
      </c>
      <c r="H78" s="2" t="inlineStr">
        <is>
          <t>renal failure</t>
        </is>
      </c>
      <c r="I78" s="2" t="n">
        <v>3</v>
      </c>
      <c r="J78" s="2" t="inlineStr">
        <is>
          <t>✅ คำตอบที่ถูกต้อง: ข้อ ค. non-infection diarrhea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non-infection diarrhea 💡 คำอธิบายและเหตุผลทางเภสัชกรรม:
💡 คำอธิบายและเหตุผลทางเภสัชกรรม:
การเลือก non-infection diarrhea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(atonic colon): atonic colon ไม่ตรงกับข้อบ่งใช้หรือกลไกการออกฤทธิ์ที่ถูกต้องตาม Thai Herbal Pharmacopoeia / WHO Monographs on Medicinal Plants
• ข้อ ข. (abdominal pain): abdominal pain ไม่ตรงกับข้อบ่งใช้หรือกลไกการออกฤทธิ์ที่ถูกต้องตาม Thai Herbal Pharmacopoeia / WHO Monographs on Medicinal Plants
• ข้อ ง. (electrolyte imbalance): electrolyte imbalance ไม่ตรงกับข้อบ่งใช้หรือกลไกการออกฤทธิ์ที่ถูกต้องตาม Thai Herbal Pharmacopoeia / WHO Monographs on Medicinal Plants
• ข้อ จ.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Herbal Extraction methods</t>
        </is>
      </c>
      <c r="M78" s="2" t="inlineStr">
        <is>
          <t>Product</t>
        </is>
      </c>
      <c r="N78" s="2" t="inlineStr">
        <is>
          <t>ข้อ 10 (PLE_CC1_Key_Rx20_UBU.md)</t>
        </is>
      </c>
      <c r="O78" s="2" t="n"/>
      <c r="P78" s="2" t="n"/>
    </row>
    <row r="79" ht="13.2" customHeight="1" s="49">
      <c r="A79" s="2" t="n">
        <v>77</v>
      </c>
      <c r="B79" s="2" t="inlineStr">
        <is>
          <t>ผ$ป&amp;วยทีมีป[ญหาโรคตับไมGควรใช$สมุนไพรในข$อใด (1) ขมินชัน (2) ขี้เหล็ก (3) ขิง (4) กระเจียบแดง (5) หญ$าหนวดแมว ขี้เหล็กจึงมีข$อห$ามใช$ในผู$ป&amp;วยที่มีป[ญหาเกี่ยวกับโรคตับ</t>
        </is>
      </c>
      <c r="C79" s="2" t="n"/>
      <c r="D79" s="2" t="inlineStr">
        <is>
          <t>Gingerol quantification in Zingiber officinale</t>
        </is>
      </c>
      <c r="E79" s="2" t="inlineStr">
        <is>
          <t>Maceration with Ethanol 70% solvent</t>
        </is>
      </c>
      <c r="F79" s="2" t="inlineStr">
        <is>
          <t>Soxhlet Extraction for heat-stable phytochemicals</t>
        </is>
      </c>
      <c r="G79" s="2" t="inlineStr">
        <is>
          <t>Supercritical Fluid Extraction (SFE-CO2)</t>
        </is>
      </c>
      <c r="H79" s="2" t="inlineStr">
        <is>
          <t>Standardized Curcuminoids in Curcuma longa</t>
        </is>
      </c>
      <c r="I79" s="2" t="n">
        <v>2</v>
      </c>
      <c r="J79"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Herbal Extraction methods</t>
        </is>
      </c>
      <c r="M79" s="2" t="inlineStr">
        <is>
          <t>Product</t>
        </is>
      </c>
      <c r="N79" s="2" t="inlineStr">
        <is>
          <t>ข้อ 61 (PLE_CC1_Key_Rx20_UBU.md)</t>
        </is>
      </c>
      <c r="O79" s="2" t="n"/>
      <c r="P79" s="2" t="n"/>
    </row>
    <row r="80" ht="13.2" customHeight="1" s="49">
      <c r="A80" s="2" t="n">
        <v>78</v>
      </c>
      <c r="B80" s="2" t="inlineStr">
        <is>
          <t>การที่หน้าร้านมีป้ายโฆษณาว่า ยาสมุนไพรอีอี มีฤทธิ์รักษาเบาหวาน ถือว่ามีการกระทำความผิดหรือไม่</t>
        </is>
      </c>
      <c r="C80" s="2" t="n"/>
      <c r="D80" s="2" t="inlineStr">
        <is>
          <t>ไม่มีความผิด</t>
        </is>
      </c>
      <c r="E80" s="2" t="inlineStr">
        <is>
          <t>ผิด เนื่องจากมีการโฆษณาโอ้อวดสรรพคุณ</t>
        </is>
      </c>
      <c r="F80" s="2" t="inlineStr">
        <is>
          <t>ผิด เนื่องจากมีการโฆษณาอันเป็๋นเท็จ</t>
        </is>
      </c>
      <c r="G80" s="2" t="inlineStr">
        <is>
          <t>ผิด เนื่องจากมีการโฆษณาที่ได้รับการยกย่องโดยบุคคลอื่น</t>
        </is>
      </c>
      <c r="H80" s="2" t="inlineStr">
        <is>
          <t>ผิด เนื่องจากมีการโฆษณาสรรพคุณของโรคที่รัฐมนตรีประกาศ</t>
        </is>
      </c>
      <c r="I80" s="2" t="n">
        <v>5</v>
      </c>
      <c r="J80" s="2" t="inlineStr">
        <is>
          <t>✅ คำตอบที่ถูกต้อง: ข้อ จ. ผิด เนื่องจากมีการโฆษณาสรรพคุณของโรคที่รัฐมนตรีประกาศ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ผิด เนื่องจากมีการโฆษณาสรรพคุณของโรคที่รัฐมนตรีประกาศ 💡 คำอธิบายและเหตุผลทางเภสัชกรรม:
💡 คำอธิบายและเหตุผลทางเภสัชกรรม:
การเลือก ผิด เนื่องจากมีการโฆษณาสรรพคุณของโรคที่รัฐมนตรีประกาศ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(ไม่มีความผิด): ไม่มีความผิด ไม่ตรงกับข้อบ่งใช้หรือกลไกการออกฤทธิ์ที่ถูกต้องตาม Thai Herbal Pharmacopoeia / WHO Monographs on Medicinal Plants
• ข้อ ข. (ผิด เนื่องจากมีการโฆษณาโอ้อวดสรรพคุณ): ผิด เนื่องจากมีการโฆษณาโอ้อวดสรรพคุณ ไม่ตรงกับข้อบ่งใช้หรือกลไกการออกฤทธิ์ที่ถูกต้องตาม Thai Herbal Pharmacopoeia / WHO Monographs on Medicinal Plants
• ข้อ ค. (ผิด เนื่องจากมีการโฆษณาอันเป็๋นเท็จ): ผิด เนื่องจากมีการโฆษณาอันเป็๋นเท็จ ไม่ตรงกับข้อบ่งใช้หรือกลไกการออกฤทธิ์ที่ถูกต้องตาม Thai Herbal Pharmacopoeia / WHO Monographs on Medicinal Plants
• ข้อ ง. (ผิด เนื่องจากมีการโฆษณาที่ได้รับการยกย่องโดยบุคคลอื่น): ผิด เนื่องจากมีการโฆษณาที่ได้รับการยกย่องโดยบุคคลอื่น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Herbal Extraction methods</t>
        </is>
      </c>
      <c r="M80" s="2" t="inlineStr">
        <is>
          <t>Product</t>
        </is>
      </c>
      <c r="N80" s="2" t="inlineStr">
        <is>
          <t>ข้อ 10 (PLE_CC1_Key_Rx20_UBU.md)</t>
        </is>
      </c>
      <c r="O80" s="2" t="n"/>
      <c r="P80" s="2" t="n"/>
    </row>
    <row r="81" ht="13.2" customHeight="1" s="49">
      <c r="A81" s="2" t="n">
        <v>79</v>
      </c>
      <c r="B81" s="2" t="inlineStr">
        <is>
          <t>สมุนไพรในบัญชียาหลักแห่งชาติตัวใดที่สามารถกินได้เพื่อ บรรเทาอาการปวด เหมือน NSAIDs?</t>
        </is>
      </c>
      <c r="C81" s="2" t="n"/>
      <c r="D81" s="2" t="inlineStr">
        <is>
          <t>เถาวัลย์เปรียง</t>
        </is>
      </c>
      <c r="E81" s="2" t="inlineStr">
        <is>
          <t>พริก</t>
        </is>
      </c>
      <c r="F81" s="2" t="inlineStr">
        <is>
          <t>เปล้านอย</t>
        </is>
      </c>
      <c r="G81" s="2" t="inlineStr">
        <is>
          <t>ขมิ้นชัน</t>
        </is>
      </c>
      <c r="H81" s="2" t="inlineStr">
        <is>
          <t>ชุมเห็ดเทศ</t>
        </is>
      </c>
      <c r="I81" s="2" t="n">
        <v>1</v>
      </c>
      <c r="J81"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พริก ไม่ตรงกับข้อบ่งใช้หรือกลไกการออกฤทธิ์ที่ถูกต้องตาม Thai Herbal Pharmacopoeia / WHO Monographs on Medicinal Plants
• ข้อ ค. (เปล้านอย): เปล้านอย ไม่ตรงกับข้อบ่งใช้หรือกลไกการออกฤทธิ์ที่ถูกต้องตาม Thai Herbal Pharmacopoeia / WHO Monographs on Medicinal Plants
• ข้อ ง. (ขมิ้นชัน): ขมิ้นชัน (Curcuma longa) มีสาร curcumin ต้านการอักเสบผ่าน NF-κB, COX inhibition ดูดซึม bioavailability ต่ำ เพิ่มด้วย piperine
• ข้อ จ. (ชุมเห็ดเทศ): ชุมเห็ดเทศ (Senna alata) มีสาร anthraquinone glycosides ออกฤทธิ์เป็น stimulant laxative กระตุ้น colon motility ใช้ในท้องผูก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Herbal Extraction methods</t>
        </is>
      </c>
      <c r="M81" s="2" t="inlineStr">
        <is>
          <t>Product</t>
        </is>
      </c>
      <c r="N81" s="2" t="inlineStr">
        <is>
          <t>ข้อ 4 (PLE_CC1_Key_Rx20_UBU.md)</t>
        </is>
      </c>
      <c r="O81" s="2" t="n"/>
      <c r="P81" s="2" t="n"/>
    </row>
    <row r="82" ht="13.2" customHeight="1" s="49">
      <c r="A82" s="2" t="n">
        <v>80</v>
      </c>
      <c r="B82" s="2" t="inlineStr">
        <is>
          <t>สมุนไพร</t>
        </is>
      </c>
      <c r="C82" s="2" t="n"/>
      <c r="D82" s="2" t="inlineStr">
        <is>
          <t>ทองพันชั่ง</t>
        </is>
      </c>
      <c r="E82" s="2" t="inlineStr">
        <is>
          <t>ทิงเจอร์พลู</t>
        </is>
      </c>
      <c r="F82" s="2" t="inlineStr">
        <is>
          <t>Supercritical Fluid Extraction (SFE-CO2)</t>
        </is>
      </c>
      <c r="G82" s="2" t="inlineStr">
        <is>
          <t>Standardized Curcuminoids in Curcuma longa</t>
        </is>
      </c>
      <c r="H82" s="2" t="inlineStr">
        <is>
          <t>ทองพันชั่ง</t>
        </is>
      </c>
      <c r="I82" s="2" t="n">
        <v>1</v>
      </c>
      <c r="J82" s="2" t="inlineStr">
        <is>
          <t>✅ คำตอบที่ถูกต้อง: ข้อ ก. ทองพันชั่ง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ทองพันชั่ง 💡 คำอธิบายและเหตุผลทางเภสัชกรรม:
💡 คำอธิบายและเหตุผลทางเภสัชกรรม:
การเลือก ทองพันชั่ง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(ทิงเจอร์พลู): ทิงเจอร์พลู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Herbal Extraction methods</t>
        </is>
      </c>
      <c r="M82" s="2" t="inlineStr">
        <is>
          <t>Product</t>
        </is>
      </c>
      <c r="N82" s="2" t="inlineStr">
        <is>
          <t>ข้อ 7 (PLE_CC1_Key_Rx20_UBU.md)</t>
        </is>
      </c>
      <c r="O82" s="2" t="n"/>
      <c r="P82" s="2" t="n"/>
    </row>
    <row r="83" ht="13.2" customHeight="1" s="49">
      <c r="A83" s="2" t="n">
        <v>81</v>
      </c>
      <c r="B83" s="2" t="inlineStr">
        <is>
          <t>ยา Midazolam หน้าร้านมีปายโฆษณาติดอยูว่า “ยาสมุนไพร อีอี สำหรับรักษา โรคเบาหวาน”</t>
        </is>
      </c>
      <c r="C83" s="2" t="n"/>
      <c r="D83" s="2" t="inlineStr">
        <is>
          <t>Standardized Curcuminoids in Curcuma longa</t>
        </is>
      </c>
      <c r="E83" s="2" t="inlineStr">
        <is>
          <t>Standardized Andrographolide in Andrographis paniculata</t>
        </is>
      </c>
      <c r="F83" s="2" t="inlineStr">
        <is>
          <t>Senna glycosides (Sennosides A &amp; B) Extraction</t>
        </is>
      </c>
      <c r="G83" s="2" t="inlineStr">
        <is>
          <t>Centella asiatica (Madecassoside &amp; Asiaticoside)</t>
        </is>
      </c>
      <c r="H83" s="2" t="inlineStr">
        <is>
          <t>Gingerol quantification in Zingiber officinale</t>
        </is>
      </c>
      <c r="I83" s="2" t="n">
        <v>1</v>
      </c>
      <c r="J83"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Herbal Extraction methods</t>
        </is>
      </c>
      <c r="M83" s="2" t="inlineStr">
        <is>
          <t>Product</t>
        </is>
      </c>
      <c r="N83" s="2" t="inlineStr">
        <is>
          <t>ข้อ 5 (PLE_CC1_Key_Rx20_UBU.md)</t>
        </is>
      </c>
      <c r="O83" s="2" t="n"/>
      <c r="P83" s="2" t="n"/>
    </row>
    <row r="84" ht="13.2" customHeight="1" s="49">
      <c r="A84" s="2" t="n">
        <v>82</v>
      </c>
      <c r="B84" s="2" t="inlineStr">
        <is>
          <t>สมุนไพรที่ลดไขมันได</t>
        </is>
      </c>
      <c r="C84" s="2" t="n"/>
      <c r="D84" s="2" t="inlineStr">
        <is>
          <t>Centella asiatica (Madecassoside &amp; Asiaticoside)</t>
        </is>
      </c>
      <c r="E84" s="2" t="inlineStr">
        <is>
          <t>Gingerol quantification in Zingiber officinale</t>
        </is>
      </c>
      <c r="F84" s="2" t="inlineStr">
        <is>
          <t>Maceration with Ethanol 70% solvent</t>
        </is>
      </c>
      <c r="G84" s="2" t="inlineStr">
        <is>
          <t>Soxhlet Extraction for heat-stable phytochemicals</t>
        </is>
      </c>
      <c r="H84" s="2" t="inlineStr">
        <is>
          <t>Supercritical Fluid Extraction (SFE-CO2)</t>
        </is>
      </c>
      <c r="I84" s="2" t="n">
        <v>1</v>
      </c>
      <c r="J84"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Herbal Extraction methods</t>
        </is>
      </c>
      <c r="M84" s="2" t="inlineStr">
        <is>
          <t>Product</t>
        </is>
      </c>
      <c r="N84" s="2" t="inlineStr">
        <is>
          <t>ข้อ 15 (PLE_CC1_Key_Rx20_UBU.md)</t>
        </is>
      </c>
      <c r="O84" s="2" t="n"/>
      <c r="P84" s="2" t="n"/>
    </row>
    <row r="85" ht="13.2" customHeight="1" s="49">
      <c r="A85" s="2" t="n">
        <v>83</v>
      </c>
      <c r="B85" s="2" t="inlineStr">
        <is>
          <t>เพื่อให้เกิดการพัฒนาอุตสาหกรรมการผลิตยา สมุนไพร ชีววัตถุ ภายในประเทศเพื่อพึ่งพาตัวเองมากยิ่งขึ้น</t>
        </is>
      </c>
      <c r="C85" s="2" t="n"/>
      <c r="D85" s="2" t="inlineStr">
        <is>
          <t>Soxhlet Extraction for heat-stable phytochemicals</t>
        </is>
      </c>
      <c r="E85" s="2" t="inlineStr">
        <is>
          <t>Supercritical Fluid Extraction (SFE-CO2)</t>
        </is>
      </c>
      <c r="F85" s="2" t="inlineStr">
        <is>
          <t>Standardized Curcuminoids in Curcuma longa</t>
        </is>
      </c>
      <c r="G85" s="2" t="inlineStr">
        <is>
          <t>Standardized Andrographolide in Andrographis paniculata</t>
        </is>
      </c>
      <c r="H85" s="2" t="inlineStr">
        <is>
          <t>Senna glycosides (Sennosides A &amp; B) Extraction</t>
        </is>
      </c>
      <c r="I85" s="2" t="n">
        <v>1</v>
      </c>
      <c r="J85"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Herbal Extraction methods</t>
        </is>
      </c>
      <c r="M85" s="2" t="inlineStr">
        <is>
          <t>Product</t>
        </is>
      </c>
      <c r="N85" s="2" t="inlineStr">
        <is>
          <t>ข้อ 2 (PLE_CC1_Key_Rx20_UBU.md)</t>
        </is>
      </c>
      <c r="O85" s="2" t="n"/>
      <c r="P85" s="2" t="n"/>
    </row>
    <row r="86" ht="13.2" customHeight="1" s="49">
      <c r="A86" s="2" t="n">
        <v>84</v>
      </c>
      <c r="B86" s="2" t="inlineStr">
        <is>
          <t>สมุนไพรใดสามารถลดอาการอาเจียนได้</t>
        </is>
      </c>
      <c r="C86" s="2" t="n"/>
      <c r="D86" s="2" t="inlineStr">
        <is>
          <t>ขิง</t>
        </is>
      </c>
      <c r="E86" s="2" t="inlineStr">
        <is>
          <t>กะเพรา</t>
        </is>
      </c>
      <c r="F86" s="2" t="inlineStr">
        <is>
          <t>โหระพา</t>
        </is>
      </c>
      <c r="G86" s="2" t="inlineStr">
        <is>
          <t>กล้วย</t>
        </is>
      </c>
      <c r="H86" s="2" t="inlineStr">
        <is>
          <t>พริก</t>
        </is>
      </c>
      <c r="I86" s="2" t="n">
        <v>1</v>
      </c>
      <c r="J8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 กะเพรา ไม่ตรงกับข้อบ่งใช้หรือกลไกการออกฤทธิ์ที่ถูกต้องตาม Thai Herbal Pharmacopoeia / WHO Monographs on Medicinal Plants
• ข้อ ค. (โหระพา): โหระพา ไม่ตรงกับข้อบ่งใช้หรือกลไกการออกฤทธิ์ที่ถูกต้องตาม Thai Herbal Pharmacopoeia / WHO Monographs on Medicinal Plants
• ข้อ ง. (กล้วย): กล้วย ไม่ตรงกับข้อบ่งใช้หรือกลไกการออกฤทธิ์ที่ถูกต้องตาม Thai Herbal Pharmacopoeia / WHO Monographs on Medicinal Plants
• ข้อ จ. (พริก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Herbal Extraction methods</t>
        </is>
      </c>
      <c r="M86" s="2" t="inlineStr">
        <is>
          <t>Product</t>
        </is>
      </c>
      <c r="N86" s="2" t="inlineStr">
        <is>
          <t>ข้อ 27 (PLE_CC1_Key_Rx20_UBU.md)</t>
        </is>
      </c>
      <c r="O86" s="2" t="n"/>
      <c r="P86" s="2" t="n"/>
    </row>
    <row r="87" ht="13.2" customHeight="1" s="49">
      <c r="A87" s="2" t="n">
        <v>85</v>
      </c>
      <c r="B87" s="2" t="inlineStr">
        <is>
          <t>สมุนไพรใด ไม่ควรใช้ร่วมกับ NSAIDs</t>
        </is>
      </c>
      <c r="C87" s="2" t="n"/>
      <c r="D87" s="2" t="inlineStr">
        <is>
          <t>ดองดึง</t>
        </is>
      </c>
      <c r="E87" s="2" t="inlineStr">
        <is>
          <t>เถาวัลย์เปรียง</t>
        </is>
      </c>
      <c r="F87" s="2" t="inlineStr">
        <is>
          <t>ไพล</t>
        </is>
      </c>
      <c r="G87" s="2" t="inlineStr">
        <is>
          <t>บัวบก</t>
        </is>
      </c>
      <c r="H87" s="2" t="inlineStr">
        <is>
          <t>ขมิ้นอ้อย</t>
        </is>
      </c>
      <c r="I87" s="2" t="n">
        <v>2</v>
      </c>
      <c r="J87" s="2" t="inlineStr">
        <is>
          <t>✅ คำตอบที่ถูกต้อง: ข้อ ข.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(ดองดึง): ดองดึง ไม่ตรงกับข้อบ่งใช้หรือกลไกการออกฤทธิ์ที่ถูกต้องตาม Thai Herbal Pharmacopoeia / WHO Monographs on Medicinal Plants
• ข้อ ค. (ไพล): ไพล ไม่ตรงกับข้อบ่งใช้หรือกลไกการออกฤทธิ์ที่ถูกต้องตาม Thai Herbal Pharmacopoeia / WHO Monographs on Medicinal Plants
• ข้อ ง. (บัวบก): บัวบก (Centella asiatica) มีสาร asiaticoside, madecassoside กระตุ้น collagen synthesis ฟื้นฟูแผล ต้องระวังในผู้ป่วย liver disease
• ข้อ จ. (ขมิ้นอ้อย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 ยับยั้ง microtubule polymerization และ neutrophil chemotaxis เป็น first-line ใน acute gout flare และ flare prophylaxis แต่มี ADR เด่นทาง GI (ท้องเสีย คลื่นไส้)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Herbal Extraction methods</t>
        </is>
      </c>
      <c r="M87" s="2" t="inlineStr">
        <is>
          <t>Product</t>
        </is>
      </c>
      <c r="N87" s="2" t="inlineStr">
        <is>
          <t>ข้อ 108 (PLE_CC1_Key_Rx20_UBU.md)</t>
        </is>
      </c>
      <c r="O87" s="2" t="n"/>
      <c r="P87" s="2" t="n"/>
    </row>
    <row r="88" ht="13.2" customHeight="1" s="49">
      <c r="A88" t="n">
        <v>86</v>
      </c>
      <c r="B88" t="inlineStr">
        <is>
          <t>เหตุใดจึงไม่ควรใช้หญ้าหนวดแมวในผู้ป่วยโรคไต Isoniazid Sund metabolismos Bo 6 wit most B6 50-100 mg/d . - - in dentaso X ↑ hyperkalemia</t>
        </is>
      </c>
      <c r="D88" t="inlineStr">
        <is>
          <t>มีปริมาณโพแทสเซียมสูง</t>
        </is>
      </c>
      <c r="E88" t="inlineStr">
        <is>
          <t>อาจทำให้ไขมันในเลือดสูง</t>
        </is>
      </c>
      <c r="F88" t="inlineStr">
        <is>
          <t>อาจทำให้น้ำตาลในเลือดสูง</t>
        </is>
      </c>
      <c r="G88" t="inlineStr">
        <is>
          <t>อาจทำให้ความดันโลหิตสูง</t>
        </is>
      </c>
      <c r="H88" t="inlineStr">
        <is>
          <t>ไม่อยู่ในบัญชียาหลัก (บัญชียาสมุนไพร) หË´มนาÆปทาซËาทืกกรณิ ÂวËนาต้จ²ÆดËรงบ¯นืญ´ต -</t>
        </is>
      </c>
      <c r="I88" t="inlineStr">
        <is>
          <t>1</t>
        </is>
      </c>
      <c r="J88" t="inlineStr">
        <is>
          <t>✅ คำตอบที่ถูกต้อง: ข้อ ก. มีปริมาณโพแทสเซียมสูง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มีปริมาณโพแทสเซียมสูง การเลือก มีปริมาณโพแทสเซียมสูง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(อาจทำให้ไขมันในเลือดสูง): หญ้าหนวดแมวไม่ได้มีผลเพิ่มระดับไขมันในเลือด กลไกหลักของสมุนไพรนี้คือการขับปัสสาวะซึ่งไม่มีผลรบกวน Lipid profile
• ข้อ ค. (อาจทำให้น้ำตาลในเลือดสูง): หญ้าหนวดแมวไม่ได้มีส่วนประกอบของน้ำตาลในปริมาณสูงและไม่ได้มีกลไกทางเภสัชวิทยาที่ทำให้ระดับน้ำตาลในเลือดเพิ่มขึ้น
• ข้อ ง. (อาจทำให้ความดันโลหิตสูง): หญ้าหนวดแมวมีฤทธิ์ขับปัสสาวะซึ่งในทางทฤษฎีอาจช่วยลดความดันโลหิตได้เล็กน้อย ไม่ได้ทำให้ความดันโลหิตสูงขึ้น
• ข้อ จ. (ไม่อยู่ในบัญชียาหลัก (บัญชียาสมุนไพร) หË´มนาÆปทาซËาทืกกรณิ ÂวËนาต้จ²ÆดËรงบ¯นืญ´ต -): สมุนไพรนี้อาจมีใช้ในบางบัญชี แต่เหตุผลทางคลินิกที่แท้จริงที่ควรระวังคือปริมาณโพแทสเซียมที่สูงซึ่งเสี่ยงต่อผู้ป่วยโรคไต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L88" t="inlineStr">
        <is>
          <t>Hypertension</t>
        </is>
      </c>
      <c r="M88" t="inlineStr">
        <is>
          <t>Clinic</t>
        </is>
      </c>
      <c r="N88" t="inlineStr">
        <is>
          <t>ข้อ 39 (PLE_CC1_2562_Key.md)</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2026-09-30T05:30:40Z</dcterms:modified>
  <cp:lastModifiedBy>Thanadol Nareekum</cp:lastModifiedBy>
</cp:coreProperties>
</file>