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d.docs.live.net/7fa8a6acd3dade26/magnetics/2port 6 socket/"/>
    </mc:Choice>
  </mc:AlternateContent>
  <xr:revisionPtr revIDLastSave="0" documentId="8_{092CDE43-1C73-41EB-9588-3D2D0CDBAA85}" xr6:coauthVersionLast="47" xr6:coauthVersionMax="47" xr10:uidLastSave="{00000000-0000-0000-0000-000000000000}"/>
  <bookViews>
    <workbookView xWindow="-98" yWindow="-98" windowWidth="21795" windowHeight="14595" activeTab="2" xr2:uid="{8FB45B7A-FC00-4FD5-A12C-7596EC4D6F90}"/>
  </bookViews>
  <sheets>
    <sheet name="fair-rite FT50-43p" sheetId="2" r:id="rId1"/>
    <sheet name="fair-rite 2643625002 " sheetId="3" r:id="rId2"/>
    <sheet name="fair-rite FT240-43 "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0" i="3" l="1"/>
  <c r="G78" i="3"/>
  <c r="G76" i="3"/>
  <c r="G74" i="3"/>
  <c r="G72" i="3"/>
  <c r="G70" i="3"/>
  <c r="G68" i="3"/>
  <c r="G66" i="3"/>
  <c r="G64" i="3"/>
  <c r="G62" i="3"/>
  <c r="B16" i="3"/>
  <c r="B15" i="3" s="1"/>
  <c r="M11" i="3"/>
  <c r="B23" i="3" s="1"/>
  <c r="C23" i="3" s="1"/>
  <c r="B11" i="3"/>
  <c r="M10" i="3"/>
  <c r="B22" i="3" s="1"/>
  <c r="C22" i="3" s="1"/>
  <c r="B10" i="3"/>
  <c r="M7" i="3" s="1"/>
  <c r="M8" i="3" s="1"/>
  <c r="B18" i="3" s="1"/>
  <c r="B24" i="3" s="1"/>
  <c r="B25" i="3" s="1"/>
  <c r="M9" i="3"/>
  <c r="H80" i="2"/>
  <c r="H78" i="2"/>
  <c r="H76" i="2"/>
  <c r="H74" i="2"/>
  <c r="H72" i="2"/>
  <c r="H70" i="2"/>
  <c r="H68" i="2"/>
  <c r="H66" i="2"/>
  <c r="H64" i="2"/>
  <c r="H62" i="2"/>
  <c r="H60" i="2"/>
  <c r="C15" i="2"/>
  <c r="C14" i="2" s="1"/>
  <c r="N10" i="2"/>
  <c r="C22" i="2" s="1"/>
  <c r="D22" i="2" s="1"/>
  <c r="C10" i="2"/>
  <c r="N9" i="2"/>
  <c r="C21" i="2" s="1"/>
  <c r="D21" i="2" s="1"/>
  <c r="C9" i="2"/>
  <c r="N6" i="2" s="1"/>
  <c r="N7" i="2" s="1"/>
  <c r="N8" i="2"/>
  <c r="G81" i="1"/>
  <c r="G79" i="1"/>
  <c r="G77" i="1"/>
  <c r="G75" i="1"/>
  <c r="G73" i="1"/>
  <c r="G71" i="1"/>
  <c r="G69" i="1"/>
  <c r="G67" i="1"/>
  <c r="G65" i="1"/>
  <c r="G63" i="1"/>
  <c r="B15" i="1"/>
  <c r="B14" i="1" s="1"/>
  <c r="M10" i="1"/>
  <c r="B22" i="1" s="1"/>
  <c r="C22" i="1" s="1"/>
  <c r="B10" i="1"/>
  <c r="M9" i="1"/>
  <c r="B21" i="1" s="1"/>
  <c r="C21" i="1" s="1"/>
  <c r="B9" i="1"/>
  <c r="M6" i="1" s="1"/>
  <c r="M7" i="1" s="1"/>
  <c r="M8" i="1"/>
  <c r="B20" i="3" l="1"/>
  <c r="C18" i="3"/>
  <c r="B19" i="3"/>
  <c r="C19" i="3"/>
  <c r="B21" i="3" s="1"/>
  <c r="C19" i="2"/>
  <c r="C18" i="2"/>
  <c r="D17" i="2"/>
  <c r="C17" i="2"/>
  <c r="C23" i="2" s="1"/>
  <c r="C24" i="2" s="1"/>
  <c r="D18" i="2"/>
  <c r="C20" i="2" s="1"/>
  <c r="B19" i="1"/>
  <c r="C18" i="1"/>
  <c r="B20" i="1" s="1"/>
  <c r="B18" i="1"/>
  <c r="C17" i="1"/>
  <c r="B17" i="1"/>
  <c r="B23" i="1" s="1"/>
  <c r="B24" i="1" s="1"/>
</calcChain>
</file>

<file path=xl/sharedStrings.xml><?xml version="1.0" encoding="utf-8"?>
<sst xmlns="http://schemas.openxmlformats.org/spreadsheetml/2006/main" count="159" uniqueCount="56">
  <si>
    <t>Calculator for Fair-rite FT240-43 series</t>
  </si>
  <si>
    <t>Physical dimensions from toroids.info</t>
  </si>
  <si>
    <t>number of cores</t>
  </si>
  <si>
    <t>Frequency (MHz)</t>
  </si>
  <si>
    <t>Intermediate Calculations</t>
  </si>
  <si>
    <t>Outer Dia. (mm)</t>
  </si>
  <si>
    <t>toroids.info</t>
  </si>
  <si>
    <t>XLcore</t>
  </si>
  <si>
    <t>Inner Dia. (mm)</t>
  </si>
  <si>
    <t>ZLcore</t>
  </si>
  <si>
    <t>width/height (mm)</t>
  </si>
  <si>
    <t>1/XCs</t>
  </si>
  <si>
    <r>
      <rPr>
        <sz val="11"/>
        <color theme="1"/>
        <rFont val="GreekC"/>
      </rPr>
      <t>m</t>
    </r>
    <r>
      <rPr>
        <sz val="11"/>
        <color theme="1"/>
        <rFont val="Aptos Narrow"/>
        <family val="2"/>
        <scheme val="minor"/>
      </rPr>
      <t>'</t>
    </r>
  </si>
  <si>
    <t xml:space="preserve">auto fill for </t>
  </si>
  <si>
    <t>Dmean</t>
  </si>
  <si>
    <r>
      <rPr>
        <sz val="11"/>
        <color theme="1"/>
        <rFont val="GreekC"/>
      </rPr>
      <t>m</t>
    </r>
    <r>
      <rPr>
        <sz val="11"/>
        <color theme="1"/>
        <rFont val="Aptos Narrow"/>
        <family val="2"/>
        <scheme val="minor"/>
      </rPr>
      <t>''</t>
    </r>
  </si>
  <si>
    <t>HF ham bands</t>
  </si>
  <si>
    <t>Rcircumf</t>
  </si>
  <si>
    <t>Turns</t>
  </si>
  <si>
    <t>Cs (pFd)</t>
  </si>
  <si>
    <r>
      <rPr>
        <sz val="11"/>
        <color theme="1"/>
        <rFont val="GreekC"/>
      </rPr>
      <t>S</t>
    </r>
    <r>
      <rPr>
        <sz val="11"/>
        <color theme="1"/>
        <rFont val="Aptos Narrow"/>
        <family val="2"/>
        <scheme val="minor"/>
      </rPr>
      <t>A/l is Ae/</t>
    </r>
    <r>
      <rPr>
        <sz val="11"/>
        <color theme="1"/>
        <rFont val="Script MT Bold"/>
        <family val="4"/>
      </rPr>
      <t>l</t>
    </r>
    <r>
      <rPr>
        <sz val="11"/>
        <color theme="1"/>
        <rFont val="Aptos Narrow"/>
        <family val="2"/>
        <scheme val="minor"/>
      </rPr>
      <t>e i.e. effective area divided by effective length.  This may be calculated using the actual cross-sectional area of the ring and the circumference at the middle of the ring.  This is not correct due to flux wanting to take the shortest path around the toroid.  According to Snelling, the effective length is pi*ln(ro/ri)/(1/ri -1/ro) and effective area is w*ln^2(ro/ri)/(1/ri - 1/ro)  w is width and ro, ri outer and inner radii    Snelling, E.C. 'Soft Ferrites Properties and Applications'</t>
    </r>
  </si>
  <si>
    <t>Al (nH)</t>
  </si>
  <si>
    <r>
      <rPr>
        <sz val="11"/>
        <color theme="1"/>
        <rFont val="GreekC"/>
      </rPr>
      <t>S</t>
    </r>
    <r>
      <rPr>
        <sz val="11"/>
        <color theme="1"/>
        <rFont val="Aptos Narrow"/>
        <family val="2"/>
        <scheme val="minor"/>
      </rPr>
      <t>A/l (m) flux crowding</t>
    </r>
  </si>
  <si>
    <t>real</t>
  </si>
  <si>
    <t>imaginary</t>
  </si>
  <si>
    <t>Y (S)</t>
  </si>
  <si>
    <r>
      <t>Z  (</t>
    </r>
    <r>
      <rPr>
        <sz val="11"/>
        <color theme="1"/>
        <rFont val="GreekC"/>
      </rPr>
      <t>W</t>
    </r>
    <r>
      <rPr>
        <sz val="11"/>
        <color theme="1"/>
        <rFont val="Aptos Narrow"/>
        <family val="2"/>
        <scheme val="minor"/>
      </rPr>
      <t>)</t>
    </r>
  </si>
  <si>
    <r>
      <t>|Z| (</t>
    </r>
    <r>
      <rPr>
        <sz val="11"/>
        <color theme="1"/>
        <rFont val="GreekC"/>
      </rPr>
      <t>W</t>
    </r>
    <r>
      <rPr>
        <sz val="11"/>
        <color theme="1"/>
        <rFont val="Aptos Narrow"/>
        <family val="2"/>
        <scheme val="minor"/>
      </rPr>
      <t>)</t>
    </r>
  </si>
  <si>
    <r>
      <t>Ls (</t>
    </r>
    <r>
      <rPr>
        <sz val="11"/>
        <color theme="1"/>
        <rFont val="GreekC"/>
      </rPr>
      <t>m</t>
    </r>
    <r>
      <rPr>
        <sz val="11"/>
        <color theme="1"/>
        <rFont val="Aptos Narrow"/>
        <family val="2"/>
        <scheme val="minor"/>
      </rPr>
      <t>H)</t>
    </r>
  </si>
  <si>
    <t>winding length (cm)(inch)</t>
  </si>
  <si>
    <t>The length of a spiral is calculated plus two 1" tails</t>
  </si>
  <si>
    <t>ring circumference * N +pi()*Dmean + 50.8mm</t>
  </si>
  <si>
    <t>expected efficiency</t>
  </si>
  <si>
    <t>expected loss dB</t>
  </si>
  <si>
    <t>Calculation Summary</t>
  </si>
  <si>
    <t>Equations Used</t>
  </si>
  <si>
    <r>
      <t xml:space="preserve">This models the impedance and equivalent series inductance of a toroid.  The toroid is assumed to be rectangular, chambered edges are not modeled.  The impedance is modeled as a parallel LC with Cs the stray capacitance and the inductance is </t>
    </r>
    <r>
      <rPr>
        <sz val="11"/>
        <color theme="1"/>
        <rFont val="GreekC"/>
      </rPr>
      <t>S</t>
    </r>
    <r>
      <rPr>
        <sz val="11"/>
        <color theme="1"/>
        <rFont val="Aptos Narrow"/>
        <family val="2"/>
        <scheme val="minor"/>
      </rPr>
      <t>A/l*</t>
    </r>
    <r>
      <rPr>
        <sz val="11"/>
        <color theme="1"/>
        <rFont val="GreekC"/>
      </rPr>
      <t>m</t>
    </r>
    <r>
      <rPr>
        <sz val="11"/>
        <color theme="1"/>
        <rFont val="Aptos Narrow"/>
        <family val="2"/>
        <scheme val="minor"/>
      </rPr>
      <t>*N^2.  The impedance of the parallel circuit is calculated by adding Ycs and Yl and inverting.  From this equivalent impedance Ls is extracted from the imaginary portion.</t>
    </r>
  </si>
  <si>
    <r>
      <rPr>
        <sz val="11"/>
        <color theme="1"/>
        <rFont val="GreekC"/>
      </rPr>
      <t>S</t>
    </r>
    <r>
      <rPr>
        <sz val="11"/>
        <color theme="1"/>
        <rFont val="Aptos Narrow"/>
        <family val="2"/>
        <scheme val="minor"/>
      </rPr>
      <t>A/l = Ae/</t>
    </r>
    <r>
      <rPr>
        <sz val="11"/>
        <color theme="1"/>
        <rFont val="Script MT Bold"/>
        <family val="4"/>
      </rPr>
      <t>l</t>
    </r>
    <r>
      <rPr>
        <sz val="11"/>
        <color theme="1"/>
        <rFont val="Aptos Narrow"/>
        <family val="2"/>
        <scheme val="minor"/>
      </rPr>
      <t xml:space="preserve">e    Ae = w*ln^2(ro/ri)/(1/ri - 1/ro) </t>
    </r>
    <r>
      <rPr>
        <sz val="11"/>
        <color theme="1"/>
        <rFont val="Script MT Bold"/>
        <family val="4"/>
      </rPr>
      <t xml:space="preserve"> l</t>
    </r>
    <r>
      <rPr>
        <sz val="11"/>
        <color theme="1"/>
        <rFont val="Aptos Narrow"/>
        <family val="2"/>
        <scheme val="minor"/>
      </rPr>
      <t>e = pi*ln(ro/ri)/(1/ri -1/ro)</t>
    </r>
  </si>
  <si>
    <r>
      <t xml:space="preserve">Core Inductance Lcore = </t>
    </r>
    <r>
      <rPr>
        <sz val="11"/>
        <color theme="1"/>
        <rFont val="GreekC"/>
      </rPr>
      <t>m</t>
    </r>
    <r>
      <rPr>
        <sz val="11"/>
        <color theme="1"/>
        <rFont val="Aptos Narrow"/>
        <family val="2"/>
        <scheme val="minor"/>
      </rPr>
      <t>' * N^2*</t>
    </r>
    <r>
      <rPr>
        <sz val="11"/>
        <color theme="1"/>
        <rFont val="GreekC"/>
      </rPr>
      <t>S</t>
    </r>
    <r>
      <rPr>
        <sz val="11"/>
        <color theme="1"/>
        <rFont val="Aptos Narrow"/>
        <family val="2"/>
        <scheme val="minor"/>
      </rPr>
      <t>A/l  --&gt; Al*N^2 for N turns</t>
    </r>
  </si>
  <si>
    <r>
      <t>ZLcore = 2*pi*L*(</t>
    </r>
    <r>
      <rPr>
        <sz val="11"/>
        <color theme="1"/>
        <rFont val="GreekC"/>
      </rPr>
      <t>m</t>
    </r>
    <r>
      <rPr>
        <sz val="11"/>
        <color theme="1"/>
        <rFont val="Aptos Narrow"/>
        <family val="2"/>
        <scheme val="minor"/>
      </rPr>
      <t>''/</t>
    </r>
    <r>
      <rPr>
        <sz val="11"/>
        <color theme="1"/>
        <rFont val="GreekC"/>
      </rPr>
      <t>m</t>
    </r>
    <r>
      <rPr>
        <sz val="11"/>
        <color theme="1"/>
        <rFont val="Aptos Narrow"/>
        <family val="2"/>
        <scheme val="minor"/>
      </rPr>
      <t xml:space="preserve">' + j*1 )    </t>
    </r>
    <r>
      <rPr>
        <sz val="11"/>
        <color theme="1"/>
        <rFont val="GreekC"/>
      </rPr>
      <t>m</t>
    </r>
    <r>
      <rPr>
        <sz val="11"/>
        <color theme="1"/>
        <rFont val="Aptos Narrow"/>
        <family val="2"/>
        <scheme val="minor"/>
      </rPr>
      <t>' and</t>
    </r>
    <r>
      <rPr>
        <sz val="11"/>
        <color theme="1"/>
        <rFont val="GreekC"/>
      </rPr>
      <t xml:space="preserve"> m</t>
    </r>
    <r>
      <rPr>
        <sz val="11"/>
        <color theme="1"/>
        <rFont val="Aptos Narrow"/>
        <family val="2"/>
        <scheme val="minor"/>
      </rPr>
      <t>'' are complex permeability at frequency f</t>
    </r>
  </si>
  <si>
    <t>Ls = Imaginary (Z) /( 2*pi*f )</t>
  </si>
  <si>
    <r>
      <t xml:space="preserve">Ferrite core permeability is very dependent on frequency </t>
    </r>
    <r>
      <rPr>
        <sz val="11"/>
        <color theme="1"/>
        <rFont val="GreekC"/>
      </rPr>
      <t>m</t>
    </r>
    <r>
      <rPr>
        <sz val="11"/>
        <color theme="1"/>
        <rFont val="Aptos Narrow"/>
        <family val="2"/>
        <scheme val="minor"/>
      </rPr>
      <t>' and</t>
    </r>
    <r>
      <rPr>
        <sz val="11"/>
        <color theme="1"/>
        <rFont val="GreekC"/>
      </rPr>
      <t xml:space="preserve"> m</t>
    </r>
    <r>
      <rPr>
        <sz val="11"/>
        <color theme="1"/>
        <rFont val="Aptos Narrow"/>
        <family val="2"/>
        <scheme val="minor"/>
      </rPr>
      <t>''</t>
    </r>
  </si>
  <si>
    <t xml:space="preserve">https://owenduffy.net/calc/mu/index.php </t>
  </si>
  <si>
    <t>© 2021 AI6XG www.AI6XG.com</t>
  </si>
  <si>
    <t>Fair-rite 43 2020</t>
  </si>
  <si>
    <t>u'</t>
  </si>
  <si>
    <t>u''</t>
  </si>
  <si>
    <t>Calculator for Fair-rite FT50-43 series</t>
  </si>
  <si>
    <t>expected effeciency</t>
  </si>
  <si>
    <t>MHz</t>
  </si>
  <si>
    <t>Calculator for Fair-rite 2643625002</t>
  </si>
  <si>
    <r>
      <t>Use #43 2020 for</t>
    </r>
    <r>
      <rPr>
        <sz val="11"/>
        <color theme="1"/>
        <rFont val="GreekC"/>
      </rPr>
      <t xml:space="preserve"> m</t>
    </r>
    <r>
      <rPr>
        <sz val="11"/>
        <color theme="1"/>
        <rFont val="Aptos Narrow"/>
        <family val="2"/>
        <scheme val="minor"/>
      </rPr>
      <t>' and</t>
    </r>
    <r>
      <rPr>
        <sz val="11"/>
        <color theme="1"/>
        <rFont val="GreekC"/>
      </rPr>
      <t xml:space="preserve"> m</t>
    </r>
    <r>
      <rPr>
        <sz val="11"/>
        <color theme="1"/>
        <rFont val="Aptos Narrow"/>
        <family val="2"/>
        <scheme val="minor"/>
      </rPr>
      <t>"</t>
    </r>
  </si>
  <si>
    <t>as measured</t>
  </si>
  <si>
    <t>© 2024 AI6XG www.AI6XG.com</t>
  </si>
  <si>
    <t xml:space="preserve"> </t>
  </si>
  <si>
    <t>Y = 1/ZL + 2*pi*f*Cs        Z = 1/Y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</si>
</sst>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
    <numFmt numFmtId="165" formatCode="0.000000"/>
    <numFmt numFmtId="166" formatCode="0.0"/>
    <numFmt numFmtId="167" formatCode="0.000"/>
    <numFmt numFmtId="168" formatCode="0.0%"/>
  </numFmts>
  <fonts count="9">
    <font>
      <sz val="11"/>
      <color theme="1"/>
      <name val="Aptos Narrow"/>
      <family val="2"/>
      <scheme val="minor"/>
    </font>
    <font>
      <sz val="11"/>
      <color theme="1"/>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b/>
      <sz val="11"/>
      <color theme="1"/>
      <name val="Aptos Narrow"/>
      <family val="2"/>
      <scheme val="minor"/>
    </font>
    <font>
      <u/>
      <sz val="11"/>
      <color theme="10"/>
      <name val="Aptos Narrow"/>
      <family val="2"/>
      <scheme val="minor"/>
    </font>
    <font>
      <sz val="11"/>
      <color theme="1"/>
      <name val="GreekC"/>
    </font>
    <font>
      <sz val="11"/>
      <color theme="1"/>
      <name val="Script MT Bold"/>
      <family val="4"/>
    </font>
  </fonts>
  <fills count="5">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diagonal/>
    </border>
    <border>
      <left style="thin">
        <color rgb="FF7F7F7F"/>
      </left>
      <right/>
      <top style="thin">
        <color rgb="FF7F7F7F"/>
      </top>
      <bottom style="thin">
        <color rgb="FF7F7F7F"/>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3F3F3F"/>
      </left>
      <right style="thin">
        <color rgb="FF3F3F3F"/>
      </right>
      <top style="thin">
        <color rgb="FF3F3F3F"/>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9" fontId="1" fillId="0" borderId="0" applyFont="0" applyFill="0" applyBorder="0" applyAlignment="0" applyProtection="0"/>
    <xf numFmtId="0" fontId="2" fillId="2" borderId="1" applyNumberFormat="0" applyAlignment="0" applyProtection="0"/>
    <xf numFmtId="0" fontId="3" fillId="3" borderId="2" applyNumberFormat="0" applyAlignment="0" applyProtection="0"/>
    <xf numFmtId="0" fontId="4" fillId="3" borderId="1" applyNumberFormat="0" applyAlignment="0" applyProtection="0"/>
    <xf numFmtId="0" fontId="1" fillId="4" borderId="3" applyNumberFormat="0" applyFont="0" applyAlignment="0" applyProtection="0"/>
    <xf numFmtId="0" fontId="6" fillId="0" borderId="0" applyNumberFormat="0" applyFill="0" applyBorder="0" applyAlignment="0" applyProtection="0"/>
  </cellStyleXfs>
  <cellXfs count="72">
    <xf numFmtId="0" fontId="0" fillId="0" borderId="0" xfId="0"/>
    <xf numFmtId="0" fontId="0" fillId="0" borderId="5" xfId="0" applyBorder="1"/>
    <xf numFmtId="0" fontId="2" fillId="2" borderId="1" xfId="2"/>
    <xf numFmtId="0" fontId="2" fillId="4" borderId="3" xfId="5" applyFont="1"/>
    <xf numFmtId="0" fontId="0" fillId="4" borderId="3" xfId="5" applyFont="1"/>
    <xf numFmtId="0" fontId="0" fillId="0" borderId="12" xfId="0" applyBorder="1"/>
    <xf numFmtId="0" fontId="0" fillId="4" borderId="13" xfId="5" applyFont="1" applyBorder="1"/>
    <xf numFmtId="0" fontId="2" fillId="2" borderId="14" xfId="2" applyBorder="1"/>
    <xf numFmtId="0" fontId="0" fillId="4" borderId="15" xfId="5" applyFont="1" applyBorder="1"/>
    <xf numFmtId="0" fontId="0" fillId="4" borderId="16" xfId="5" applyFont="1" applyBorder="1"/>
    <xf numFmtId="2" fontId="3" fillId="3" borderId="2" xfId="3" applyNumberFormat="1"/>
    <xf numFmtId="164" fontId="3" fillId="3" borderId="2" xfId="3" applyNumberFormat="1"/>
    <xf numFmtId="165" fontId="3" fillId="3" borderId="2" xfId="3" applyNumberFormat="1"/>
    <xf numFmtId="166" fontId="3" fillId="3" borderId="2" xfId="3" applyNumberFormat="1"/>
    <xf numFmtId="0" fontId="7" fillId="0" borderId="0" xfId="0" applyFont="1"/>
    <xf numFmtId="167" fontId="3" fillId="3" borderId="2" xfId="3" applyNumberFormat="1"/>
    <xf numFmtId="166" fontId="3" fillId="3" borderId="17" xfId="3" applyNumberFormat="1" applyBorder="1"/>
    <xf numFmtId="166" fontId="3" fillId="3" borderId="12" xfId="3" applyNumberFormat="1" applyBorder="1"/>
    <xf numFmtId="168" fontId="3" fillId="3" borderId="12" xfId="1" applyNumberFormat="1" applyFont="1" applyFill="1" applyBorder="1"/>
    <xf numFmtId="167" fontId="3" fillId="3" borderId="12" xfId="1" applyNumberFormat="1" applyFont="1" applyFill="1" applyBorder="1"/>
    <xf numFmtId="0" fontId="6" fillId="0" borderId="0" xfId="6"/>
    <xf numFmtId="0" fontId="0" fillId="0" borderId="0" xfId="0" applyAlignment="1">
      <alignment horizontal="center"/>
    </xf>
    <xf numFmtId="2" fontId="0" fillId="0" borderId="0" xfId="0" applyNumberFormat="1"/>
    <xf numFmtId="166" fontId="0" fillId="0" borderId="0" xfId="0" applyNumberFormat="1"/>
    <xf numFmtId="0" fontId="0" fillId="0" borderId="0" xfId="0" quotePrefix="1"/>
    <xf numFmtId="167" fontId="0" fillId="0" borderId="0" xfId="0" applyNumberFormat="1"/>
    <xf numFmtId="0" fontId="5" fillId="0" borderId="0" xfId="0" applyFont="1" applyAlignment="1">
      <alignment horizontal="center"/>
    </xf>
    <xf numFmtId="0" fontId="0" fillId="0" borderId="0" xfId="0" applyAlignment="1">
      <alignment horizontal="left" vertical="center"/>
    </xf>
    <xf numFmtId="2" fontId="0" fillId="0" borderId="0" xfId="0" applyNumberFormat="1" applyAlignment="1">
      <alignment horizontal="right"/>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10" xfId="0" applyBorder="1" applyAlignment="1">
      <alignment horizontal="center"/>
    </xf>
    <xf numFmtId="0" fontId="0" fillId="0" borderId="10" xfId="0" applyBorder="1" applyAlignment="1">
      <alignment horizontal="center" vertic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4" xfId="0" applyBorder="1"/>
    <xf numFmtId="0" fontId="0" fillId="0" borderId="5" xfId="0" applyBorder="1"/>
    <xf numFmtId="0" fontId="0" fillId="0" borderId="6" xfId="0" applyBorder="1"/>
    <xf numFmtId="0" fontId="0" fillId="0" borderId="7" xfId="0" applyBorder="1"/>
    <xf numFmtId="0" fontId="0" fillId="0" borderId="0" xfId="0"/>
    <xf numFmtId="0" fontId="0" fillId="0" borderId="8" xfId="0" applyBorder="1"/>
    <xf numFmtId="0" fontId="0" fillId="0" borderId="9" xfId="0" applyBorder="1"/>
    <xf numFmtId="0" fontId="0" fillId="0" borderId="10" xfId="0" applyBorder="1"/>
    <xf numFmtId="0" fontId="0" fillId="0" borderId="11" xfId="0" applyBorder="1"/>
    <xf numFmtId="0" fontId="4" fillId="3" borderId="12" xfId="4" applyBorder="1" applyAlignment="1">
      <alignment horizontal="left"/>
    </xf>
    <xf numFmtId="0" fontId="4" fillId="3" borderId="1" xfId="4" applyAlignment="1">
      <alignment horizontal="left"/>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center"/>
    </xf>
    <xf numFmtId="0" fontId="0" fillId="0" borderId="12" xfId="0" applyBorder="1"/>
    <xf numFmtId="0" fontId="0" fillId="4" borderId="7" xfId="5" applyFont="1" applyBorder="1" applyAlignment="1"/>
    <xf numFmtId="0" fontId="0" fillId="4" borderId="0" xfId="5" applyFont="1" applyBorder="1" applyAlignment="1"/>
    <xf numFmtId="0" fontId="0" fillId="4" borderId="8" xfId="5" applyFont="1" applyBorder="1" applyAlignment="1"/>
    <xf numFmtId="0" fontId="0" fillId="0" borderId="9"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center" vertical="center"/>
    </xf>
  </cellXfs>
  <cellStyles count="7">
    <cellStyle name="Calculation" xfId="4" builtinId="22"/>
    <cellStyle name="Hyperlink" xfId="6" builtinId="8"/>
    <cellStyle name="Input" xfId="2" builtinId="20"/>
    <cellStyle name="Normal" xfId="0" builtinId="0"/>
    <cellStyle name="Note" xfId="5" builtinId="10"/>
    <cellStyle name="Output" xfId="3" builtinId="21"/>
    <cellStyle name="Percent" xfId="1" builtinId="5"/>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123825</xdr:colOff>
      <xdr:row>33</xdr:row>
      <xdr:rowOff>28575</xdr:rowOff>
    </xdr:from>
    <xdr:to>
      <xdr:col>16</xdr:col>
      <xdr:colOff>286310</xdr:colOff>
      <xdr:row>54</xdr:row>
      <xdr:rowOff>57718</xdr:rowOff>
    </xdr:to>
    <xdr:pic>
      <xdr:nvPicPr>
        <xdr:cNvPr id="3" name="Picture 2">
          <a:extLst>
            <a:ext uri="{FF2B5EF4-FFF2-40B4-BE49-F238E27FC236}">
              <a16:creationId xmlns:a16="http://schemas.microsoft.com/office/drawing/2014/main" id="{7E98EFE0-00B9-44EB-803E-AECCB223CC9F}"/>
            </a:ext>
          </a:extLst>
        </xdr:cNvPr>
        <xdr:cNvPicPr>
          <a:picLocks noChangeAspect="1"/>
        </xdr:cNvPicPr>
      </xdr:nvPicPr>
      <xdr:blipFill>
        <a:blip xmlns:r="http://schemas.openxmlformats.org/officeDocument/2006/relationships" r:embed="rId1"/>
        <a:stretch>
          <a:fillRect/>
        </a:stretch>
      </xdr:blipFill>
      <xdr:spPr>
        <a:xfrm>
          <a:off x="9124950" y="6705600"/>
          <a:ext cx="4010585" cy="40677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123825</xdr:colOff>
      <xdr:row>34</xdr:row>
      <xdr:rowOff>28575</xdr:rowOff>
    </xdr:from>
    <xdr:to>
      <xdr:col>15</xdr:col>
      <xdr:colOff>286310</xdr:colOff>
      <xdr:row>55</xdr:row>
      <xdr:rowOff>57718</xdr:rowOff>
    </xdr:to>
    <xdr:pic>
      <xdr:nvPicPr>
        <xdr:cNvPr id="3" name="Picture 2">
          <a:extLst>
            <a:ext uri="{FF2B5EF4-FFF2-40B4-BE49-F238E27FC236}">
              <a16:creationId xmlns:a16="http://schemas.microsoft.com/office/drawing/2014/main" id="{F8F98738-C217-48BD-B0D7-F53FEC1DF7F7}"/>
            </a:ext>
          </a:extLst>
        </xdr:cNvPr>
        <xdr:cNvPicPr>
          <a:picLocks noChangeAspect="1"/>
        </xdr:cNvPicPr>
      </xdr:nvPicPr>
      <xdr:blipFill>
        <a:blip xmlns:r="http://schemas.openxmlformats.org/officeDocument/2006/relationships" r:embed="rId1"/>
        <a:stretch>
          <a:fillRect/>
        </a:stretch>
      </xdr:blipFill>
      <xdr:spPr>
        <a:xfrm>
          <a:off x="8848725" y="6934200"/>
          <a:ext cx="4010585" cy="40677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123825</xdr:colOff>
      <xdr:row>35</xdr:row>
      <xdr:rowOff>28575</xdr:rowOff>
    </xdr:from>
    <xdr:to>
      <xdr:col>15</xdr:col>
      <xdr:colOff>286310</xdr:colOff>
      <xdr:row>56</xdr:row>
      <xdr:rowOff>57718</xdr:rowOff>
    </xdr:to>
    <xdr:pic>
      <xdr:nvPicPr>
        <xdr:cNvPr id="3" name="Picture 2">
          <a:extLst>
            <a:ext uri="{FF2B5EF4-FFF2-40B4-BE49-F238E27FC236}">
              <a16:creationId xmlns:a16="http://schemas.microsoft.com/office/drawing/2014/main" id="{9EEFFF8A-0A5B-4D07-8693-68CA5BB7A5CC}"/>
            </a:ext>
          </a:extLst>
        </xdr:cNvPr>
        <xdr:cNvPicPr>
          <a:picLocks noChangeAspect="1"/>
        </xdr:cNvPicPr>
      </xdr:nvPicPr>
      <xdr:blipFill>
        <a:blip xmlns:r="http://schemas.openxmlformats.org/officeDocument/2006/relationships" r:embed="rId1"/>
        <a:stretch>
          <a:fillRect/>
        </a:stretch>
      </xdr:blipFill>
      <xdr:spPr>
        <a:xfrm>
          <a:off x="8601075" y="7086600"/>
          <a:ext cx="4010585" cy="406774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wenduffy.net/calc/mu/index.php"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owenduffy.net/calc/mu/index.php" TargetMode="External"/><Relationship Id="rId1" Type="http://schemas.openxmlformats.org/officeDocument/2006/relationships/hyperlink" Target="https://owenduffy.net/calc/toroid2.htm"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owenduffy.net/calc/mu/index.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8DA2D-F561-4992-B960-32BB5DACE00B}">
  <dimension ref="B1:R103"/>
  <sheetViews>
    <sheetView topLeftCell="A17" workbookViewId="0">
      <selection activeCell="K32" sqref="K32:R32"/>
    </sheetView>
  </sheetViews>
  <sheetFormatPr defaultColWidth="9.1328125" defaultRowHeight="14.25"/>
  <cols>
    <col min="2" max="2" width="24.73046875" customWidth="1"/>
    <col min="3" max="3" width="12.59765625" bestFit="1" customWidth="1"/>
    <col min="4" max="4" width="18.3984375" customWidth="1"/>
    <col min="5" max="5" width="12" bestFit="1" customWidth="1"/>
    <col min="7" max="7" width="11.265625" customWidth="1"/>
    <col min="8" max="8" width="11.86328125" customWidth="1"/>
    <col min="10" max="10" width="16.73046875" bestFit="1" customWidth="1"/>
    <col min="14" max="14" width="12" bestFit="1" customWidth="1"/>
  </cols>
  <sheetData>
    <row r="1" spans="2:17">
      <c r="C1" s="43" t="s">
        <v>47</v>
      </c>
      <c r="D1" s="44"/>
      <c r="E1" s="45"/>
    </row>
    <row r="2" spans="2:17">
      <c r="C2" s="65" t="s">
        <v>1</v>
      </c>
      <c r="D2" s="66"/>
      <c r="E2" s="67"/>
    </row>
    <row r="3" spans="2:17">
      <c r="C3" s="68"/>
      <c r="D3" s="69"/>
      <c r="E3" s="70"/>
    </row>
    <row r="4" spans="2:17">
      <c r="B4" t="s">
        <v>2</v>
      </c>
      <c r="C4" s="2">
        <v>1</v>
      </c>
    </row>
    <row r="5" spans="2:17">
      <c r="B5" t="s">
        <v>3</v>
      </c>
      <c r="C5" s="2">
        <v>7.2</v>
      </c>
      <c r="M5" s="71" t="s">
        <v>4</v>
      </c>
      <c r="N5" s="71"/>
      <c r="O5" s="71"/>
      <c r="P5" s="71"/>
      <c r="Q5" s="71"/>
    </row>
    <row r="6" spans="2:17">
      <c r="B6" t="s">
        <v>5</v>
      </c>
      <c r="C6" s="3">
        <v>12.7</v>
      </c>
      <c r="D6" s="4" t="s">
        <v>6</v>
      </c>
      <c r="M6" s="5" t="s">
        <v>7</v>
      </c>
      <c r="N6" s="52">
        <f>C9*C15*4*PI()*C11^2*0.1*2*PI()*C5</f>
        <v>90.429505569098069</v>
      </c>
      <c r="O6" s="52"/>
      <c r="P6" s="52"/>
      <c r="Q6" s="52"/>
    </row>
    <row r="7" spans="2:17">
      <c r="B7" t="s">
        <v>8</v>
      </c>
      <c r="C7" s="3">
        <v>7.15</v>
      </c>
      <c r="D7" s="4" t="s">
        <v>6</v>
      </c>
      <c r="M7" s="5" t="s">
        <v>9</v>
      </c>
      <c r="N7" s="52" t="str">
        <f>COMPLEX(N6*C10/C9,N6,"j")</f>
        <v>90.4524281307125+90.4295055690981j</v>
      </c>
      <c r="O7" s="52"/>
      <c r="P7" s="52"/>
      <c r="Q7" s="52"/>
    </row>
    <row r="8" spans="2:17">
      <c r="B8" t="s">
        <v>10</v>
      </c>
      <c r="C8" s="3">
        <v>4.9000000000000004</v>
      </c>
      <c r="D8" s="6" t="s">
        <v>6</v>
      </c>
      <c r="M8" s="5" t="s">
        <v>11</v>
      </c>
      <c r="N8" s="52">
        <f>2*PI()*C5*C12*10^-6</f>
        <v>0</v>
      </c>
      <c r="O8" s="52"/>
      <c r="P8" s="52"/>
      <c r="Q8" s="52"/>
    </row>
    <row r="9" spans="2:17">
      <c r="B9" t="s">
        <v>12</v>
      </c>
      <c r="C9" s="7">
        <f>VLOOKUP($C$5,$C$60:$F$81,3)</f>
        <v>394.5</v>
      </c>
      <c r="D9" s="8" t="s">
        <v>13</v>
      </c>
      <c r="M9" s="5" t="s">
        <v>14</v>
      </c>
      <c r="N9" s="53">
        <f>0.5*(C6+C7)</f>
        <v>9.9250000000000007</v>
      </c>
      <c r="O9" s="53"/>
      <c r="P9" s="53"/>
      <c r="Q9" s="53"/>
    </row>
    <row r="10" spans="2:17">
      <c r="B10" t="s">
        <v>15</v>
      </c>
      <c r="C10" s="7">
        <f>VLOOKUP($C$5,$C$60:$F$81,4)</f>
        <v>394.6</v>
      </c>
      <c r="D10" s="9" t="s">
        <v>16</v>
      </c>
      <c r="M10" s="5" t="s">
        <v>17</v>
      </c>
      <c r="N10" s="53">
        <f>2*C8*C4+C6-C7</f>
        <v>15.35</v>
      </c>
      <c r="O10" s="53"/>
      <c r="P10" s="53"/>
      <c r="Q10" s="53"/>
    </row>
    <row r="11" spans="2:17">
      <c r="B11" t="s">
        <v>18</v>
      </c>
      <c r="C11" s="2">
        <v>3</v>
      </c>
    </row>
    <row r="12" spans="2:17">
      <c r="B12" t="s">
        <v>19</v>
      </c>
      <c r="C12" s="2">
        <v>0</v>
      </c>
    </row>
    <row r="13" spans="2:17">
      <c r="E13" s="54" t="s">
        <v>20</v>
      </c>
      <c r="F13" s="55"/>
      <c r="G13" s="55"/>
      <c r="H13" s="55"/>
      <c r="I13" s="55"/>
      <c r="J13" s="55"/>
      <c r="K13" s="55"/>
      <c r="L13" s="55"/>
      <c r="M13" s="55"/>
      <c r="N13" s="55"/>
      <c r="O13" s="55"/>
      <c r="P13" s="56"/>
    </row>
    <row r="14" spans="2:17" ht="18" customHeight="1">
      <c r="B14" t="s">
        <v>21</v>
      </c>
      <c r="C14" s="10">
        <f>4*PI()*C15*C9*10^2</f>
        <v>222.10343846725365</v>
      </c>
      <c r="E14" s="57"/>
      <c r="F14" s="58"/>
      <c r="G14" s="58"/>
      <c r="H14" s="58"/>
      <c r="I14" s="58"/>
      <c r="J14" s="58"/>
      <c r="K14" s="58"/>
      <c r="L14" s="58"/>
      <c r="M14" s="58"/>
      <c r="N14" s="58"/>
      <c r="O14" s="58"/>
      <c r="P14" s="59"/>
    </row>
    <row r="15" spans="2:17">
      <c r="B15" t="s">
        <v>22</v>
      </c>
      <c r="C15" s="11">
        <f>LN(C6/C7)/2/PI()*C8*C4*0.001</f>
        <v>4.4802104068149599E-4</v>
      </c>
      <c r="E15" s="57"/>
      <c r="F15" s="58"/>
      <c r="G15" s="58"/>
      <c r="H15" s="58"/>
      <c r="I15" s="58"/>
      <c r="J15" s="58"/>
      <c r="K15" s="58"/>
      <c r="L15" s="58"/>
      <c r="M15" s="58"/>
      <c r="N15" s="58"/>
      <c r="O15" s="58"/>
      <c r="P15" s="59"/>
    </row>
    <row r="16" spans="2:17" ht="15" customHeight="1">
      <c r="C16" t="s">
        <v>23</v>
      </c>
      <c r="D16" t="s">
        <v>24</v>
      </c>
      <c r="E16" s="60"/>
      <c r="F16" s="61"/>
      <c r="G16" s="61"/>
      <c r="H16" s="61"/>
      <c r="I16" s="61"/>
      <c r="J16" s="61"/>
      <c r="K16" s="61"/>
      <c r="L16" s="61"/>
      <c r="M16" s="61"/>
      <c r="N16" s="61"/>
      <c r="O16" s="61"/>
      <c r="P16" s="62"/>
    </row>
    <row r="17" spans="2:18">
      <c r="B17" t="s">
        <v>25</v>
      </c>
      <c r="C17" s="12">
        <f>IMREAL(IMSUM(COMPLEX(0,N8, "j"),IMDIV(1,N7)))</f>
        <v>5.5291686136479104E-3</v>
      </c>
      <c r="D17" s="12">
        <f>IMAGINARY(IMSUM(COMPLEX(0,N8, "j"),IMDIV(1,N7)))</f>
        <v>-5.52776740518019E-3</v>
      </c>
    </row>
    <row r="18" spans="2:18">
      <c r="B18" t="s">
        <v>26</v>
      </c>
      <c r="C18" s="13">
        <f>IMREAL(IMDIV(1,IMSUM(COMPLEX(0,N8, "j"),IMDIV(1,N7))))</f>
        <v>90.452428130712505</v>
      </c>
      <c r="D18" s="13">
        <f>IMAGINARY(IMDIV(1,IMSUM(COMPLEX(0,N8, "j"),IMDIV(1,N7))))</f>
        <v>90.429505569098097</v>
      </c>
    </row>
    <row r="19" spans="2:18">
      <c r="B19" t="s">
        <v>27</v>
      </c>
      <c r="C19" s="13">
        <f>IMABS(IMDIV(1,IMSUM(COMPLEX(0,N8, "j"),IMDIV(1,N7))))</f>
        <v>127.9028429403086</v>
      </c>
    </row>
    <row r="20" spans="2:18">
      <c r="B20" t="s">
        <v>28</v>
      </c>
      <c r="C20" s="15">
        <f>D18/2/PI()/C5</f>
        <v>1.9989309462052836</v>
      </c>
      <c r="D20" s="25"/>
    </row>
    <row r="21" spans="2:18">
      <c r="B21" t="s">
        <v>29</v>
      </c>
      <c r="C21" s="16">
        <f>(SQRT((PI()^2*(N9^2)/C11^2)+N10^2)*C11+50.8)/10</f>
        <v>10.6413074452255</v>
      </c>
      <c r="D21" s="16">
        <f>C21/2.54</f>
        <v>4.1894911201675198</v>
      </c>
      <c r="F21" s="63" t="s">
        <v>30</v>
      </c>
      <c r="G21" s="63"/>
      <c r="H21" s="63"/>
      <c r="I21" s="63"/>
      <c r="J21" s="63"/>
    </row>
    <row r="22" spans="2:18">
      <c r="B22" t="s">
        <v>29</v>
      </c>
      <c r="C22" s="17">
        <f>(N10*C11+PI()*N9+50.8)/10</f>
        <v>12.803030708687867</v>
      </c>
      <c r="D22" s="17">
        <f>C22/2.54</f>
        <v>5.0405632711369552</v>
      </c>
      <c r="F22" s="64" t="s">
        <v>31</v>
      </c>
      <c r="G22" s="64"/>
      <c r="H22" s="64"/>
      <c r="I22" s="64"/>
      <c r="J22" s="64"/>
    </row>
    <row r="23" spans="2:18">
      <c r="B23" t="s">
        <v>48</v>
      </c>
      <c r="C23" s="18">
        <f>1-C17/(0+0.02)</f>
        <v>0.72354156931760449</v>
      </c>
    </row>
    <row r="24" spans="2:18">
      <c r="B24" t="s">
        <v>33</v>
      </c>
      <c r="C24" s="19">
        <f>LOG10(C23)*10*-1</f>
        <v>1.4053651249706911</v>
      </c>
    </row>
    <row r="28" spans="2:18">
      <c r="B28" s="32" t="s">
        <v>34</v>
      </c>
      <c r="C28" s="32"/>
      <c r="D28" s="32"/>
      <c r="E28" s="32"/>
      <c r="F28" s="32"/>
      <c r="G28" s="32"/>
      <c r="H28" s="32"/>
      <c r="I28" s="32"/>
      <c r="K28" s="33" t="s">
        <v>35</v>
      </c>
      <c r="L28" s="33"/>
      <c r="M28" s="33"/>
      <c r="N28" s="33"/>
      <c r="O28" s="33"/>
      <c r="P28" s="33"/>
      <c r="Q28" s="33"/>
      <c r="R28" s="33"/>
    </row>
    <row r="29" spans="2:18" ht="18" customHeight="1">
      <c r="B29" s="34" t="s">
        <v>36</v>
      </c>
      <c r="C29" s="35"/>
      <c r="D29" s="35"/>
      <c r="E29" s="35"/>
      <c r="F29" s="35"/>
      <c r="G29" s="35"/>
      <c r="H29" s="35"/>
      <c r="I29" s="36"/>
      <c r="K29" s="43" t="s">
        <v>37</v>
      </c>
      <c r="L29" s="44"/>
      <c r="M29" s="44"/>
      <c r="N29" s="44"/>
      <c r="O29" s="44"/>
      <c r="P29" s="44"/>
      <c r="Q29" s="44"/>
      <c r="R29" s="45"/>
    </row>
    <row r="30" spans="2:18">
      <c r="B30" s="37"/>
      <c r="C30" s="38"/>
      <c r="D30" s="38"/>
      <c r="E30" s="38"/>
      <c r="F30" s="38"/>
      <c r="G30" s="38"/>
      <c r="H30" s="38"/>
      <c r="I30" s="39"/>
      <c r="K30" s="46" t="s">
        <v>38</v>
      </c>
      <c r="L30" s="47"/>
      <c r="M30" s="47"/>
      <c r="N30" s="47"/>
      <c r="O30" s="47"/>
      <c r="P30" s="47"/>
      <c r="Q30" s="47"/>
      <c r="R30" s="48"/>
    </row>
    <row r="31" spans="2:18" ht="18.75" customHeight="1">
      <c r="B31" s="37"/>
      <c r="C31" s="38"/>
      <c r="D31" s="38"/>
      <c r="E31" s="38"/>
      <c r="F31" s="38"/>
      <c r="G31" s="38"/>
      <c r="H31" s="38"/>
      <c r="I31" s="39"/>
      <c r="K31" s="46" t="s">
        <v>39</v>
      </c>
      <c r="L31" s="47"/>
      <c r="M31" s="47"/>
      <c r="N31" s="47"/>
      <c r="O31" s="47"/>
      <c r="P31" s="47"/>
      <c r="Q31" s="47"/>
      <c r="R31" s="48"/>
    </row>
    <row r="32" spans="2:18">
      <c r="B32" s="37"/>
      <c r="C32" s="38"/>
      <c r="D32" s="38"/>
      <c r="E32" s="38"/>
      <c r="F32" s="38"/>
      <c r="G32" s="38"/>
      <c r="H32" s="38"/>
      <c r="I32" s="39"/>
      <c r="K32" s="46" t="s">
        <v>55</v>
      </c>
      <c r="L32" s="47"/>
      <c r="M32" s="47"/>
      <c r="N32" s="47"/>
      <c r="O32" s="47"/>
      <c r="P32" s="47"/>
      <c r="Q32" s="47"/>
      <c r="R32" s="48"/>
    </row>
    <row r="33" spans="2:18">
      <c r="B33" s="40"/>
      <c r="C33" s="41"/>
      <c r="D33" s="41"/>
      <c r="E33" s="41"/>
      <c r="F33" s="41"/>
      <c r="G33" s="41"/>
      <c r="H33" s="41"/>
      <c r="I33" s="42"/>
      <c r="K33" s="49" t="s">
        <v>40</v>
      </c>
      <c r="L33" s="50"/>
      <c r="M33" s="50"/>
      <c r="N33" s="50"/>
      <c r="O33" s="50"/>
      <c r="P33" s="50"/>
      <c r="Q33" s="50"/>
      <c r="R33" s="51"/>
    </row>
    <row r="34" spans="2:18">
      <c r="K34" s="1"/>
      <c r="L34" s="1"/>
      <c r="M34" s="1"/>
      <c r="N34" s="1"/>
      <c r="O34" s="1"/>
      <c r="P34" s="1"/>
      <c r="Q34" s="1"/>
      <c r="R34" s="1"/>
    </row>
    <row r="36" spans="2:18">
      <c r="B36" s="29" t="s">
        <v>41</v>
      </c>
      <c r="C36" s="30"/>
      <c r="D36" s="30"/>
      <c r="E36" s="30"/>
      <c r="F36" s="30"/>
      <c r="G36" s="30"/>
      <c r="H36" s="30"/>
      <c r="I36" s="30"/>
      <c r="J36" s="31"/>
    </row>
    <row r="55" spans="2:15">
      <c r="B55" s="20"/>
      <c r="K55" s="20" t="s">
        <v>42</v>
      </c>
    </row>
    <row r="57" spans="2:15">
      <c r="B57" s="21"/>
      <c r="C57" s="21"/>
      <c r="D57" s="21"/>
      <c r="E57" s="21"/>
      <c r="F57" s="21"/>
      <c r="G57" s="21"/>
      <c r="H57" s="21"/>
      <c r="I57" s="21"/>
      <c r="J57" s="21"/>
      <c r="K57" s="21"/>
      <c r="L57" s="21"/>
      <c r="M57" s="21"/>
      <c r="N57" s="21"/>
      <c r="O57" s="21"/>
    </row>
    <row r="58" spans="2:15">
      <c r="B58" t="s">
        <v>53</v>
      </c>
      <c r="D58" t="s">
        <v>44</v>
      </c>
    </row>
    <row r="59" spans="2:15">
      <c r="C59" s="26" t="s">
        <v>49</v>
      </c>
      <c r="D59" s="26" t="s">
        <v>49</v>
      </c>
      <c r="E59" s="26" t="s">
        <v>45</v>
      </c>
      <c r="F59" s="26" t="s">
        <v>46</v>
      </c>
    </row>
    <row r="60" spans="2:15">
      <c r="C60">
        <v>0.01</v>
      </c>
      <c r="D60">
        <v>0.01</v>
      </c>
      <c r="E60">
        <v>816</v>
      </c>
      <c r="F60">
        <v>10.1</v>
      </c>
      <c r="H60" s="22">
        <f>E60/F60</f>
        <v>80.792079207920793</v>
      </c>
    </row>
    <row r="61" spans="2:15">
      <c r="C61">
        <v>1</v>
      </c>
      <c r="D61">
        <v>1.79</v>
      </c>
      <c r="E61">
        <v>851.4</v>
      </c>
      <c r="F61">
        <v>48</v>
      </c>
      <c r="H61" s="22"/>
    </row>
    <row r="62" spans="2:15">
      <c r="C62" s="22">
        <v>1.8</v>
      </c>
      <c r="D62" s="22">
        <v>2</v>
      </c>
      <c r="E62" s="23">
        <v>911.4</v>
      </c>
      <c r="F62" s="23">
        <v>177.2</v>
      </c>
      <c r="H62" s="22">
        <f>E62/F62</f>
        <v>5.1433408577878108</v>
      </c>
    </row>
    <row r="63" spans="2:15">
      <c r="C63" s="22">
        <v>2.0099999999999998</v>
      </c>
      <c r="D63" s="22">
        <v>3.49</v>
      </c>
      <c r="E63" s="23">
        <v>0</v>
      </c>
      <c r="F63" s="23">
        <v>0</v>
      </c>
      <c r="H63" s="22"/>
    </row>
    <row r="64" spans="2:15">
      <c r="C64" s="22">
        <v>3.5</v>
      </c>
      <c r="D64" s="22">
        <v>4</v>
      </c>
      <c r="E64" s="23">
        <v>687.6</v>
      </c>
      <c r="F64" s="23">
        <v>423.3</v>
      </c>
      <c r="H64" s="22">
        <f t="shared" ref="H64" si="0">E64/F64</f>
        <v>1.6243798724309</v>
      </c>
    </row>
    <row r="65" spans="3:8">
      <c r="C65" s="22">
        <v>4.01</v>
      </c>
      <c r="D65" s="22">
        <v>5.32</v>
      </c>
      <c r="E65" s="23">
        <v>0</v>
      </c>
      <c r="F65" s="23">
        <v>0</v>
      </c>
      <c r="H65" s="22"/>
    </row>
    <row r="66" spans="3:8">
      <c r="C66" s="22">
        <v>5.33</v>
      </c>
      <c r="D66" s="22">
        <v>5.41</v>
      </c>
      <c r="E66" s="23">
        <v>504.4</v>
      </c>
      <c r="F66" s="23">
        <v>427.3</v>
      </c>
      <c r="H66" s="22">
        <f t="shared" ref="H66" si="1">E66/F66</f>
        <v>1.180435291364381</v>
      </c>
    </row>
    <row r="67" spans="3:8">
      <c r="C67" s="22">
        <v>5.42</v>
      </c>
      <c r="D67" s="22">
        <v>6.99</v>
      </c>
      <c r="E67" s="23">
        <v>0</v>
      </c>
      <c r="F67" s="23">
        <v>0</v>
      </c>
      <c r="H67" s="22"/>
    </row>
    <row r="68" spans="3:8">
      <c r="C68" s="22">
        <v>7</v>
      </c>
      <c r="D68" s="22">
        <v>7.3</v>
      </c>
      <c r="E68" s="23">
        <v>394.5</v>
      </c>
      <c r="F68" s="23">
        <v>394.6</v>
      </c>
      <c r="H68" s="22">
        <f t="shared" ref="H68" si="2">E68/F68</f>
        <v>0.99974657881398876</v>
      </c>
    </row>
    <row r="69" spans="3:8">
      <c r="C69" s="22">
        <v>7.31</v>
      </c>
      <c r="D69" s="22">
        <v>10.09</v>
      </c>
      <c r="E69" s="23">
        <v>0</v>
      </c>
      <c r="F69" s="23">
        <v>0</v>
      </c>
      <c r="H69" s="22"/>
    </row>
    <row r="70" spans="3:8">
      <c r="C70" s="22">
        <v>10.1</v>
      </c>
      <c r="D70" s="22">
        <v>10.15</v>
      </c>
      <c r="E70" s="23">
        <v>294.8</v>
      </c>
      <c r="F70" s="23">
        <v>341.5</v>
      </c>
      <c r="H70" s="22">
        <f t="shared" ref="H70" si="3">E70/F70</f>
        <v>0.86325036603221084</v>
      </c>
    </row>
    <row r="71" spans="3:8">
      <c r="C71" s="22">
        <v>10.16</v>
      </c>
      <c r="D71" s="22">
        <v>13.99</v>
      </c>
      <c r="E71" s="23">
        <v>0</v>
      </c>
      <c r="F71" s="23">
        <v>0</v>
      </c>
      <c r="H71" s="22"/>
    </row>
    <row r="72" spans="3:8">
      <c r="C72" s="22">
        <v>14</v>
      </c>
      <c r="D72" s="22">
        <v>14.35</v>
      </c>
      <c r="E72" s="23">
        <v>225.5</v>
      </c>
      <c r="F72" s="23">
        <v>292.10000000000002</v>
      </c>
      <c r="H72" s="22">
        <f t="shared" ref="H72" si="4">E72/F72</f>
        <v>0.77199589181787054</v>
      </c>
    </row>
    <row r="73" spans="3:8">
      <c r="C73" s="22">
        <v>14.36</v>
      </c>
      <c r="D73" s="22">
        <v>18.059999999999999</v>
      </c>
      <c r="E73" s="23">
        <v>0</v>
      </c>
      <c r="F73" s="23">
        <v>0</v>
      </c>
      <c r="H73" s="22"/>
    </row>
    <row r="74" spans="3:8">
      <c r="C74" s="22">
        <v>18.068000000000001</v>
      </c>
      <c r="D74" s="22">
        <v>18.167999999999999</v>
      </c>
      <c r="E74" s="23">
        <v>184.6</v>
      </c>
      <c r="F74" s="23">
        <v>259.10000000000002</v>
      </c>
      <c r="H74" s="22">
        <f t="shared" ref="H74" si="5">E74/F74</f>
        <v>0.71246622925511383</v>
      </c>
    </row>
    <row r="75" spans="3:8">
      <c r="C75" s="22">
        <v>18.18</v>
      </c>
      <c r="D75" s="22">
        <v>20.99</v>
      </c>
      <c r="E75" s="23">
        <v>0</v>
      </c>
      <c r="F75" s="23">
        <v>0</v>
      </c>
      <c r="H75" s="22"/>
    </row>
    <row r="76" spans="3:8">
      <c r="C76" s="22">
        <v>21</v>
      </c>
      <c r="D76" s="22">
        <v>21.45</v>
      </c>
      <c r="E76" s="23">
        <v>161.80000000000001</v>
      </c>
      <c r="F76" s="23">
        <v>240.2</v>
      </c>
      <c r="H76" s="22">
        <f t="shared" ref="H76" si="6">E76/F76</f>
        <v>0.67360532889258962</v>
      </c>
    </row>
    <row r="77" spans="3:8">
      <c r="C77" s="22">
        <v>21.46</v>
      </c>
      <c r="D77" s="22">
        <v>24.88</v>
      </c>
      <c r="E77" s="23">
        <v>0</v>
      </c>
      <c r="F77" s="23">
        <v>0</v>
      </c>
      <c r="H77" s="22"/>
    </row>
    <row r="78" spans="3:8">
      <c r="C78" s="22">
        <v>24.89</v>
      </c>
      <c r="D78" s="22">
        <v>24.99</v>
      </c>
      <c r="E78" s="23">
        <v>140.30000000000001</v>
      </c>
      <c r="F78" s="23">
        <v>222.4</v>
      </c>
      <c r="H78" s="22">
        <f t="shared" ref="H78" si="7">E78/F78</f>
        <v>0.63084532374100721</v>
      </c>
    </row>
    <row r="79" spans="3:8">
      <c r="C79" s="22">
        <v>25</v>
      </c>
      <c r="D79" s="22">
        <v>27.99</v>
      </c>
      <c r="E79" s="23">
        <v>0</v>
      </c>
      <c r="F79" s="23">
        <v>0</v>
      </c>
      <c r="H79" s="22"/>
    </row>
    <row r="80" spans="3:8">
      <c r="C80" s="22">
        <v>28</v>
      </c>
      <c r="D80" s="22">
        <v>29.7</v>
      </c>
      <c r="E80" s="23">
        <v>126.7</v>
      </c>
      <c r="F80" s="23">
        <v>210.8</v>
      </c>
      <c r="H80" s="22">
        <f t="shared" ref="H80" si="8">E80/F80</f>
        <v>0.60104364326375714</v>
      </c>
    </row>
    <row r="81" spans="3:8">
      <c r="C81" s="22">
        <v>29.71</v>
      </c>
      <c r="D81" s="22">
        <v>999</v>
      </c>
      <c r="E81" s="23">
        <v>0</v>
      </c>
      <c r="F81" s="23">
        <v>0</v>
      </c>
      <c r="H81" s="22"/>
    </row>
    <row r="100" spans="2:2">
      <c r="B100" s="20"/>
    </row>
    <row r="102" spans="2:2">
      <c r="B102" s="24"/>
    </row>
    <row r="103" spans="2:2">
      <c r="B103" s="24"/>
    </row>
  </sheetData>
  <mergeCells count="21">
    <mergeCell ref="F22:J22"/>
    <mergeCell ref="C1:E1"/>
    <mergeCell ref="C2:E2"/>
    <mergeCell ref="C3:E3"/>
    <mergeCell ref="M5:Q5"/>
    <mergeCell ref="N6:Q6"/>
    <mergeCell ref="N7:Q7"/>
    <mergeCell ref="N8:Q8"/>
    <mergeCell ref="N9:Q9"/>
    <mergeCell ref="N10:Q10"/>
    <mergeCell ref="E13:P16"/>
    <mergeCell ref="F21:J21"/>
    <mergeCell ref="B36:J36"/>
    <mergeCell ref="B28:I28"/>
    <mergeCell ref="K28:R28"/>
    <mergeCell ref="B29:I33"/>
    <mergeCell ref="K29:R29"/>
    <mergeCell ref="K30:R30"/>
    <mergeCell ref="K31:R31"/>
    <mergeCell ref="K32:R32"/>
    <mergeCell ref="K33:R33"/>
  </mergeCells>
  <conditionalFormatting sqref="N22">
    <cfRule type="cellIs" dxfId="1" priority="1" operator="lessThan">
      <formula>#REF!</formula>
    </cfRule>
    <cfRule type="cellIs" dxfId="0" priority="2" operator="greaterThan">
      <formula>#REF!</formula>
    </cfRule>
  </conditionalFormatting>
  <hyperlinks>
    <hyperlink ref="K55" r:id="rId1" xr:uid="{735726AA-E4D3-4CCD-ADC6-C1907F21E9D8}"/>
  </hyperlinks>
  <pageMargins left="0.7" right="0.7" top="0.75" bottom="0.75" header="0.3" footer="0.3"/>
  <pageSetup orientation="portrait" horizontalDpi="4294967293" verticalDpi="4294967293"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BCDAD-ECEB-4CF6-8EF1-4BE0452FCE9E}">
  <dimension ref="A1:Q104"/>
  <sheetViews>
    <sheetView topLeftCell="A26" workbookViewId="0">
      <selection activeCell="J33" sqref="J33:Q33"/>
    </sheetView>
  </sheetViews>
  <sheetFormatPr defaultColWidth="9.1328125" defaultRowHeight="14.25"/>
  <cols>
    <col min="1" max="1" width="24.73046875" customWidth="1"/>
    <col min="2" max="2" width="12.59765625" bestFit="1" customWidth="1"/>
    <col min="3" max="3" width="19" customWidth="1"/>
    <col min="4" max="4" width="12" bestFit="1" customWidth="1"/>
    <col min="6" max="6" width="11.1328125" customWidth="1"/>
    <col min="7" max="7" width="12.86328125" customWidth="1"/>
    <col min="8" max="8" width="12.73046875" customWidth="1"/>
    <col min="9" max="9" width="16.73046875" bestFit="1" customWidth="1"/>
    <col min="13" max="13" width="12" bestFit="1" customWidth="1"/>
  </cols>
  <sheetData>
    <row r="1" spans="1:16">
      <c r="B1" s="43" t="s">
        <v>50</v>
      </c>
      <c r="C1" s="44"/>
      <c r="D1" s="45"/>
    </row>
    <row r="2" spans="1:16">
      <c r="B2" s="65" t="s">
        <v>1</v>
      </c>
      <c r="C2" s="66"/>
      <c r="D2" s="67"/>
    </row>
    <row r="3" spans="1:16">
      <c r="B3" s="68" t="s">
        <v>51</v>
      </c>
      <c r="C3" s="69"/>
      <c r="D3" s="70"/>
    </row>
    <row r="4" spans="1:16">
      <c r="B4" s="27"/>
      <c r="C4" s="27"/>
      <c r="D4" s="27"/>
    </row>
    <row r="5" spans="1:16">
      <c r="A5" t="s">
        <v>2</v>
      </c>
      <c r="B5" s="2">
        <v>1</v>
      </c>
      <c r="H5" s="47"/>
      <c r="I5" s="47"/>
    </row>
    <row r="6" spans="1:16">
      <c r="A6" t="s">
        <v>3</v>
      </c>
      <c r="B6" s="2">
        <v>28.2</v>
      </c>
      <c r="H6" s="47"/>
      <c r="I6" s="47"/>
      <c r="L6" s="71" t="s">
        <v>4</v>
      </c>
      <c r="M6" s="71"/>
      <c r="N6" s="71"/>
      <c r="O6" s="71"/>
      <c r="P6" s="71"/>
    </row>
    <row r="7" spans="1:16">
      <c r="A7" t="s">
        <v>5</v>
      </c>
      <c r="B7" s="3">
        <v>15.875</v>
      </c>
      <c r="C7" s="4" t="s">
        <v>52</v>
      </c>
      <c r="H7" s="47"/>
      <c r="I7" s="47"/>
      <c r="L7" s="5" t="s">
        <v>7</v>
      </c>
      <c r="M7" s="52">
        <f>B10*B16*4*PI()*B12^2*0.1*2*PI()*B6</f>
        <v>374.98684654666039</v>
      </c>
      <c r="N7" s="52"/>
      <c r="O7" s="52"/>
      <c r="P7" s="52"/>
    </row>
    <row r="8" spans="1:16">
      <c r="A8" t="s">
        <v>8</v>
      </c>
      <c r="B8" s="3">
        <v>8.18</v>
      </c>
      <c r="C8" s="4" t="s">
        <v>52</v>
      </c>
      <c r="L8" s="5" t="s">
        <v>9</v>
      </c>
      <c r="M8" s="52" t="str">
        <f>COMPLEX(M7*B11/B10,M7,"j")</f>
        <v>628.787085909436+374.98684654666j</v>
      </c>
      <c r="N8" s="52"/>
      <c r="O8" s="52"/>
      <c r="P8" s="52"/>
    </row>
    <row r="9" spans="1:16">
      <c r="A9" t="s">
        <v>10</v>
      </c>
      <c r="B9" s="3">
        <v>14.22</v>
      </c>
      <c r="C9" s="4" t="s">
        <v>52</v>
      </c>
      <c r="L9" s="5" t="s">
        <v>11</v>
      </c>
      <c r="M9" s="52">
        <f>2*PI()*B6*B13*10^-6</f>
        <v>0</v>
      </c>
      <c r="N9" s="52"/>
      <c r="O9" s="52"/>
      <c r="P9" s="52"/>
    </row>
    <row r="10" spans="1:16">
      <c r="A10" t="s">
        <v>12</v>
      </c>
      <c r="B10" s="7">
        <f>VLOOKUP($B$6,$B$61:$E$81,3)</f>
        <v>124.7</v>
      </c>
      <c r="C10" s="8" t="s">
        <v>13</v>
      </c>
      <c r="L10" s="5" t="s">
        <v>14</v>
      </c>
      <c r="M10" s="53">
        <f>0.5*(B7+B8)</f>
        <v>12.0275</v>
      </c>
      <c r="N10" s="53"/>
      <c r="O10" s="53"/>
      <c r="P10" s="53"/>
    </row>
    <row r="11" spans="1:16">
      <c r="A11" t="s">
        <v>15</v>
      </c>
      <c r="B11" s="7">
        <f>VLOOKUP($B$6,$B$61:$E$81,4)</f>
        <v>209.1</v>
      </c>
      <c r="C11" s="9" t="s">
        <v>16</v>
      </c>
      <c r="L11" s="5" t="s">
        <v>17</v>
      </c>
      <c r="M11" s="53">
        <f>2*B9*B5+B7-B8</f>
        <v>36.134999999999998</v>
      </c>
      <c r="N11" s="53"/>
      <c r="O11" s="53"/>
      <c r="P11" s="53"/>
    </row>
    <row r="12" spans="1:16">
      <c r="A12" t="s">
        <v>18</v>
      </c>
      <c r="B12" s="2">
        <v>3</v>
      </c>
    </row>
    <row r="13" spans="1:16">
      <c r="A13" t="s">
        <v>19</v>
      </c>
      <c r="B13" s="2">
        <v>0</v>
      </c>
    </row>
    <row r="14" spans="1:16">
      <c r="D14" s="54" t="s">
        <v>20</v>
      </c>
      <c r="E14" s="55"/>
      <c r="F14" s="55"/>
      <c r="G14" s="55"/>
      <c r="H14" s="55"/>
      <c r="I14" s="55"/>
      <c r="J14" s="55"/>
      <c r="K14" s="55"/>
      <c r="L14" s="55"/>
      <c r="M14" s="55"/>
      <c r="N14" s="55"/>
      <c r="O14" s="56"/>
    </row>
    <row r="15" spans="1:16" ht="18" customHeight="1">
      <c r="A15" t="s">
        <v>21</v>
      </c>
      <c r="B15" s="10">
        <f>4*PI()*B16*B10*10^2</f>
        <v>235.14976446943666</v>
      </c>
      <c r="D15" s="57"/>
      <c r="E15" s="58"/>
      <c r="F15" s="58"/>
      <c r="G15" s="58"/>
      <c r="H15" s="58"/>
      <c r="I15" s="58"/>
      <c r="J15" s="58"/>
      <c r="K15" s="58"/>
      <c r="L15" s="58"/>
      <c r="M15" s="58"/>
      <c r="N15" s="58"/>
      <c r="O15" s="59"/>
    </row>
    <row r="16" spans="1:16">
      <c r="A16" t="s">
        <v>22</v>
      </c>
      <c r="B16" s="11">
        <f>LN(B7/B8)/2/PI()*B9*B5*0.001</f>
        <v>1.5006113625583713E-3</v>
      </c>
      <c r="D16" s="57"/>
      <c r="E16" s="58"/>
      <c r="F16" s="58"/>
      <c r="G16" s="58"/>
      <c r="H16" s="58"/>
      <c r="I16" s="58"/>
      <c r="J16" s="58"/>
      <c r="K16" s="58"/>
      <c r="L16" s="58"/>
      <c r="M16" s="58"/>
      <c r="N16" s="58"/>
      <c r="O16" s="59"/>
    </row>
    <row r="17" spans="1:17" ht="15" customHeight="1">
      <c r="B17" t="s">
        <v>23</v>
      </c>
      <c r="C17" t="s">
        <v>24</v>
      </c>
      <c r="D17" s="60"/>
      <c r="E17" s="61"/>
      <c r="F17" s="61"/>
      <c r="G17" s="61"/>
      <c r="H17" s="61"/>
      <c r="I17" s="61"/>
      <c r="J17" s="61"/>
      <c r="K17" s="61"/>
      <c r="L17" s="61"/>
      <c r="M17" s="61"/>
      <c r="N17" s="61"/>
      <c r="O17" s="62"/>
    </row>
    <row r="18" spans="1:17">
      <c r="A18" t="s">
        <v>25</v>
      </c>
      <c r="B18" s="12">
        <f>IMREAL(IMSUM(COMPLEX(0,M9, "j"),IMDIV(1,M8)))</f>
        <v>1.17313576704675E-3</v>
      </c>
      <c r="C18" s="12">
        <f>IMAGINARY(IMSUM(COMPLEX(0,M9, "j"),IMDIV(1,M8)))</f>
        <v>-6.9961755213165705E-4</v>
      </c>
    </row>
    <row r="19" spans="1:17">
      <c r="A19" t="s">
        <v>26</v>
      </c>
      <c r="B19" s="13">
        <f>IMREAL(IMDIV(1,IMSUM(COMPLEX(0,M9, "j"),IMDIV(1,M8))))</f>
        <v>628.78708590943597</v>
      </c>
      <c r="C19" s="13">
        <f>IMAGINARY(IMDIV(1,IMSUM(COMPLEX(0,M9, "j"),IMDIV(1,M8))))</f>
        <v>374.98684654665999</v>
      </c>
      <c r="M19" s="47"/>
      <c r="N19" s="47"/>
      <c r="O19" s="47"/>
    </row>
    <row r="20" spans="1:17">
      <c r="A20" t="s">
        <v>27</v>
      </c>
      <c r="B20" s="13">
        <f>IMABS(IMDIV(1,IMSUM(COMPLEX(0,M9, "j"),IMDIV(1,M8))))</f>
        <v>732.11224172901836</v>
      </c>
      <c r="M20" s="47"/>
      <c r="N20" s="47"/>
      <c r="O20" s="47"/>
    </row>
    <row r="21" spans="1:17">
      <c r="A21" t="s">
        <v>28</v>
      </c>
      <c r="B21" s="15">
        <f>C19/2/PI()/B5</f>
        <v>59.681010222342962</v>
      </c>
    </row>
    <row r="22" spans="1:17">
      <c r="A22" t="s">
        <v>29</v>
      </c>
      <c r="B22" s="16">
        <f>(SQRT((PI()^2*(M10^2)/B12^2)+M11^2)*B12+50.8)/10</f>
        <v>16.560151767964527</v>
      </c>
      <c r="C22" s="16">
        <f>B22/2.54</f>
        <v>6.5197447905372155</v>
      </c>
      <c r="E22" s="63" t="s">
        <v>30</v>
      </c>
      <c r="F22" s="63"/>
      <c r="G22" s="63"/>
      <c r="H22" s="63"/>
      <c r="I22" s="63"/>
    </row>
    <row r="23" spans="1:17">
      <c r="A23" t="s">
        <v>29</v>
      </c>
      <c r="B23" s="17">
        <f>(M11*B12+PI()*M10+50.8)/10</f>
        <v>19.699050564105125</v>
      </c>
      <c r="C23" s="17">
        <f>B23/2.54</f>
        <v>7.7555317181516239</v>
      </c>
      <c r="E23" s="64" t="s">
        <v>31</v>
      </c>
      <c r="F23" s="64"/>
      <c r="G23" s="64"/>
      <c r="H23" s="64"/>
      <c r="I23" s="64"/>
    </row>
    <row r="24" spans="1:17">
      <c r="A24" t="s">
        <v>48</v>
      </c>
      <c r="B24" s="18">
        <f>1-B18/(0.02)</f>
        <v>0.94134321164766255</v>
      </c>
    </row>
    <row r="25" spans="1:17">
      <c r="A25" t="s">
        <v>33</v>
      </c>
      <c r="B25" s="19">
        <f>LOG10(B24)*10*-1</f>
        <v>0.26252004894895808</v>
      </c>
    </row>
    <row r="29" spans="1:17">
      <c r="A29" s="32" t="s">
        <v>34</v>
      </c>
      <c r="B29" s="32"/>
      <c r="C29" s="32"/>
      <c r="D29" s="32"/>
      <c r="E29" s="32"/>
      <c r="F29" s="32"/>
      <c r="G29" s="32"/>
      <c r="H29" s="32"/>
      <c r="J29" s="33" t="s">
        <v>35</v>
      </c>
      <c r="K29" s="33"/>
      <c r="L29" s="33"/>
      <c r="M29" s="33"/>
      <c r="N29" s="33"/>
      <c r="O29" s="33"/>
      <c r="P29" s="33"/>
      <c r="Q29" s="33"/>
    </row>
    <row r="30" spans="1:17" ht="18" customHeight="1">
      <c r="A30" s="34" t="s">
        <v>36</v>
      </c>
      <c r="B30" s="35"/>
      <c r="C30" s="35"/>
      <c r="D30" s="35"/>
      <c r="E30" s="35"/>
      <c r="F30" s="35"/>
      <c r="G30" s="35"/>
      <c r="H30" s="36"/>
      <c r="J30" s="43" t="s">
        <v>37</v>
      </c>
      <c r="K30" s="44"/>
      <c r="L30" s="44"/>
      <c r="M30" s="44"/>
      <c r="N30" s="44"/>
      <c r="O30" s="44"/>
      <c r="P30" s="44"/>
      <c r="Q30" s="45"/>
    </row>
    <row r="31" spans="1:17">
      <c r="A31" s="37"/>
      <c r="B31" s="38"/>
      <c r="C31" s="38"/>
      <c r="D31" s="38"/>
      <c r="E31" s="38"/>
      <c r="F31" s="38"/>
      <c r="G31" s="38"/>
      <c r="H31" s="39"/>
      <c r="J31" s="46" t="s">
        <v>38</v>
      </c>
      <c r="K31" s="47"/>
      <c r="L31" s="47"/>
      <c r="M31" s="47"/>
      <c r="N31" s="47"/>
      <c r="O31" s="47"/>
      <c r="P31" s="47"/>
      <c r="Q31" s="48"/>
    </row>
    <row r="32" spans="1:17" ht="18.75" customHeight="1">
      <c r="A32" s="37"/>
      <c r="B32" s="38"/>
      <c r="C32" s="38"/>
      <c r="D32" s="38"/>
      <c r="E32" s="38"/>
      <c r="F32" s="38"/>
      <c r="G32" s="38"/>
      <c r="H32" s="39"/>
      <c r="J32" s="46" t="s">
        <v>39</v>
      </c>
      <c r="K32" s="47"/>
      <c r="L32" s="47"/>
      <c r="M32" s="47"/>
      <c r="N32" s="47"/>
      <c r="O32" s="47"/>
      <c r="P32" s="47"/>
      <c r="Q32" s="48"/>
    </row>
    <row r="33" spans="1:17">
      <c r="A33" s="37"/>
      <c r="B33" s="38"/>
      <c r="C33" s="38"/>
      <c r="D33" s="38"/>
      <c r="E33" s="38"/>
      <c r="F33" s="38"/>
      <c r="G33" s="38"/>
      <c r="H33" s="39"/>
      <c r="J33" s="46" t="s">
        <v>55</v>
      </c>
      <c r="K33" s="47"/>
      <c r="L33" s="47"/>
      <c r="M33" s="47"/>
      <c r="N33" s="47"/>
      <c r="O33" s="47"/>
      <c r="P33" s="47"/>
      <c r="Q33" s="48"/>
    </row>
    <row r="34" spans="1:17">
      <c r="A34" s="40"/>
      <c r="B34" s="41"/>
      <c r="C34" s="41"/>
      <c r="D34" s="41"/>
      <c r="E34" s="41"/>
      <c r="F34" s="41"/>
      <c r="G34" s="41"/>
      <c r="H34" s="42"/>
      <c r="J34" s="49" t="s">
        <v>40</v>
      </c>
      <c r="K34" s="50"/>
      <c r="L34" s="50"/>
      <c r="M34" s="50"/>
      <c r="N34" s="50"/>
      <c r="O34" s="50"/>
      <c r="P34" s="50"/>
      <c r="Q34" s="51"/>
    </row>
    <row r="35" spans="1:17">
      <c r="J35" s="1"/>
      <c r="K35" s="1"/>
      <c r="L35" s="1"/>
      <c r="M35" s="1"/>
      <c r="N35" s="1"/>
      <c r="O35" s="1"/>
      <c r="P35" s="1"/>
      <c r="Q35" s="1"/>
    </row>
    <row r="37" spans="1:17">
      <c r="A37" s="29" t="s">
        <v>41</v>
      </c>
      <c r="B37" s="30"/>
      <c r="C37" s="30"/>
      <c r="D37" s="30"/>
      <c r="E37" s="30"/>
      <c r="F37" s="30"/>
      <c r="G37" s="30"/>
      <c r="H37" s="30"/>
      <c r="I37" s="31"/>
    </row>
    <row r="56" spans="1:14">
      <c r="A56" s="20" t="s">
        <v>54</v>
      </c>
      <c r="J56" s="20" t="s">
        <v>42</v>
      </c>
    </row>
    <row r="58" spans="1:14">
      <c r="A58" s="21"/>
      <c r="B58" s="21"/>
      <c r="C58" s="21"/>
      <c r="D58" s="21"/>
      <c r="E58" s="21"/>
      <c r="F58" s="21"/>
      <c r="G58" s="21"/>
      <c r="H58" s="21"/>
      <c r="I58" s="21"/>
      <c r="J58" s="21"/>
      <c r="K58" s="21"/>
      <c r="L58" s="21"/>
      <c r="M58" s="21"/>
      <c r="N58" s="21"/>
    </row>
    <row r="59" spans="1:14">
      <c r="A59" t="s">
        <v>43</v>
      </c>
      <c r="C59" t="s">
        <v>44</v>
      </c>
    </row>
    <row r="60" spans="1:14">
      <c r="B60" s="26" t="s">
        <v>49</v>
      </c>
      <c r="C60" s="26" t="s">
        <v>49</v>
      </c>
      <c r="D60" s="26" t="s">
        <v>45</v>
      </c>
      <c r="E60" s="26" t="s">
        <v>46</v>
      </c>
    </row>
    <row r="61" spans="1:14">
      <c r="B61" s="28">
        <v>0</v>
      </c>
      <c r="C61" s="28">
        <v>1.79</v>
      </c>
      <c r="D61" s="28">
        <v>800</v>
      </c>
      <c r="E61" s="28">
        <v>0</v>
      </c>
    </row>
    <row r="62" spans="1:14">
      <c r="B62" s="22">
        <v>1.8</v>
      </c>
      <c r="C62" s="22">
        <v>2</v>
      </c>
      <c r="D62" s="23">
        <v>911.4</v>
      </c>
      <c r="E62" s="23">
        <v>177.2</v>
      </c>
      <c r="G62" s="22">
        <f>D62/E62</f>
        <v>5.1433408577878108</v>
      </c>
    </row>
    <row r="63" spans="1:14">
      <c r="B63" s="22">
        <v>2.0099999999999998</v>
      </c>
      <c r="C63" s="22">
        <v>3.49</v>
      </c>
      <c r="D63" s="23">
        <v>0</v>
      </c>
      <c r="E63" s="23">
        <v>0</v>
      </c>
      <c r="G63" s="22"/>
    </row>
    <row r="64" spans="1:14">
      <c r="B64" s="22">
        <v>3.5</v>
      </c>
      <c r="C64" s="22">
        <v>4</v>
      </c>
      <c r="D64" s="23">
        <v>687.6</v>
      </c>
      <c r="E64" s="23">
        <v>423.3</v>
      </c>
      <c r="G64" s="22">
        <f t="shared" ref="G64" si="0">D64/E64</f>
        <v>1.6243798724309</v>
      </c>
    </row>
    <row r="65" spans="2:7">
      <c r="B65" s="22">
        <v>4.01</v>
      </c>
      <c r="C65" s="22">
        <v>5.32</v>
      </c>
      <c r="D65" s="23">
        <v>0</v>
      </c>
      <c r="E65" s="23">
        <v>0</v>
      </c>
      <c r="G65" s="22"/>
    </row>
    <row r="66" spans="2:7">
      <c r="B66" s="22">
        <v>5.33</v>
      </c>
      <c r="C66" s="22">
        <v>5.41</v>
      </c>
      <c r="D66" s="23">
        <v>504.4</v>
      </c>
      <c r="E66" s="23">
        <v>427.3</v>
      </c>
      <c r="G66" s="22">
        <f t="shared" ref="G66" si="1">D66/E66</f>
        <v>1.180435291364381</v>
      </c>
    </row>
    <row r="67" spans="2:7">
      <c r="B67" s="22">
        <v>5.42</v>
      </c>
      <c r="C67" s="22">
        <v>6.99</v>
      </c>
      <c r="D67" s="23">
        <v>0</v>
      </c>
      <c r="E67" s="23">
        <v>0</v>
      </c>
      <c r="G67" s="22"/>
    </row>
    <row r="68" spans="2:7">
      <c r="B68" s="22">
        <v>7</v>
      </c>
      <c r="C68" s="22">
        <v>7.3</v>
      </c>
      <c r="D68" s="23">
        <v>394.5</v>
      </c>
      <c r="E68" s="23">
        <v>394.6</v>
      </c>
      <c r="G68" s="22">
        <f t="shared" ref="G68" si="2">D68/E68</f>
        <v>0.99974657881398876</v>
      </c>
    </row>
    <row r="69" spans="2:7">
      <c r="B69" s="22">
        <v>7.31</v>
      </c>
      <c r="C69" s="22">
        <v>10.09</v>
      </c>
      <c r="D69" s="23">
        <v>0</v>
      </c>
      <c r="E69" s="23">
        <v>0</v>
      </c>
      <c r="G69" s="22"/>
    </row>
    <row r="70" spans="2:7">
      <c r="B70" s="22">
        <v>10.1</v>
      </c>
      <c r="C70" s="22">
        <v>10.15</v>
      </c>
      <c r="D70" s="23">
        <v>294.8</v>
      </c>
      <c r="E70" s="23">
        <v>341.5</v>
      </c>
      <c r="G70" s="22">
        <f t="shared" ref="G70" si="3">D70/E70</f>
        <v>0.86325036603221084</v>
      </c>
    </row>
    <row r="71" spans="2:7">
      <c r="B71" s="22">
        <v>10.16</v>
      </c>
      <c r="C71" s="22">
        <v>13.99</v>
      </c>
      <c r="D71" s="23">
        <v>0</v>
      </c>
      <c r="E71" s="23">
        <v>0</v>
      </c>
      <c r="G71" s="22"/>
    </row>
    <row r="72" spans="2:7">
      <c r="B72" s="22">
        <v>14</v>
      </c>
      <c r="C72" s="22">
        <v>14.35</v>
      </c>
      <c r="D72" s="23">
        <v>225.5</v>
      </c>
      <c r="E72" s="23">
        <v>292.10000000000002</v>
      </c>
      <c r="G72" s="22">
        <f t="shared" ref="G72" si="4">D72/E72</f>
        <v>0.77199589181787054</v>
      </c>
    </row>
    <row r="73" spans="2:7">
      <c r="B73" s="22">
        <v>14.36</v>
      </c>
      <c r="C73" s="22">
        <v>18.059999999999999</v>
      </c>
      <c r="D73" s="23">
        <v>0</v>
      </c>
      <c r="E73" s="23">
        <v>0</v>
      </c>
      <c r="G73" s="22"/>
    </row>
    <row r="74" spans="2:7">
      <c r="B74" s="22">
        <v>18.068000000000001</v>
      </c>
      <c r="C74" s="22">
        <v>18.167999999999999</v>
      </c>
      <c r="D74" s="23">
        <v>184.6</v>
      </c>
      <c r="E74" s="23">
        <v>259.10000000000002</v>
      </c>
      <c r="G74" s="22">
        <f t="shared" ref="G74" si="5">D74/E74</f>
        <v>0.71246622925511383</v>
      </c>
    </row>
    <row r="75" spans="2:7">
      <c r="B75" s="22">
        <v>18.18</v>
      </c>
      <c r="C75" s="22">
        <v>20.99</v>
      </c>
      <c r="D75" s="23">
        <v>0</v>
      </c>
      <c r="E75" s="23">
        <v>0</v>
      </c>
      <c r="G75" s="22"/>
    </row>
    <row r="76" spans="2:7">
      <c r="B76" s="22">
        <v>21</v>
      </c>
      <c r="C76" s="22">
        <v>21.45</v>
      </c>
      <c r="D76" s="23">
        <v>161.80000000000001</v>
      </c>
      <c r="E76" s="23">
        <v>240.2</v>
      </c>
      <c r="G76" s="22">
        <f t="shared" ref="G76" si="6">D76/E76</f>
        <v>0.67360532889258962</v>
      </c>
    </row>
    <row r="77" spans="2:7">
      <c r="B77" s="22">
        <v>21.46</v>
      </c>
      <c r="C77" s="22">
        <v>24.88</v>
      </c>
      <c r="D77" s="23">
        <v>0</v>
      </c>
      <c r="E77" s="23">
        <v>0</v>
      </c>
      <c r="G77" s="22"/>
    </row>
    <row r="78" spans="2:7">
      <c r="B78" s="22">
        <v>24.89</v>
      </c>
      <c r="C78" s="22">
        <v>24.99</v>
      </c>
      <c r="D78" s="23">
        <v>140.30000000000001</v>
      </c>
      <c r="E78" s="23">
        <v>222.4</v>
      </c>
      <c r="G78" s="22">
        <f t="shared" ref="G78" si="7">D78/E78</f>
        <v>0.63084532374100721</v>
      </c>
    </row>
    <row r="79" spans="2:7">
      <c r="B79" s="22">
        <v>25</v>
      </c>
      <c r="C79" s="22">
        <v>27.99</v>
      </c>
      <c r="D79" s="23">
        <v>0</v>
      </c>
      <c r="E79" s="23">
        <v>0</v>
      </c>
      <c r="G79" s="22"/>
    </row>
    <row r="80" spans="2:7">
      <c r="B80" s="22">
        <v>28</v>
      </c>
      <c r="C80" s="22">
        <v>29.7</v>
      </c>
      <c r="D80" s="23">
        <v>124.7</v>
      </c>
      <c r="E80" s="23">
        <v>209.1</v>
      </c>
      <c r="G80" s="22">
        <f t="shared" ref="G80" si="8">D80/E80</f>
        <v>0.59636537541846013</v>
      </c>
    </row>
    <row r="81" spans="2:7">
      <c r="B81" s="22">
        <v>29.71</v>
      </c>
      <c r="C81" s="22">
        <v>999</v>
      </c>
      <c r="D81" s="23">
        <v>0</v>
      </c>
      <c r="E81" s="23">
        <v>0</v>
      </c>
      <c r="G81" s="22"/>
    </row>
    <row r="101" spans="1:1">
      <c r="A101" s="20"/>
    </row>
    <row r="103" spans="1:1">
      <c r="A103" s="24"/>
    </row>
    <row r="104" spans="1:1">
      <c r="A104" s="24"/>
    </row>
  </sheetData>
  <mergeCells count="26">
    <mergeCell ref="L6:P6"/>
    <mergeCell ref="B1:D1"/>
    <mergeCell ref="B2:D2"/>
    <mergeCell ref="B3:D3"/>
    <mergeCell ref="H5:I5"/>
    <mergeCell ref="H6:I6"/>
    <mergeCell ref="A29:H29"/>
    <mergeCell ref="J29:Q29"/>
    <mergeCell ref="H7:I7"/>
    <mergeCell ref="M7:P7"/>
    <mergeCell ref="M8:P8"/>
    <mergeCell ref="M9:P9"/>
    <mergeCell ref="M10:P10"/>
    <mergeCell ref="M11:P11"/>
    <mergeCell ref="D14:O17"/>
    <mergeCell ref="M19:O19"/>
    <mergeCell ref="M20:O20"/>
    <mergeCell ref="E22:I22"/>
    <mergeCell ref="E23:I23"/>
    <mergeCell ref="A37:I37"/>
    <mergeCell ref="A30:H34"/>
    <mergeCell ref="J30:Q30"/>
    <mergeCell ref="J31:Q31"/>
    <mergeCell ref="J32:Q32"/>
    <mergeCell ref="J33:Q33"/>
    <mergeCell ref="J34:Q34"/>
  </mergeCells>
  <hyperlinks>
    <hyperlink ref="A56" r:id="rId1" display="https://owenduffy.net/calc/toroid2.htm " xr:uid="{273ED03E-56D3-45C4-8D09-63193062F4F9}"/>
    <hyperlink ref="J56" r:id="rId2" xr:uid="{51EC1CBE-2A12-4ED6-9E88-E075236AA107}"/>
  </hyperlinks>
  <pageMargins left="0.7" right="0.7" top="0.75" bottom="0.75" header="0.3" footer="0.3"/>
  <pageSetup orientation="portrait" horizontalDpi="4294967293" verticalDpi="4294967293"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02315-D538-42F7-ABC4-F68C52EE6A49}">
  <dimension ref="A1:Q105"/>
  <sheetViews>
    <sheetView tabSelected="1" topLeftCell="A3" workbookViewId="0">
      <selection activeCell="E27" sqref="E27"/>
    </sheetView>
  </sheetViews>
  <sheetFormatPr defaultColWidth="9.1328125" defaultRowHeight="14.25"/>
  <cols>
    <col min="1" max="1" width="24.73046875" customWidth="1"/>
    <col min="2" max="2" width="12.59765625" bestFit="1" customWidth="1"/>
    <col min="3" max="3" width="19.59765625" customWidth="1"/>
    <col min="4" max="4" width="12" bestFit="1" customWidth="1"/>
    <col min="6" max="6" width="11.3984375" customWidth="1"/>
    <col min="7" max="7" width="11.86328125" customWidth="1"/>
    <col min="9" max="9" width="16.73046875" bestFit="1" customWidth="1"/>
    <col min="13" max="13" width="12" bestFit="1" customWidth="1"/>
  </cols>
  <sheetData>
    <row r="1" spans="1:16">
      <c r="B1" s="43" t="s">
        <v>0</v>
      </c>
      <c r="C1" s="44"/>
      <c r="D1" s="45"/>
    </row>
    <row r="2" spans="1:16">
      <c r="B2" s="65" t="s">
        <v>1</v>
      </c>
      <c r="C2" s="66"/>
      <c r="D2" s="67"/>
    </row>
    <row r="3" spans="1:16">
      <c r="B3" s="68"/>
      <c r="C3" s="69"/>
      <c r="D3" s="70"/>
    </row>
    <row r="4" spans="1:16">
      <c r="A4" t="s">
        <v>2</v>
      </c>
      <c r="B4" s="2">
        <v>2</v>
      </c>
    </row>
    <row r="5" spans="1:16">
      <c r="A5" t="s">
        <v>3</v>
      </c>
      <c r="B5" s="2">
        <v>3.6</v>
      </c>
      <c r="L5" s="71" t="s">
        <v>4</v>
      </c>
      <c r="M5" s="71"/>
      <c r="N5" s="71"/>
      <c r="O5" s="71"/>
      <c r="P5" s="71"/>
    </row>
    <row r="6" spans="1:16">
      <c r="A6" t="s">
        <v>5</v>
      </c>
      <c r="B6" s="3">
        <v>61</v>
      </c>
      <c r="C6" s="4" t="s">
        <v>6</v>
      </c>
      <c r="L6" s="5" t="s">
        <v>7</v>
      </c>
      <c r="M6" s="52">
        <f>B9*B15*4*PI()*B11^2*0.1*2*PI()*B5</f>
        <v>170.64060489969214</v>
      </c>
      <c r="N6" s="52"/>
      <c r="O6" s="52"/>
      <c r="P6" s="52"/>
    </row>
    <row r="7" spans="1:16">
      <c r="A7" t="s">
        <v>8</v>
      </c>
      <c r="B7" s="3">
        <v>35.549999999999997</v>
      </c>
      <c r="C7" s="4" t="s">
        <v>6</v>
      </c>
      <c r="L7" s="5" t="s">
        <v>9</v>
      </c>
      <c r="M7" s="52" t="str">
        <f>COMPLEX(M6*B10/B9,M6,"j")</f>
        <v>105.049691759802+170.640604899692j</v>
      </c>
      <c r="N7" s="52"/>
      <c r="O7" s="52"/>
      <c r="P7" s="52"/>
    </row>
    <row r="8" spans="1:16">
      <c r="A8" t="s">
        <v>10</v>
      </c>
      <c r="B8" s="3">
        <v>12.7</v>
      </c>
      <c r="C8" s="6" t="s">
        <v>6</v>
      </c>
      <c r="L8" s="5" t="s">
        <v>11</v>
      </c>
      <c r="M8" s="52">
        <f>2*PI()*B5*B12*10^-6</f>
        <v>0</v>
      </c>
      <c r="N8" s="52"/>
      <c r="O8" s="52"/>
      <c r="P8" s="52"/>
    </row>
    <row r="9" spans="1:16">
      <c r="A9" t="s">
        <v>12</v>
      </c>
      <c r="B9" s="7">
        <f>VLOOKUP($B$5,$B$62:$E$82,3)</f>
        <v>687.6</v>
      </c>
      <c r="C9" s="8" t="s">
        <v>13</v>
      </c>
      <c r="L9" s="5" t="s">
        <v>14</v>
      </c>
      <c r="M9" s="53">
        <f>0.5*(B6+B7)</f>
        <v>48.274999999999999</v>
      </c>
      <c r="N9" s="53"/>
      <c r="O9" s="53"/>
      <c r="P9" s="53"/>
    </row>
    <row r="10" spans="1:16">
      <c r="A10" t="s">
        <v>15</v>
      </c>
      <c r="B10" s="7">
        <f>VLOOKUP($B$5,$B$62:$E$82,4)</f>
        <v>423.3</v>
      </c>
      <c r="C10" s="9" t="s">
        <v>16</v>
      </c>
      <c r="L10" s="5" t="s">
        <v>17</v>
      </c>
      <c r="M10" s="53">
        <f>2*B8*B4+B6-B7</f>
        <v>76.25</v>
      </c>
      <c r="N10" s="53"/>
      <c r="O10" s="53"/>
      <c r="P10" s="53"/>
    </row>
    <row r="11" spans="1:16">
      <c r="A11" t="s">
        <v>18</v>
      </c>
      <c r="B11" s="2">
        <v>2</v>
      </c>
    </row>
    <row r="12" spans="1:16">
      <c r="A12" t="s">
        <v>19</v>
      </c>
      <c r="B12" s="2">
        <v>0</v>
      </c>
    </row>
    <row r="13" spans="1:16">
      <c r="D13" s="54" t="s">
        <v>20</v>
      </c>
      <c r="E13" s="55"/>
      <c r="F13" s="55"/>
      <c r="G13" s="55"/>
      <c r="H13" s="55"/>
      <c r="I13" s="55"/>
      <c r="J13" s="55"/>
      <c r="K13" s="55"/>
      <c r="L13" s="55"/>
      <c r="M13" s="55"/>
      <c r="N13" s="55"/>
      <c r="O13" s="56"/>
    </row>
    <row r="14" spans="1:16" ht="18" customHeight="1">
      <c r="A14" t="s">
        <v>21</v>
      </c>
      <c r="B14" s="10">
        <f>4*PI()*B15*B9*10^2</f>
        <v>1885.9927612484096</v>
      </c>
      <c r="D14" s="57"/>
      <c r="E14" s="58"/>
      <c r="F14" s="58"/>
      <c r="G14" s="58"/>
      <c r="H14" s="58"/>
      <c r="I14" s="58"/>
      <c r="J14" s="58"/>
      <c r="K14" s="58"/>
      <c r="L14" s="58"/>
      <c r="M14" s="58"/>
      <c r="N14" s="58"/>
      <c r="O14" s="59"/>
    </row>
    <row r="15" spans="1:16">
      <c r="A15" t="s">
        <v>22</v>
      </c>
      <c r="B15" s="11">
        <f>LN(B6/B7)/2/PI()*B8*B4*0.001</f>
        <v>2.1827012113744704E-3</v>
      </c>
      <c r="D15" s="57"/>
      <c r="E15" s="58"/>
      <c r="F15" s="58"/>
      <c r="G15" s="58"/>
      <c r="H15" s="58"/>
      <c r="I15" s="58"/>
      <c r="J15" s="58"/>
      <c r="K15" s="58"/>
      <c r="L15" s="58"/>
      <c r="M15" s="58"/>
      <c r="N15" s="58"/>
      <c r="O15" s="59"/>
    </row>
    <row r="16" spans="1:16" ht="15" customHeight="1">
      <c r="B16" t="s">
        <v>23</v>
      </c>
      <c r="C16" t="s">
        <v>24</v>
      </c>
      <c r="D16" s="60"/>
      <c r="E16" s="61"/>
      <c r="F16" s="61"/>
      <c r="G16" s="61"/>
      <c r="H16" s="61"/>
      <c r="I16" s="61"/>
      <c r="J16" s="61"/>
      <c r="K16" s="61"/>
      <c r="L16" s="61"/>
      <c r="M16" s="61"/>
      <c r="N16" s="61"/>
      <c r="O16" s="62"/>
    </row>
    <row r="17" spans="1:17">
      <c r="A17" t="s">
        <v>25</v>
      </c>
      <c r="B17" s="12">
        <f>IMREAL(IMSUM(COMPLEX(0,M8, "j"),IMDIV(1,M7)))</f>
        <v>2.61619259699336E-3</v>
      </c>
      <c r="C17" s="12">
        <f>IMAGINARY(IMSUM(COMPLEX(0,M8, "j"),IMDIV(1,M7)))</f>
        <v>-4.2496905969587303E-3</v>
      </c>
    </row>
    <row r="18" spans="1:17">
      <c r="A18" t="s">
        <v>26</v>
      </c>
      <c r="B18" s="13">
        <f>IMREAL(IMDIV(1,IMSUM(COMPLEX(0,M8, "j"),IMDIV(1,M7))))</f>
        <v>105.049691759802</v>
      </c>
      <c r="C18" s="13">
        <f>IMAGINARY(IMDIV(1,IMSUM(COMPLEX(0,M8, "j"),IMDIV(1,M7))))</f>
        <v>170.64060489969199</v>
      </c>
    </row>
    <row r="19" spans="1:17">
      <c r="A19" t="s">
        <v>27</v>
      </c>
      <c r="B19" s="13">
        <f>IMABS(IMDIV(1,IMSUM(COMPLEX(0,M8, "j"),IMDIV(1,M7))))</f>
        <v>200.38376625705536</v>
      </c>
      <c r="L19" s="14"/>
    </row>
    <row r="20" spans="1:17">
      <c r="A20" t="s">
        <v>28</v>
      </c>
      <c r="B20" s="15">
        <f>C18/2/PI()/B5</f>
        <v>7.5439710449936319</v>
      </c>
    </row>
    <row r="21" spans="1:17">
      <c r="A21" t="s">
        <v>29</v>
      </c>
      <c r="B21" s="16">
        <f>(SQRT((PI()^2*(M9^2)/B11^2)+M10^2)*B11+50.8)/10</f>
        <v>26.587469048014803</v>
      </c>
      <c r="C21" s="16">
        <f>B21/2.54</f>
        <v>10.467507499218426</v>
      </c>
      <c r="E21" s="63" t="s">
        <v>30</v>
      </c>
      <c r="F21" s="63"/>
      <c r="G21" s="63"/>
      <c r="H21" s="63"/>
      <c r="I21" s="63"/>
    </row>
    <row r="22" spans="1:17">
      <c r="A22" t="s">
        <v>29</v>
      </c>
      <c r="B22" s="17">
        <f>(M10*B11+PI()*M9+50.8)/10</f>
        <v>35.496038535204725</v>
      </c>
      <c r="C22" s="17">
        <f>B22/2.54</f>
        <v>13.974818320946742</v>
      </c>
      <c r="E22" s="64" t="s">
        <v>31</v>
      </c>
      <c r="F22" s="64"/>
      <c r="G22" s="64"/>
      <c r="H22" s="64"/>
      <c r="I22" s="64"/>
    </row>
    <row r="23" spans="1:17">
      <c r="A23" t="s">
        <v>32</v>
      </c>
      <c r="B23" s="18">
        <f>1-B17/(0.02)</f>
        <v>0.86919037015033207</v>
      </c>
    </row>
    <row r="24" spans="1:17">
      <c r="A24" t="s">
        <v>33</v>
      </c>
      <c r="B24" s="19">
        <f>LOG10(B23)*10*-1</f>
        <v>0.6088509391817174</v>
      </c>
    </row>
    <row r="30" spans="1:17">
      <c r="A30" s="32" t="s">
        <v>34</v>
      </c>
      <c r="B30" s="32"/>
      <c r="C30" s="32"/>
      <c r="D30" s="32"/>
      <c r="E30" s="32"/>
      <c r="F30" s="32"/>
      <c r="G30" s="32"/>
      <c r="H30" s="32"/>
      <c r="J30" s="33" t="s">
        <v>35</v>
      </c>
      <c r="K30" s="33"/>
      <c r="L30" s="33"/>
      <c r="M30" s="33"/>
      <c r="N30" s="33"/>
      <c r="O30" s="33"/>
      <c r="P30" s="33"/>
      <c r="Q30" s="33"/>
    </row>
    <row r="31" spans="1:17" ht="18" customHeight="1">
      <c r="A31" s="34" t="s">
        <v>36</v>
      </c>
      <c r="B31" s="35"/>
      <c r="C31" s="35"/>
      <c r="D31" s="35"/>
      <c r="E31" s="35"/>
      <c r="F31" s="35"/>
      <c r="G31" s="35"/>
      <c r="H31" s="36"/>
      <c r="J31" s="43" t="s">
        <v>37</v>
      </c>
      <c r="K31" s="44"/>
      <c r="L31" s="44"/>
      <c r="M31" s="44"/>
      <c r="N31" s="44"/>
      <c r="O31" s="44"/>
      <c r="P31" s="44"/>
      <c r="Q31" s="45"/>
    </row>
    <row r="32" spans="1:17">
      <c r="A32" s="37"/>
      <c r="B32" s="38"/>
      <c r="C32" s="38"/>
      <c r="D32" s="38"/>
      <c r="E32" s="38"/>
      <c r="F32" s="38"/>
      <c r="G32" s="38"/>
      <c r="H32" s="39"/>
      <c r="J32" s="46" t="s">
        <v>38</v>
      </c>
      <c r="K32" s="47"/>
      <c r="L32" s="47"/>
      <c r="M32" s="47"/>
      <c r="N32" s="47"/>
      <c r="O32" s="47"/>
      <c r="P32" s="47"/>
      <c r="Q32" s="48"/>
    </row>
    <row r="33" spans="1:17" ht="18.75" customHeight="1">
      <c r="A33" s="37"/>
      <c r="B33" s="38"/>
      <c r="C33" s="38"/>
      <c r="D33" s="38"/>
      <c r="E33" s="38"/>
      <c r="F33" s="38"/>
      <c r="G33" s="38"/>
      <c r="H33" s="39"/>
      <c r="J33" s="46" t="s">
        <v>39</v>
      </c>
      <c r="K33" s="47"/>
      <c r="L33" s="47"/>
      <c r="M33" s="47"/>
      <c r="N33" s="47"/>
      <c r="O33" s="47"/>
      <c r="P33" s="47"/>
      <c r="Q33" s="48"/>
    </row>
    <row r="34" spans="1:17">
      <c r="A34" s="37"/>
      <c r="B34" s="38"/>
      <c r="C34" s="38"/>
      <c r="D34" s="38"/>
      <c r="E34" s="38"/>
      <c r="F34" s="38"/>
      <c r="G34" s="38"/>
      <c r="H34" s="39"/>
      <c r="J34" s="46" t="s">
        <v>55</v>
      </c>
      <c r="K34" s="47"/>
      <c r="L34" s="47"/>
      <c r="M34" s="47"/>
      <c r="N34" s="47"/>
      <c r="O34" s="47"/>
      <c r="P34" s="47"/>
      <c r="Q34" s="48"/>
    </row>
    <row r="35" spans="1:17">
      <c r="A35" s="40"/>
      <c r="B35" s="41"/>
      <c r="C35" s="41"/>
      <c r="D35" s="41"/>
      <c r="E35" s="41"/>
      <c r="F35" s="41"/>
      <c r="G35" s="41"/>
      <c r="H35" s="42"/>
      <c r="J35" s="49" t="s">
        <v>40</v>
      </c>
      <c r="K35" s="50"/>
      <c r="L35" s="50"/>
      <c r="M35" s="50"/>
      <c r="N35" s="50"/>
      <c r="O35" s="50"/>
      <c r="P35" s="50"/>
      <c r="Q35" s="51"/>
    </row>
    <row r="36" spans="1:17">
      <c r="J36" s="1"/>
      <c r="K36" s="1"/>
      <c r="L36" s="1"/>
      <c r="M36" s="1"/>
      <c r="N36" s="1"/>
      <c r="O36" s="1"/>
      <c r="P36" s="1"/>
      <c r="Q36" s="1"/>
    </row>
    <row r="38" spans="1:17">
      <c r="A38" s="29" t="s">
        <v>41</v>
      </c>
      <c r="B38" s="30"/>
      <c r="C38" s="30"/>
      <c r="D38" s="30"/>
      <c r="E38" s="30"/>
      <c r="F38" s="30"/>
      <c r="G38" s="30"/>
      <c r="H38" s="30"/>
      <c r="I38" s="31"/>
    </row>
    <row r="57" spans="1:14">
      <c r="A57" s="20"/>
      <c r="J57" s="20" t="s">
        <v>42</v>
      </c>
    </row>
    <row r="59" spans="1:14">
      <c r="A59" s="21"/>
      <c r="B59" s="21"/>
      <c r="C59" s="21"/>
      <c r="D59" s="21"/>
      <c r="E59" s="21"/>
      <c r="F59" s="21"/>
      <c r="G59" s="21"/>
      <c r="H59" s="21"/>
      <c r="I59" s="21"/>
      <c r="J59" s="21"/>
      <c r="K59" s="21"/>
      <c r="L59" s="21"/>
      <c r="M59" s="21"/>
      <c r="N59" s="21"/>
    </row>
    <row r="60" spans="1:14">
      <c r="A60" t="s">
        <v>43</v>
      </c>
      <c r="C60" t="s">
        <v>44</v>
      </c>
    </row>
    <row r="61" spans="1:14">
      <c r="D61" t="s">
        <v>45</v>
      </c>
      <c r="E61" t="s">
        <v>46</v>
      </c>
    </row>
    <row r="62" spans="1:14">
      <c r="B62">
        <v>0</v>
      </c>
      <c r="C62">
        <v>1.79</v>
      </c>
      <c r="D62">
        <v>816</v>
      </c>
      <c r="E62">
        <v>10.1</v>
      </c>
    </row>
    <row r="63" spans="1:14">
      <c r="B63" s="22">
        <v>1.8</v>
      </c>
      <c r="C63" s="22">
        <v>2</v>
      </c>
      <c r="D63" s="23">
        <v>911.4</v>
      </c>
      <c r="E63" s="23">
        <v>177.2</v>
      </c>
      <c r="G63" s="22">
        <f>D63/E63</f>
        <v>5.1433408577878108</v>
      </c>
    </row>
    <row r="64" spans="1:14">
      <c r="B64" s="22">
        <v>2.0099999999999998</v>
      </c>
      <c r="C64" s="22">
        <v>3.49</v>
      </c>
      <c r="D64" s="23">
        <v>0</v>
      </c>
      <c r="E64" s="23">
        <v>0</v>
      </c>
      <c r="G64" s="22"/>
    </row>
    <row r="65" spans="2:7">
      <c r="B65" s="22">
        <v>3.5</v>
      </c>
      <c r="C65" s="22">
        <v>4</v>
      </c>
      <c r="D65" s="23">
        <v>687.6</v>
      </c>
      <c r="E65" s="23">
        <v>423.3</v>
      </c>
      <c r="G65" s="22">
        <f t="shared" ref="G65" si="0">D65/E65</f>
        <v>1.6243798724309</v>
      </c>
    </row>
    <row r="66" spans="2:7">
      <c r="B66" s="22">
        <v>4.01</v>
      </c>
      <c r="C66" s="22">
        <v>5.32</v>
      </c>
      <c r="D66" s="23">
        <v>0</v>
      </c>
      <c r="E66" s="23">
        <v>0</v>
      </c>
      <c r="G66" s="22"/>
    </row>
    <row r="67" spans="2:7">
      <c r="B67" s="22">
        <v>5.33</v>
      </c>
      <c r="C67" s="22">
        <v>5.41</v>
      </c>
      <c r="D67" s="23">
        <v>504.4</v>
      </c>
      <c r="E67" s="23">
        <v>427.3</v>
      </c>
      <c r="G67" s="22">
        <f t="shared" ref="G67" si="1">D67/E67</f>
        <v>1.180435291364381</v>
      </c>
    </row>
    <row r="68" spans="2:7">
      <c r="B68" s="22">
        <v>5.42</v>
      </c>
      <c r="C68" s="22">
        <v>6.99</v>
      </c>
      <c r="D68" s="23">
        <v>0</v>
      </c>
      <c r="E68" s="23">
        <v>0</v>
      </c>
      <c r="G68" s="22"/>
    </row>
    <row r="69" spans="2:7">
      <c r="B69" s="22">
        <v>7</v>
      </c>
      <c r="C69" s="22">
        <v>7.3</v>
      </c>
      <c r="D69" s="23">
        <v>394.5</v>
      </c>
      <c r="E69" s="23">
        <v>394.6</v>
      </c>
      <c r="G69" s="22">
        <f t="shared" ref="G69" si="2">D69/E69</f>
        <v>0.99974657881398876</v>
      </c>
    </row>
    <row r="70" spans="2:7">
      <c r="B70" s="22">
        <v>7.31</v>
      </c>
      <c r="C70" s="22">
        <v>10.09</v>
      </c>
      <c r="D70" s="23">
        <v>0</v>
      </c>
      <c r="E70" s="23">
        <v>0</v>
      </c>
      <c r="G70" s="22"/>
    </row>
    <row r="71" spans="2:7">
      <c r="B71" s="22">
        <v>10.1</v>
      </c>
      <c r="C71" s="22">
        <v>10.15</v>
      </c>
      <c r="D71" s="23">
        <v>294.8</v>
      </c>
      <c r="E71" s="23">
        <v>341.5</v>
      </c>
      <c r="G71" s="22">
        <f t="shared" ref="G71" si="3">D71/E71</f>
        <v>0.86325036603221084</v>
      </c>
    </row>
    <row r="72" spans="2:7">
      <c r="B72" s="22">
        <v>10.16</v>
      </c>
      <c r="C72" s="22">
        <v>13.99</v>
      </c>
      <c r="D72" s="23">
        <v>0</v>
      </c>
      <c r="E72" s="23">
        <v>0</v>
      </c>
      <c r="G72" s="22"/>
    </row>
    <row r="73" spans="2:7">
      <c r="B73" s="22">
        <v>14</v>
      </c>
      <c r="C73" s="22">
        <v>14.35</v>
      </c>
      <c r="D73" s="23">
        <v>225.5</v>
      </c>
      <c r="E73" s="23">
        <v>292.10000000000002</v>
      </c>
      <c r="G73" s="22">
        <f t="shared" ref="G73" si="4">D73/E73</f>
        <v>0.77199589181787054</v>
      </c>
    </row>
    <row r="74" spans="2:7">
      <c r="B74" s="22">
        <v>14.36</v>
      </c>
      <c r="C74" s="22">
        <v>18.059999999999999</v>
      </c>
      <c r="D74" s="23">
        <v>0</v>
      </c>
      <c r="E74" s="23">
        <v>0</v>
      </c>
      <c r="G74" s="22"/>
    </row>
    <row r="75" spans="2:7">
      <c r="B75" s="22">
        <v>18.068000000000001</v>
      </c>
      <c r="C75" s="22">
        <v>18.167999999999999</v>
      </c>
      <c r="D75" s="23">
        <v>184.6</v>
      </c>
      <c r="E75" s="23">
        <v>259.10000000000002</v>
      </c>
      <c r="G75" s="22">
        <f t="shared" ref="G75" si="5">D75/E75</f>
        <v>0.71246622925511383</v>
      </c>
    </row>
    <row r="76" spans="2:7">
      <c r="B76" s="22">
        <v>18.18</v>
      </c>
      <c r="C76" s="22">
        <v>20.99</v>
      </c>
      <c r="D76" s="23">
        <v>0</v>
      </c>
      <c r="E76" s="23">
        <v>0</v>
      </c>
      <c r="G76" s="22"/>
    </row>
    <row r="77" spans="2:7">
      <c r="B77" s="22">
        <v>21</v>
      </c>
      <c r="C77" s="22">
        <v>21.45</v>
      </c>
      <c r="D77" s="23">
        <v>161.80000000000001</v>
      </c>
      <c r="E77" s="23">
        <v>240.2</v>
      </c>
      <c r="G77" s="22">
        <f t="shared" ref="G77" si="6">D77/E77</f>
        <v>0.67360532889258962</v>
      </c>
    </row>
    <row r="78" spans="2:7">
      <c r="B78" s="22">
        <v>21.46</v>
      </c>
      <c r="C78" s="22">
        <v>24.88</v>
      </c>
      <c r="D78" s="23">
        <v>0</v>
      </c>
      <c r="E78" s="23">
        <v>0</v>
      </c>
      <c r="G78" s="22"/>
    </row>
    <row r="79" spans="2:7">
      <c r="B79" s="22">
        <v>24.89</v>
      </c>
      <c r="C79" s="22">
        <v>24.99</v>
      </c>
      <c r="D79" s="23">
        <v>140.30000000000001</v>
      </c>
      <c r="E79" s="23">
        <v>222.4</v>
      </c>
      <c r="G79" s="22">
        <f t="shared" ref="G79" si="7">D79/E79</f>
        <v>0.63084532374100721</v>
      </c>
    </row>
    <row r="80" spans="2:7">
      <c r="B80" s="22">
        <v>25</v>
      </c>
      <c r="C80" s="22">
        <v>27.99</v>
      </c>
      <c r="D80" s="23">
        <v>0</v>
      </c>
      <c r="E80" s="23">
        <v>0</v>
      </c>
      <c r="G80" s="22"/>
    </row>
    <row r="81" spans="2:7">
      <c r="B81" s="22">
        <v>28</v>
      </c>
      <c r="C81" s="22">
        <v>29.7</v>
      </c>
      <c r="D81" s="23">
        <v>124.7</v>
      </c>
      <c r="E81" s="23">
        <v>209.1</v>
      </c>
      <c r="G81" s="22">
        <f t="shared" ref="G81" si="8">D81/E81</f>
        <v>0.59636537541846013</v>
      </c>
    </row>
    <row r="82" spans="2:7">
      <c r="B82" s="22">
        <v>29.71</v>
      </c>
      <c r="C82" s="22">
        <v>999</v>
      </c>
      <c r="D82" s="23">
        <v>0</v>
      </c>
      <c r="E82" s="23">
        <v>0</v>
      </c>
      <c r="G82" s="22"/>
    </row>
    <row r="102" spans="1:1">
      <c r="A102" s="20"/>
    </row>
    <row r="104" spans="1:1">
      <c r="A104" s="24"/>
    </row>
    <row r="105" spans="1:1">
      <c r="A105" s="24"/>
    </row>
  </sheetData>
  <mergeCells count="21">
    <mergeCell ref="E22:I22"/>
    <mergeCell ref="B1:D1"/>
    <mergeCell ref="B2:D2"/>
    <mergeCell ref="B3:D3"/>
    <mergeCell ref="L5:P5"/>
    <mergeCell ref="M6:P6"/>
    <mergeCell ref="M7:P7"/>
    <mergeCell ref="M8:P8"/>
    <mergeCell ref="M9:P9"/>
    <mergeCell ref="M10:P10"/>
    <mergeCell ref="D13:O16"/>
    <mergeCell ref="E21:I21"/>
    <mergeCell ref="A38:I38"/>
    <mergeCell ref="A30:H30"/>
    <mergeCell ref="J30:Q30"/>
    <mergeCell ref="A31:H35"/>
    <mergeCell ref="J31:Q31"/>
    <mergeCell ref="J32:Q32"/>
    <mergeCell ref="J33:Q33"/>
    <mergeCell ref="J34:Q34"/>
    <mergeCell ref="J35:Q35"/>
  </mergeCells>
  <hyperlinks>
    <hyperlink ref="J57" r:id="rId1" xr:uid="{168A1D32-E77E-4A81-BA3C-0ED25CD96F03}"/>
  </hyperlinks>
  <pageMargins left="0.7" right="0.7" top="0.75" bottom="0.75" header="0.3" footer="0.3"/>
  <pageSetup orientation="portrait" horizontalDpi="4294967293" verticalDpi="4294967293"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fair-rite FT50-43p</vt:lpstr>
      <vt:lpstr>fair-rite 2643625002 </vt:lpstr>
      <vt:lpstr>fair-rite FT240-43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Koellen</dc:creator>
  <cp:lastModifiedBy>Dan Koellen</cp:lastModifiedBy>
  <dcterms:created xsi:type="dcterms:W3CDTF">2024-10-03T03:59:45Z</dcterms:created>
  <dcterms:modified xsi:type="dcterms:W3CDTF">2024-10-18T06:23:58Z</dcterms:modified>
</cp:coreProperties>
</file>