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3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omments4.xml" ContentType="application/vnd.openxmlformats-officedocument.spreadsheetml.comment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omments5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10.xml" ContentType="application/vnd.openxmlformats-officedocument.drawing+xml"/>
  <Override PartName="/xl/charts/chartEx1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 Course\DataCafe Data Analytics\DataCafe UTCC\"/>
    </mc:Choice>
  </mc:AlternateContent>
  <xr:revisionPtr revIDLastSave="0" documentId="13_ncr:1_{080E41F2-2DD5-4300-B411-88BEAE49D423}" xr6:coauthVersionLast="47" xr6:coauthVersionMax="47" xr10:uidLastSave="{00000000-0000-0000-0000-000000000000}"/>
  <bookViews>
    <workbookView xWindow="-120" yWindow="-120" windowWidth="29040" windowHeight="15840" xr2:uid="{F28F734F-CB5F-4E38-A6AD-2F90A0A9DE4E}"/>
  </bookViews>
  <sheets>
    <sheet name="BMI_Goal Seak" sheetId="10" r:id="rId1"/>
    <sheet name="IRR" sheetId="11" r:id="rId2"/>
    <sheet name="LR_Forecast" sheetId="23" r:id="rId3"/>
    <sheet name="LR_Line Chart" sheetId="24" r:id="rId4"/>
    <sheet name="LR_Add-ins" sheetId="26" r:id="rId5"/>
    <sheet name="LR_Add-ins2" sheetId="33" r:id="rId6"/>
    <sheet name="LR_Forecast ETS" sheetId="18" r:id="rId7"/>
    <sheet name="Forecast Tools" sheetId="20" r:id="rId8"/>
    <sheet name="Demand_Forecast" sheetId="13" r:id="rId9"/>
    <sheet name="Scatter Plot" sheetId="30" r:id="rId10"/>
    <sheet name="Scatter Plot 2x" sheetId="31" r:id="rId11"/>
    <sheet name="Boxplot" sheetId="32" r:id="rId12"/>
  </sheets>
  <externalReferences>
    <externalReference r:id="rId13"/>
    <externalReference r:id="rId14"/>
  </externalReferences>
  <definedNames>
    <definedName name="_xlnm._FilterDatabase" localSheetId="8" hidden="1">Demand_Forecast!$B$1:$C$112</definedName>
    <definedName name="_xlchart.v1.0" hidden="1">Boxplot!$G$4</definedName>
    <definedName name="_xlchart.v1.1" hidden="1">Boxplot!$G$5:$G$115</definedName>
    <definedName name="_xlchart.v1.2" hidden="1">Boxplot!$H$4</definedName>
    <definedName name="_xlchart.v1.3" hidden="1">Boxplot!$H$5:$H$115</definedName>
    <definedName name="Fruit">OFFSET('[1]Dynamic Range2'!$D$2,0,0,COUNTA('[1]Dynamic Range2'!$D:$D)-1)</definedName>
    <definedName name="Fruit2">OFFSET('[1]Dynamic Range3'!$D$2,0,0,MATCH(2,1/('[1]Dynamic Range3'!$D$2:$D$13&lt;&gt;""),1))</definedName>
    <definedName name="Fruit3">'[1]Dynamic Range4'!$D$2:INDEX('[1]Dynamic Range4'!$D$2:$D$13,MATCH(2,1/('[1]Dynamic Range4'!$D$2:$D$13&lt;&gt;""),1),1)</definedName>
    <definedName name="solver_eng" localSheetId="4" hidden="1">1</definedName>
    <definedName name="solver_neg" localSheetId="4" hidden="1">1</definedName>
    <definedName name="solver_num" localSheetId="4" hidden="1">0</definedName>
    <definedName name="solver_opt" localSheetId="4" hidden="1">'LR_Add-ins'!$B$2</definedName>
    <definedName name="solver_typ" localSheetId="4" hidden="1">1</definedName>
    <definedName name="solver_val" localSheetId="4" hidden="1">0</definedName>
    <definedName name="solver_ver" localSheetId="4" hidden="1">3</definedName>
    <definedName name="TotalName">SUM([2]Name!A1048573:A1048576)</definedName>
    <definedName name="จำนวนชิ้น">[2]Name!$D1</definedName>
    <definedName name="ราคา">[2]Name!$C1</definedName>
  </definedNames>
  <calcPr calcId="191029"/>
  <pivotCaches>
    <pivotCache cacheId="0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8" l="1"/>
  <c r="I15" i="10"/>
  <c r="I14" i="10"/>
  <c r="J36" i="13" l="1"/>
  <c r="G23" i="13"/>
  <c r="B2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H25" i="33"/>
  <c r="I25" i="33"/>
  <c r="B26" i="33"/>
  <c r="H26" i="33"/>
  <c r="I26" i="33"/>
  <c r="B27" i="33"/>
  <c r="H27" i="33"/>
  <c r="I27" i="33"/>
  <c r="B28" i="33"/>
  <c r="H28" i="33"/>
  <c r="I28" i="33"/>
  <c r="B29" i="33"/>
  <c r="H29" i="33"/>
  <c r="I29" i="33"/>
  <c r="B30" i="33"/>
  <c r="H30" i="33"/>
  <c r="I30" i="33"/>
  <c r="B31" i="33"/>
  <c r="H31" i="33"/>
  <c r="I31" i="33"/>
  <c r="B32" i="33"/>
  <c r="H32" i="33"/>
  <c r="I32" i="33"/>
  <c r="B33" i="33"/>
  <c r="H33" i="33"/>
  <c r="I33" i="33"/>
  <c r="B34" i="33"/>
  <c r="H34" i="33"/>
  <c r="I34" i="33"/>
  <c r="B35" i="33"/>
  <c r="H35" i="33"/>
  <c r="I35" i="33"/>
  <c r="B36" i="33"/>
  <c r="H36" i="33"/>
  <c r="I36" i="33"/>
  <c r="B37" i="33"/>
  <c r="H37" i="33"/>
  <c r="I37" i="33"/>
  <c r="B38" i="33"/>
  <c r="H38" i="33"/>
  <c r="I38" i="33"/>
  <c r="B39" i="33"/>
  <c r="H39" i="33"/>
  <c r="I39" i="33"/>
  <c r="B40" i="33"/>
  <c r="H40" i="33"/>
  <c r="I40" i="33"/>
  <c r="B41" i="33"/>
  <c r="H41" i="33"/>
  <c r="I41" i="33"/>
  <c r="B42" i="33"/>
  <c r="H42" i="33"/>
  <c r="I42" i="33"/>
  <c r="B43" i="33"/>
  <c r="H43" i="33"/>
  <c r="I43" i="33"/>
  <c r="B44" i="33"/>
  <c r="H44" i="33"/>
  <c r="I44" i="33"/>
  <c r="B45" i="33"/>
  <c r="H45" i="33"/>
  <c r="I45" i="33"/>
  <c r="B46" i="33"/>
  <c r="H46" i="33"/>
  <c r="I46" i="33"/>
  <c r="B47" i="33"/>
  <c r="H47" i="33"/>
  <c r="I47" i="33"/>
  <c r="B48" i="33"/>
  <c r="H48" i="33"/>
  <c r="I48" i="33"/>
  <c r="B49" i="33"/>
  <c r="H49" i="33"/>
  <c r="I49" i="33"/>
  <c r="B50" i="33"/>
  <c r="H50" i="33"/>
  <c r="I50" i="33"/>
  <c r="B51" i="33"/>
  <c r="H51" i="33"/>
  <c r="I51" i="33"/>
  <c r="B52" i="33"/>
  <c r="H52" i="33"/>
  <c r="I52" i="33"/>
  <c r="B53" i="33"/>
  <c r="H53" i="33"/>
  <c r="I53" i="33"/>
  <c r="B54" i="33"/>
  <c r="H54" i="33"/>
  <c r="I54" i="33"/>
  <c r="B55" i="33"/>
  <c r="H55" i="33"/>
  <c r="I55" i="33"/>
  <c r="B56" i="33"/>
  <c r="H56" i="33"/>
  <c r="I56" i="33"/>
  <c r="B57" i="33"/>
  <c r="H57" i="33"/>
  <c r="I57" i="33"/>
  <c r="B58" i="33"/>
  <c r="H58" i="33"/>
  <c r="I58" i="33"/>
  <c r="B59" i="33"/>
  <c r="H59" i="33"/>
  <c r="I59" i="33"/>
  <c r="B60" i="33"/>
  <c r="H60" i="33"/>
  <c r="I60" i="33"/>
  <c r="B61" i="33"/>
  <c r="H61" i="33"/>
  <c r="I61" i="33"/>
  <c r="B62" i="33"/>
  <c r="H62" i="33"/>
  <c r="I62" i="33"/>
  <c r="B63" i="33"/>
  <c r="H63" i="33"/>
  <c r="I63" i="33"/>
  <c r="B64" i="33"/>
  <c r="H64" i="33"/>
  <c r="I64" i="33"/>
  <c r="B65" i="33"/>
  <c r="H65" i="33"/>
  <c r="I65" i="33"/>
  <c r="B66" i="33"/>
  <c r="H66" i="33"/>
  <c r="I66" i="33"/>
  <c r="B67" i="33"/>
  <c r="H67" i="33"/>
  <c r="I67" i="33"/>
  <c r="B68" i="33"/>
  <c r="H68" i="33"/>
  <c r="I68" i="33"/>
  <c r="B69" i="33"/>
  <c r="H69" i="33"/>
  <c r="I69" i="33"/>
  <c r="B70" i="33"/>
  <c r="H70" i="33"/>
  <c r="I70" i="33"/>
  <c r="B71" i="33"/>
  <c r="H71" i="33"/>
  <c r="I71" i="33"/>
  <c r="B72" i="33"/>
  <c r="H72" i="33"/>
  <c r="I72" i="33"/>
  <c r="B73" i="33"/>
  <c r="H73" i="33"/>
  <c r="I73" i="33"/>
  <c r="B74" i="33"/>
  <c r="H74" i="33"/>
  <c r="I74" i="33"/>
  <c r="B75" i="33"/>
  <c r="H75" i="33"/>
  <c r="I75" i="33"/>
  <c r="B76" i="33"/>
  <c r="H76" i="33"/>
  <c r="I76" i="33"/>
  <c r="B77" i="33"/>
  <c r="H77" i="33"/>
  <c r="I77" i="33"/>
  <c r="B78" i="33"/>
  <c r="H78" i="33"/>
  <c r="I78" i="33"/>
  <c r="B79" i="33"/>
  <c r="H79" i="33"/>
  <c r="I79" i="33"/>
  <c r="B80" i="33"/>
  <c r="H80" i="33"/>
  <c r="I80" i="33"/>
  <c r="B81" i="33"/>
  <c r="H81" i="33"/>
  <c r="I81" i="33"/>
  <c r="B82" i="33"/>
  <c r="H82" i="33"/>
  <c r="I82" i="33"/>
  <c r="B83" i="33"/>
  <c r="H83" i="33"/>
  <c r="I83" i="33"/>
  <c r="B84" i="33"/>
  <c r="H84" i="33"/>
  <c r="I84" i="33"/>
  <c r="B85" i="33"/>
  <c r="H85" i="33"/>
  <c r="I85" i="33"/>
  <c r="B86" i="33"/>
  <c r="H86" i="33"/>
  <c r="I86" i="33"/>
  <c r="B87" i="33"/>
  <c r="H87" i="33"/>
  <c r="I87" i="33"/>
  <c r="B88" i="33"/>
  <c r="H88" i="33"/>
  <c r="I88" i="33"/>
  <c r="B89" i="33"/>
  <c r="H89" i="33"/>
  <c r="I89" i="33"/>
  <c r="B90" i="33"/>
  <c r="H90" i="33"/>
  <c r="I90" i="33"/>
  <c r="B91" i="33"/>
  <c r="H91" i="33"/>
  <c r="I91" i="33"/>
  <c r="B92" i="33"/>
  <c r="H92" i="33"/>
  <c r="I92" i="33"/>
  <c r="B93" i="33"/>
  <c r="H93" i="33"/>
  <c r="I93" i="33"/>
  <c r="B94" i="33"/>
  <c r="H94" i="33"/>
  <c r="I94" i="33"/>
  <c r="B95" i="33"/>
  <c r="H95" i="33"/>
  <c r="I95" i="33"/>
  <c r="B96" i="33"/>
  <c r="H96" i="33"/>
  <c r="I96" i="33"/>
  <c r="B97" i="33"/>
  <c r="H97" i="33"/>
  <c r="I97" i="33"/>
  <c r="B98" i="33"/>
  <c r="H98" i="33"/>
  <c r="I98" i="33"/>
  <c r="B99" i="33"/>
  <c r="H99" i="33"/>
  <c r="I99" i="33"/>
  <c r="B100" i="33"/>
  <c r="H100" i="33"/>
  <c r="I100" i="33"/>
  <c r="B101" i="33"/>
  <c r="H101" i="33"/>
  <c r="I101" i="33"/>
  <c r="B102" i="33"/>
  <c r="H102" i="33"/>
  <c r="I102" i="33"/>
  <c r="B103" i="33"/>
  <c r="H103" i="33"/>
  <c r="I103" i="33"/>
  <c r="B104" i="33"/>
  <c r="H104" i="33"/>
  <c r="I104" i="33"/>
  <c r="B105" i="33"/>
  <c r="H105" i="33"/>
  <c r="I105" i="33"/>
  <c r="B106" i="33"/>
  <c r="H106" i="33"/>
  <c r="I106" i="33"/>
  <c r="B107" i="33"/>
  <c r="H107" i="33"/>
  <c r="I107" i="33"/>
  <c r="B108" i="33"/>
  <c r="H108" i="33"/>
  <c r="I108" i="33"/>
  <c r="B109" i="33"/>
  <c r="H109" i="33"/>
  <c r="I109" i="33"/>
  <c r="B110" i="33"/>
  <c r="H110" i="33"/>
  <c r="I110" i="33"/>
  <c r="B111" i="33"/>
  <c r="H111" i="33"/>
  <c r="I111" i="33"/>
  <c r="B112" i="33"/>
  <c r="H112" i="33"/>
  <c r="I112" i="33"/>
  <c r="H113" i="33"/>
  <c r="I113" i="33"/>
  <c r="H114" i="33"/>
  <c r="I114" i="33"/>
  <c r="H115" i="33"/>
  <c r="I115" i="33"/>
  <c r="H116" i="33"/>
  <c r="I116" i="33"/>
  <c r="H117" i="33"/>
  <c r="I117" i="33"/>
  <c r="H118" i="33"/>
  <c r="I118" i="33"/>
  <c r="H119" i="33"/>
  <c r="I119" i="33"/>
  <c r="H120" i="33"/>
  <c r="I120" i="33"/>
  <c r="H121" i="33"/>
  <c r="I121" i="33"/>
  <c r="H122" i="33"/>
  <c r="I122" i="33"/>
  <c r="H123" i="33"/>
  <c r="I123" i="33"/>
  <c r="H124" i="33"/>
  <c r="I124" i="33"/>
  <c r="H125" i="33"/>
  <c r="I125" i="33"/>
  <c r="H126" i="33"/>
  <c r="I126" i="33"/>
  <c r="H127" i="33"/>
  <c r="I127" i="33"/>
  <c r="H128" i="33"/>
  <c r="I128" i="33"/>
  <c r="H129" i="33"/>
  <c r="I129" i="33"/>
  <c r="H130" i="33"/>
  <c r="I130" i="33"/>
  <c r="H131" i="33"/>
  <c r="I131" i="33"/>
  <c r="H132" i="33"/>
  <c r="I132" i="33"/>
  <c r="H133" i="33"/>
  <c r="I133" i="33"/>
  <c r="H134" i="33"/>
  <c r="I134" i="33"/>
  <c r="H135" i="33"/>
  <c r="I135" i="33"/>
  <c r="B2" i="31"/>
  <c r="G2" i="31"/>
  <c r="B3" i="31"/>
  <c r="G3" i="31"/>
  <c r="B4" i="31"/>
  <c r="B5" i="31"/>
  <c r="B6" i="31"/>
  <c r="F6" i="31"/>
  <c r="B7" i="31"/>
  <c r="F7" i="31"/>
  <c r="F8" i="31" s="1"/>
  <c r="F9" i="31" s="1"/>
  <c r="F10" i="31" s="1"/>
  <c r="F11" i="31" s="1"/>
  <c r="F12" i="31" s="1"/>
  <c r="F13" i="31" s="1"/>
  <c r="F14" i="31" s="1"/>
  <c r="F15" i="31" s="1"/>
  <c r="F16" i="31" s="1"/>
  <c r="F17" i="31" s="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42" i="31"/>
  <c r="B43" i="31"/>
  <c r="B44" i="31"/>
  <c r="B45" i="31"/>
  <c r="B46" i="31"/>
  <c r="B47" i="31"/>
  <c r="B48" i="31"/>
  <c r="B49" i="31"/>
  <c r="B50" i="31"/>
  <c r="B51" i="31"/>
  <c r="F51" i="31"/>
  <c r="B52" i="31"/>
  <c r="B53" i="31"/>
  <c r="B54" i="31"/>
  <c r="B55" i="31"/>
  <c r="B56" i="31"/>
  <c r="B57" i="31"/>
  <c r="B58" i="31"/>
  <c r="B59" i="31"/>
  <c r="B60" i="31"/>
  <c r="B61" i="31"/>
  <c r="B62" i="31"/>
  <c r="B63" i="31"/>
  <c r="B64" i="31"/>
  <c r="B65" i="31"/>
  <c r="B66" i="31"/>
  <c r="B67" i="31"/>
  <c r="B68" i="31"/>
  <c r="B69" i="31"/>
  <c r="B70" i="31"/>
  <c r="B71" i="31"/>
  <c r="B72" i="31"/>
  <c r="B73" i="31"/>
  <c r="B74" i="31"/>
  <c r="B75" i="31"/>
  <c r="B76" i="31"/>
  <c r="B77" i="31"/>
  <c r="B78" i="31"/>
  <c r="B79" i="31"/>
  <c r="B80" i="31"/>
  <c r="B81" i="31"/>
  <c r="B82" i="31"/>
  <c r="B83" i="31"/>
  <c r="B84" i="31"/>
  <c r="B85" i="31"/>
  <c r="B86" i="31"/>
  <c r="B87" i="31"/>
  <c r="B88" i="31"/>
  <c r="B89" i="31"/>
  <c r="B90" i="31"/>
  <c r="B91" i="31"/>
  <c r="B92" i="31"/>
  <c r="B93" i="31"/>
  <c r="B94" i="31"/>
  <c r="B95" i="31"/>
  <c r="B96" i="31"/>
  <c r="B97" i="31"/>
  <c r="B98" i="31"/>
  <c r="B99" i="31"/>
  <c r="B100" i="31"/>
  <c r="B101" i="31"/>
  <c r="B102" i="31"/>
  <c r="B103" i="31"/>
  <c r="B104" i="31"/>
  <c r="B105" i="31"/>
  <c r="B106" i="31"/>
  <c r="B107" i="31"/>
  <c r="B108" i="31"/>
  <c r="B109" i="31"/>
  <c r="B110" i="31"/>
  <c r="B111" i="31"/>
  <c r="B112" i="31"/>
  <c r="B2" i="30"/>
  <c r="G2" i="30"/>
  <c r="B3" i="30"/>
  <c r="G3" i="30"/>
  <c r="B4" i="30"/>
  <c r="B5" i="30"/>
  <c r="B6" i="30"/>
  <c r="F6" i="30"/>
  <c r="F7" i="30" s="1"/>
  <c r="F8" i="30" s="1"/>
  <c r="F9" i="30" s="1"/>
  <c r="B7" i="30"/>
  <c r="B8" i="30"/>
  <c r="B9" i="30"/>
  <c r="B10" i="30"/>
  <c r="B11" i="30"/>
  <c r="B12" i="30"/>
  <c r="B13" i="30"/>
  <c r="B14" i="30"/>
  <c r="B15" i="30"/>
  <c r="B16" i="30"/>
  <c r="B17" i="30"/>
  <c r="B18" i="30"/>
  <c r="B19" i="30"/>
  <c r="B20" i="30"/>
  <c r="B21" i="30"/>
  <c r="B22" i="30"/>
  <c r="B23" i="30"/>
  <c r="B24" i="30"/>
  <c r="B25" i="30"/>
  <c r="B26" i="30"/>
  <c r="B27" i="30"/>
  <c r="B28" i="30"/>
  <c r="B29" i="30"/>
  <c r="B30" i="30"/>
  <c r="B31" i="30"/>
  <c r="B32" i="30"/>
  <c r="B33" i="30"/>
  <c r="B34" i="30"/>
  <c r="B35" i="30"/>
  <c r="B36" i="30"/>
  <c r="B37" i="30"/>
  <c r="B38" i="30"/>
  <c r="B39" i="30"/>
  <c r="B40" i="30"/>
  <c r="B41" i="30"/>
  <c r="B42" i="30"/>
  <c r="B43" i="30"/>
  <c r="B44" i="30"/>
  <c r="B45" i="30"/>
  <c r="B46" i="30"/>
  <c r="B47" i="30"/>
  <c r="B48" i="30"/>
  <c r="B49" i="30"/>
  <c r="B50" i="30"/>
  <c r="B51" i="30"/>
  <c r="F51" i="30"/>
  <c r="B52" i="30"/>
  <c r="B53" i="30"/>
  <c r="B54" i="30"/>
  <c r="B55" i="30"/>
  <c r="B56" i="30"/>
  <c r="B57" i="30"/>
  <c r="B58" i="30"/>
  <c r="B59" i="30"/>
  <c r="B60" i="30"/>
  <c r="B61" i="30"/>
  <c r="B62" i="30"/>
  <c r="B63" i="30"/>
  <c r="B64" i="30"/>
  <c r="B65" i="30"/>
  <c r="B66" i="30"/>
  <c r="B67" i="30"/>
  <c r="B68" i="30"/>
  <c r="B69" i="30"/>
  <c r="B70" i="30"/>
  <c r="B71" i="30"/>
  <c r="B72" i="30"/>
  <c r="B73" i="30"/>
  <c r="B74" i="30"/>
  <c r="B75" i="30"/>
  <c r="B76" i="30"/>
  <c r="B77" i="30"/>
  <c r="B78" i="30"/>
  <c r="B79" i="30"/>
  <c r="B80" i="30"/>
  <c r="B81" i="30"/>
  <c r="B82" i="30"/>
  <c r="B83" i="30"/>
  <c r="B84" i="30"/>
  <c r="B85" i="30"/>
  <c r="B86" i="30"/>
  <c r="B87" i="30"/>
  <c r="B88" i="30"/>
  <c r="B89" i="30"/>
  <c r="B90" i="30"/>
  <c r="B91" i="30"/>
  <c r="B92" i="30"/>
  <c r="B93" i="30"/>
  <c r="B94" i="30"/>
  <c r="B95" i="30"/>
  <c r="B96" i="30"/>
  <c r="B97" i="30"/>
  <c r="B98" i="30"/>
  <c r="B99" i="30"/>
  <c r="B100" i="30"/>
  <c r="B101" i="30"/>
  <c r="B102" i="30"/>
  <c r="B103" i="30"/>
  <c r="B104" i="30"/>
  <c r="B105" i="30"/>
  <c r="B106" i="30"/>
  <c r="B107" i="30"/>
  <c r="B108" i="30"/>
  <c r="B109" i="30"/>
  <c r="B110" i="30"/>
  <c r="B111" i="30"/>
  <c r="B112" i="30"/>
  <c r="P9" i="18"/>
  <c r="G8" i="30" l="1"/>
  <c r="G7" i="31"/>
  <c r="F10" i="30"/>
  <c r="F11" i="30" s="1"/>
  <c r="F12" i="30" s="1"/>
  <c r="F13" i="30" s="1"/>
  <c r="G9" i="30"/>
  <c r="G48" i="31"/>
  <c r="G44" i="31"/>
  <c r="G40" i="31"/>
  <c r="G36" i="31"/>
  <c r="G32" i="31"/>
  <c r="G28" i="31"/>
  <c r="G24" i="31"/>
  <c r="G20" i="31"/>
  <c r="G16" i="31"/>
  <c r="G12" i="31"/>
  <c r="G8" i="31"/>
  <c r="G45" i="31"/>
  <c r="G41" i="31"/>
  <c r="G37" i="31"/>
  <c r="G33" i="31"/>
  <c r="G29" i="31"/>
  <c r="G25" i="31"/>
  <c r="G21" i="31"/>
  <c r="G17" i="31"/>
  <c r="G13" i="31"/>
  <c r="G9" i="31"/>
  <c r="G51" i="30"/>
  <c r="G7" i="30"/>
  <c r="G50" i="31"/>
  <c r="G46" i="31"/>
  <c r="G42" i="31"/>
  <c r="G38" i="31"/>
  <c r="G34" i="31"/>
  <c r="G30" i="31"/>
  <c r="G26" i="31"/>
  <c r="G22" i="31"/>
  <c r="G18" i="31"/>
  <c r="G14" i="31"/>
  <c r="G10" i="31"/>
  <c r="G6" i="31"/>
  <c r="G6" i="30"/>
  <c r="G49" i="31"/>
  <c r="G12" i="30"/>
  <c r="G51" i="31"/>
  <c r="G47" i="31"/>
  <c r="G43" i="31"/>
  <c r="G39" i="31"/>
  <c r="G35" i="31"/>
  <c r="G31" i="31"/>
  <c r="G27" i="31"/>
  <c r="G23" i="31"/>
  <c r="G19" i="31"/>
  <c r="G15" i="31"/>
  <c r="G11" i="31"/>
  <c r="G11" i="30" l="1"/>
  <c r="G10" i="30"/>
  <c r="F14" i="30"/>
  <c r="G13" i="30"/>
  <c r="F15" i="30" l="1"/>
  <c r="G14" i="30"/>
  <c r="F16" i="30" l="1"/>
  <c r="G15" i="30"/>
  <c r="F17" i="30" l="1"/>
  <c r="G16" i="30"/>
  <c r="F18" i="30" l="1"/>
  <c r="G17" i="30"/>
  <c r="J19" i="13"/>
  <c r="J18" i="13"/>
  <c r="I5" i="18" l="1"/>
  <c r="F19" i="30"/>
  <c r="G18" i="30"/>
  <c r="N6" i="18"/>
  <c r="N5" i="18"/>
  <c r="C2" i="26"/>
  <c r="B7" i="11"/>
  <c r="B8" i="11"/>
  <c r="B9" i="11"/>
  <c r="B10" i="11"/>
  <c r="B11" i="11"/>
  <c r="B12" i="11"/>
  <c r="B13" i="11"/>
  <c r="B14" i="11"/>
  <c r="B15" i="11"/>
  <c r="B6" i="11"/>
  <c r="H14" i="10"/>
  <c r="H15" i="10" s="1"/>
  <c r="E14" i="10"/>
  <c r="G28" i="23"/>
  <c r="G22" i="23" a="1"/>
  <c r="G22" i="23" s="1"/>
  <c r="P13" i="24"/>
  <c r="P3" i="24"/>
  <c r="P4" i="24"/>
  <c r="R4" i="24" s="1"/>
  <c r="P5" i="24"/>
  <c r="R5" i="24" s="1"/>
  <c r="P6" i="24"/>
  <c r="R6" i="24" s="1"/>
  <c r="P7" i="24"/>
  <c r="R7" i="24" s="1"/>
  <c r="P8" i="24"/>
  <c r="R8" i="24" s="1"/>
  <c r="P9" i="24"/>
  <c r="R9" i="24" s="1"/>
  <c r="P10" i="24"/>
  <c r="R10" i="24" s="1"/>
  <c r="P11" i="24"/>
  <c r="R11" i="24" s="1"/>
  <c r="P12" i="24"/>
  <c r="R12" i="24" s="1"/>
  <c r="R13" i="24"/>
  <c r="P14" i="24"/>
  <c r="R14" i="24" s="1"/>
  <c r="R3" i="24"/>
  <c r="C25" i="26"/>
  <c r="C24" i="26"/>
  <c r="C23" i="26"/>
  <c r="C2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31" i="20"/>
  <c r="C32" i="20"/>
  <c r="C34" i="20"/>
  <c r="H9" i="18"/>
  <c r="H25" i="18"/>
  <c r="H6" i="18"/>
  <c r="H22" i="18"/>
  <c r="H24" i="18"/>
  <c r="H19" i="18"/>
  <c r="H12" i="18"/>
  <c r="H34" i="18"/>
  <c r="G33" i="18"/>
  <c r="G36" i="18"/>
  <c r="H2" i="20"/>
  <c r="H3" i="20"/>
  <c r="H6" i="20"/>
  <c r="H13" i="18"/>
  <c r="H29" i="18"/>
  <c r="H10" i="18"/>
  <c r="H26" i="18"/>
  <c r="H7" i="18"/>
  <c r="H23" i="18"/>
  <c r="H28" i="18"/>
  <c r="H35" i="18"/>
  <c r="G37" i="18"/>
  <c r="G32" i="18"/>
  <c r="H11" i="18"/>
  <c r="H37" i="18"/>
  <c r="C30" i="20"/>
  <c r="H20" i="18"/>
  <c r="H8" i="18"/>
  <c r="H31" i="18"/>
  <c r="G35" i="18"/>
  <c r="H4" i="20"/>
  <c r="C33" i="20"/>
  <c r="H7" i="20"/>
  <c r="H17" i="18"/>
  <c r="H16" i="18"/>
  <c r="H14" i="18"/>
  <c r="H30" i="18"/>
  <c r="H27" i="18"/>
  <c r="H36" i="18"/>
  <c r="G34" i="18"/>
  <c r="H8" i="20"/>
  <c r="H18" i="18"/>
  <c r="H15" i="18"/>
  <c r="H33" i="18"/>
  <c r="C29" i="20"/>
  <c r="H5" i="20"/>
  <c r="H21" i="18"/>
  <c r="H32" i="18"/>
  <c r="S6" i="24"/>
  <c r="H39" i="18"/>
  <c r="Q7" i="24"/>
  <c r="S13" i="24"/>
  <c r="C12" i="11"/>
  <c r="C8" i="11"/>
  <c r="J12" i="23"/>
  <c r="S12" i="24"/>
  <c r="J10" i="23"/>
  <c r="J7" i="23"/>
  <c r="L9" i="23"/>
  <c r="J6" i="23"/>
  <c r="L13" i="23"/>
  <c r="I19" i="23"/>
  <c r="Q9" i="24"/>
  <c r="L12" i="23"/>
  <c r="L6" i="23"/>
  <c r="C9" i="11"/>
  <c r="L5" i="23"/>
  <c r="G38" i="18"/>
  <c r="S8" i="24"/>
  <c r="L4" i="23"/>
  <c r="J14" i="23"/>
  <c r="Q10" i="24"/>
  <c r="C15" i="11"/>
  <c r="S3" i="24"/>
  <c r="J9" i="23"/>
  <c r="S5" i="24"/>
  <c r="L10" i="23"/>
  <c r="S10" i="24"/>
  <c r="G23" i="23"/>
  <c r="D38" i="18"/>
  <c r="O5" i="18"/>
  <c r="J11" i="23"/>
  <c r="J13" i="23"/>
  <c r="Q14" i="24"/>
  <c r="C13" i="11"/>
  <c r="L11" i="23"/>
  <c r="S9" i="24"/>
  <c r="F6" i="11"/>
  <c r="C11" i="11"/>
  <c r="Q4" i="24"/>
  <c r="Q11" i="24"/>
  <c r="S4" i="24"/>
  <c r="Q12" i="24"/>
  <c r="J5" i="23"/>
  <c r="C6" i="11"/>
  <c r="L3" i="23"/>
  <c r="J8" i="23"/>
  <c r="G31" i="18"/>
  <c r="Q5" i="24"/>
  <c r="H28" i="23"/>
  <c r="Q3" i="24"/>
  <c r="L14" i="23"/>
  <c r="C14" i="11"/>
  <c r="S11" i="24"/>
  <c r="C7" i="11"/>
  <c r="L8" i="23"/>
  <c r="J4" i="23"/>
  <c r="C10" i="11"/>
  <c r="O6" i="18"/>
  <c r="J3" i="23"/>
  <c r="Q6" i="24"/>
  <c r="S14" i="24"/>
  <c r="L7" i="23"/>
  <c r="I18" i="23"/>
  <c r="S7" i="24"/>
  <c r="Q8" i="24"/>
  <c r="Q13" i="24"/>
  <c r="I21" i="18" l="1"/>
  <c r="I15" i="18"/>
  <c r="I18" i="18"/>
  <c r="I27" i="18"/>
  <c r="I30" i="18"/>
  <c r="I14" i="18"/>
  <c r="I16" i="18"/>
  <c r="I17" i="18"/>
  <c r="I31" i="18"/>
  <c r="I8" i="18"/>
  <c r="I20" i="18"/>
  <c r="I11" i="18"/>
  <c r="I28" i="18"/>
  <c r="I23" i="18"/>
  <c r="I7" i="18"/>
  <c r="I26" i="18"/>
  <c r="I10" i="18"/>
  <c r="I29" i="18"/>
  <c r="I13" i="18"/>
  <c r="I12" i="18"/>
  <c r="I19" i="18"/>
  <c r="I24" i="18"/>
  <c r="I22" i="18"/>
  <c r="I6" i="18"/>
  <c r="I25" i="18"/>
  <c r="I9" i="18"/>
  <c r="D33" i="18"/>
  <c r="F20" i="30"/>
  <c r="G19" i="30"/>
  <c r="J28" i="18"/>
  <c r="J12" i="18"/>
  <c r="J27" i="18"/>
  <c r="J23" i="18"/>
  <c r="J19" i="18"/>
  <c r="J15" i="18"/>
  <c r="J11" i="18"/>
  <c r="J7" i="18"/>
  <c r="J24" i="18"/>
  <c r="J8" i="18"/>
  <c r="J30" i="18"/>
  <c r="J26" i="18"/>
  <c r="J22" i="18"/>
  <c r="J18" i="18"/>
  <c r="J14" i="18"/>
  <c r="J10" i="18"/>
  <c r="J6" i="18"/>
  <c r="J20" i="18"/>
  <c r="J16" i="18"/>
  <c r="J29" i="18"/>
  <c r="J25" i="18"/>
  <c r="J21" i="18"/>
  <c r="J17" i="18"/>
  <c r="J13" i="18"/>
  <c r="J9" i="18"/>
  <c r="J31" i="18"/>
  <c r="D28" i="18"/>
  <c r="E28" i="18" s="1"/>
  <c r="F28" i="18" s="1"/>
  <c r="D20" i="18"/>
  <c r="E20" i="18" s="1"/>
  <c r="F20" i="18" s="1"/>
  <c r="D16" i="18"/>
  <c r="E16" i="18" s="1"/>
  <c r="F16" i="18" s="1"/>
  <c r="D12" i="18"/>
  <c r="E12" i="18" s="1"/>
  <c r="F12" i="18" s="1"/>
  <c r="D31" i="18"/>
  <c r="E31" i="18" s="1"/>
  <c r="F31" i="18" s="1"/>
  <c r="D27" i="18"/>
  <c r="E27" i="18" s="1"/>
  <c r="F27" i="18" s="1"/>
  <c r="D23" i="18"/>
  <c r="E23" i="18" s="1"/>
  <c r="F23" i="18" s="1"/>
  <c r="D19" i="18"/>
  <c r="E19" i="18" s="1"/>
  <c r="F19" i="18" s="1"/>
  <c r="D15" i="18"/>
  <c r="E15" i="18" s="1"/>
  <c r="F15" i="18" s="1"/>
  <c r="D11" i="18"/>
  <c r="E11" i="18" s="1"/>
  <c r="F11" i="18" s="1"/>
  <c r="D7" i="18"/>
  <c r="E7" i="18" s="1"/>
  <c r="F7" i="18" s="1"/>
  <c r="D24" i="18"/>
  <c r="E24" i="18" s="1"/>
  <c r="F24" i="18" s="1"/>
  <c r="D8" i="18"/>
  <c r="E8" i="18" s="1"/>
  <c r="F8" i="18" s="1"/>
  <c r="D30" i="18"/>
  <c r="E30" i="18" s="1"/>
  <c r="F30" i="18" s="1"/>
  <c r="D26" i="18"/>
  <c r="E26" i="18" s="1"/>
  <c r="F26" i="18" s="1"/>
  <c r="D22" i="18"/>
  <c r="E22" i="18" s="1"/>
  <c r="F22" i="18" s="1"/>
  <c r="D18" i="18"/>
  <c r="E18" i="18" s="1"/>
  <c r="F18" i="18" s="1"/>
  <c r="D14" i="18"/>
  <c r="E14" i="18" s="1"/>
  <c r="F14" i="18" s="1"/>
  <c r="D10" i="18"/>
  <c r="E10" i="18" s="1"/>
  <c r="F10" i="18" s="1"/>
  <c r="D6" i="18"/>
  <c r="E6" i="18" s="1"/>
  <c r="F6" i="18" s="1"/>
  <c r="D36" i="18"/>
  <c r="D29" i="18"/>
  <c r="E29" i="18" s="1"/>
  <c r="F29" i="18" s="1"/>
  <c r="D25" i="18"/>
  <c r="E25" i="18" s="1"/>
  <c r="F25" i="18" s="1"/>
  <c r="D21" i="18"/>
  <c r="E21" i="18" s="1"/>
  <c r="F21" i="18" s="1"/>
  <c r="D17" i="18"/>
  <c r="E17" i="18" s="1"/>
  <c r="F17" i="18" s="1"/>
  <c r="D13" i="18"/>
  <c r="E13" i="18" s="1"/>
  <c r="F13" i="18" s="1"/>
  <c r="D9" i="18"/>
  <c r="E9" i="18" s="1"/>
  <c r="F9" i="18" s="1"/>
  <c r="D5" i="18"/>
  <c r="E5" i="18" s="1"/>
  <c r="F5" i="18" s="1"/>
  <c r="D35" i="18"/>
  <c r="D32" i="18"/>
  <c r="D34" i="18"/>
  <c r="D37" i="18"/>
  <c r="E6" i="11"/>
  <c r="H19" i="23"/>
  <c r="H18" i="23"/>
  <c r="D29" i="20"/>
  <c r="D33" i="20"/>
  <c r="E32" i="20"/>
  <c r="E30" i="20"/>
  <c r="E33" i="20"/>
  <c r="E31" i="20"/>
  <c r="E34" i="20"/>
  <c r="E29" i="20"/>
  <c r="D34" i="20"/>
  <c r="D31" i="20"/>
  <c r="D30" i="20"/>
  <c r="D32" i="20"/>
  <c r="F21" i="30" l="1"/>
  <c r="G20" i="30"/>
  <c r="D3" i="18"/>
  <c r="I9" i="23"/>
  <c r="I12" i="23"/>
  <c r="I8" i="23"/>
  <c r="K8" i="23" s="1"/>
  <c r="I3" i="23"/>
  <c r="K3" i="23" s="1"/>
  <c r="I10" i="23"/>
  <c r="K10" i="23" s="1"/>
  <c r="I7" i="23"/>
  <c r="K7" i="23" s="1"/>
  <c r="I5" i="23"/>
  <c r="K5" i="23" s="1"/>
  <c r="I14" i="23"/>
  <c r="K14" i="23" s="1"/>
  <c r="I6" i="23"/>
  <c r="K6" i="23" s="1"/>
  <c r="I13" i="23"/>
  <c r="I4" i="23"/>
  <c r="K4" i="23" s="1"/>
  <c r="I11" i="23"/>
  <c r="K11" i="23" s="1"/>
  <c r="K9" i="23"/>
  <c r="K13" i="23"/>
  <c r="K12" i="23"/>
  <c r="F22" i="30" l="1"/>
  <c r="G21" i="30"/>
  <c r="G19" i="13"/>
  <c r="G20" i="13" s="1"/>
  <c r="G18" i="13"/>
  <c r="F23" i="13" s="1"/>
  <c r="F24" i="13" l="1"/>
  <c r="F23" i="30"/>
  <c r="G22" i="30"/>
  <c r="E15" i="10"/>
  <c r="B14" i="10"/>
  <c r="B15" i="10" s="1"/>
  <c r="F25" i="13" l="1"/>
  <c r="G24" i="13"/>
  <c r="F24" i="30"/>
  <c r="G23" i="30"/>
  <c r="F26" i="13" l="1"/>
  <c r="G25" i="13"/>
  <c r="F25" i="30"/>
  <c r="G24" i="30"/>
  <c r="F27" i="13" l="1"/>
  <c r="G26" i="13"/>
  <c r="F26" i="30"/>
  <c r="G25" i="30"/>
  <c r="F28" i="13" l="1"/>
  <c r="G27" i="13"/>
  <c r="F27" i="30"/>
  <c r="G26" i="30"/>
  <c r="J5" i="18"/>
  <c r="H3" i="18" s="1"/>
  <c r="F29" i="13" l="1"/>
  <c r="G28" i="13"/>
  <c r="F28" i="30"/>
  <c r="G27" i="30"/>
  <c r="F30" i="13" l="1"/>
  <c r="G29" i="13"/>
  <c r="F29" i="30"/>
  <c r="G28" i="30"/>
  <c r="F31" i="13" l="1"/>
  <c r="G30" i="13"/>
  <c r="F30" i="30"/>
  <c r="G29" i="30"/>
  <c r="F32" i="13" l="1"/>
  <c r="G31" i="13"/>
  <c r="F31" i="30"/>
  <c r="G30" i="30"/>
  <c r="F33" i="13" l="1"/>
  <c r="G33" i="13" s="1"/>
  <c r="G32" i="13"/>
  <c r="F32" i="30"/>
  <c r="G31" i="30"/>
  <c r="F33" i="30" l="1"/>
  <c r="G32" i="30"/>
  <c r="G33" i="30" l="1"/>
  <c r="F34" i="30"/>
  <c r="F35" i="30" l="1"/>
  <c r="G34" i="30"/>
  <c r="F36" i="30" l="1"/>
  <c r="G35" i="30"/>
  <c r="F37" i="30" l="1"/>
  <c r="G36" i="30"/>
  <c r="F38" i="30" l="1"/>
  <c r="G37" i="30"/>
  <c r="F39" i="30" l="1"/>
  <c r="G38" i="30"/>
  <c r="F40" i="30" l="1"/>
  <c r="G39" i="30"/>
  <c r="F41" i="30" l="1"/>
  <c r="G40" i="30"/>
  <c r="F42" i="30" l="1"/>
  <c r="G41" i="30"/>
  <c r="F43" i="30" l="1"/>
  <c r="G42" i="30"/>
  <c r="F44" i="30" l="1"/>
  <c r="G43" i="30"/>
  <c r="F45" i="30" l="1"/>
  <c r="G44" i="30"/>
  <c r="G45" i="30" l="1"/>
  <c r="F46" i="30"/>
  <c r="F47" i="30" l="1"/>
  <c r="G46" i="30"/>
  <c r="F48" i="30" l="1"/>
  <c r="G47" i="30"/>
  <c r="F49" i="30" l="1"/>
  <c r="G48" i="30"/>
  <c r="G49" i="30" l="1"/>
  <c r="F50" i="30"/>
  <c r="G50" i="3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Nattapong TH</author>
  </authors>
  <commentList>
    <comment ref="D1" authorId="0" shapeId="0" xr:uid="{DBD8B6D5-DE39-45F3-8C2C-3A9536DC2E8E}">
      <text>
        <r>
          <rPr>
            <b/>
            <sz val="9"/>
            <color indexed="81"/>
            <rFont val="Tahoma"/>
            <family val="2"/>
          </rPr>
          <t>Nattapong TH:</t>
        </r>
        <r>
          <rPr>
            <sz val="9"/>
            <color indexed="81"/>
            <rFont val="Tahoma"/>
            <family val="2"/>
          </rPr>
          <t xml:space="preserve">
=IF(WEEKDAY(A2,2)&lt;6,ROUND((60-C2)*RAND()*60,0)+2000,ROUND((60-C2)*RAND()*50,0)+1500)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Nattapong TH</author>
  </authors>
  <commentList>
    <comment ref="C4" authorId="0" shapeId="0" xr:uid="{1A1B6027-3300-4986-88D2-9DF6528153D0}">
      <text>
        <r>
          <rPr>
            <b/>
            <sz val="9"/>
            <color indexed="81"/>
            <rFont val="Tahoma"/>
            <family val="2"/>
          </rPr>
          <t>Nattapong TH:</t>
        </r>
        <r>
          <rPr>
            <sz val="9"/>
            <color indexed="81"/>
            <rFont val="Tahoma"/>
            <family val="2"/>
          </rPr>
          <t xml:space="preserve">
=3000+D5*2+C5*500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Nattapong TH</author>
  </authors>
  <commentList>
    <comment ref="C1" authorId="0" shapeId="0" xr:uid="{4EAE3049-9829-43E7-BD57-EFD06F121517}">
      <text>
        <r>
          <rPr>
            <b/>
            <sz val="9"/>
            <color indexed="81"/>
            <rFont val="Tahoma"/>
            <family val="2"/>
          </rPr>
          <t>Nattapong TH:</t>
        </r>
        <r>
          <rPr>
            <sz val="9"/>
            <color indexed="81"/>
            <rFont val="Tahoma"/>
            <family val="2"/>
          </rPr>
          <t xml:space="preserve">
=IF(B2&gt;115,ROUND((200-B2)*RAND()*10,0)+200,IF(B2&gt;110,ROUND((200-B2)*RAND()*13,0)+250,IF(B2&gt;150,ROUND((200-B2)*RAND()*15,0)+300,ROUND((200-B2)*RAND()*17,0)+350)))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Nattapong TH</author>
  </authors>
  <commentList>
    <comment ref="D1" authorId="0" shapeId="0" xr:uid="{3D53565D-203A-45EA-8C06-CD3897E9FA5C}">
      <text>
        <r>
          <rPr>
            <b/>
            <sz val="9"/>
            <color indexed="81"/>
            <rFont val="Tahoma"/>
            <family val="2"/>
          </rPr>
          <t>Nattapong TH:</t>
        </r>
        <r>
          <rPr>
            <sz val="9"/>
            <color indexed="81"/>
            <rFont val="Tahoma"/>
            <family val="2"/>
          </rPr>
          <t xml:space="preserve">
=IF(WEEKDAY(A2,2)&lt;6,ROUND((60-C2)*RAND()*60,0)+2000,ROUND((60-C2)*RAND()*50,0)+1500)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Nattapong TH</author>
  </authors>
  <commentList>
    <comment ref="D1" authorId="0" shapeId="0" xr:uid="{1ED48EEB-BEE5-467A-8A76-27D28C01B75F}">
      <text>
        <r>
          <rPr>
            <b/>
            <sz val="9"/>
            <color indexed="81"/>
            <rFont val="Tahoma"/>
            <family val="2"/>
          </rPr>
          <t>Nattapong TH:</t>
        </r>
        <r>
          <rPr>
            <sz val="9"/>
            <color indexed="81"/>
            <rFont val="Tahoma"/>
            <family val="2"/>
          </rPr>
          <t xml:space="preserve">
=IF(WEEKDAY(A2,2)&lt;6,ROUND((60-C2)*RAND()*60,0)+2000,ROUND((60-C2)*RAND()*50,0)+1500)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<sst xmlns="http://schemas.openxmlformats.org/spreadsheetml/2006/main" count="210" uniqueCount="138">
  <si>
    <t>บาท</t>
  </si>
  <si>
    <t>Total</t>
  </si>
  <si>
    <t>น้ำหนัก</t>
  </si>
  <si>
    <t>ส่วนสูง</t>
  </si>
  <si>
    <t>kg</t>
  </si>
  <si>
    <t>น้ำหนักต่ำกว่าเกณฑ์</t>
  </si>
  <si>
    <t>&lt;18.5</t>
  </si>
  <si>
    <t>18.5 – 24.9</t>
  </si>
  <si>
    <t>สมส่วน หรือ สุขภาพดี</t>
  </si>
  <si>
    <t>25.0 – 29.9</t>
  </si>
  <si>
    <t>น้ำหนักเกิน</t>
  </si>
  <si>
    <t>โรคอ้วน</t>
  </si>
  <si>
    <t>&gt;30</t>
  </si>
  <si>
    <t>m</t>
  </si>
  <si>
    <t>BMI</t>
  </si>
  <si>
    <t>cm</t>
  </si>
  <si>
    <t>Initial Investment</t>
  </si>
  <si>
    <t>https://corporatefinanceinstitute.com/resources/excel/irr-function/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</si>
  <si>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</si>
  <si>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</si>
  <si>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</si>
  <si>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</si>
  <si>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</si>
  <si>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</si>
  <si>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</si>
  <si>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</si>
  <si>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</si>
  <si>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</si>
  <si>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IRR</t>
  </si>
  <si>
    <t>Internal Rate of Return (IRR)
อัตราผลตอบแทนภายใน คือ การประเมินว่า “การลงทุนให้อัตราผลตอบแทนเท่าใด” เป็นการสุ่มอัตราคิดลด (Discount Rate) ที่ทำให้ NPV มีค่าเท่ากับศูนย์ กล่าวคือ ทำให้เงินสดสุทธิในอนาคตทอนมูลค่ากลับมาปัจจุบันแล้ว มีค่าเท่ากับเงินลงทุนก้อนแรก ดังนั้น IRR ควรมีค่ามากกว่าต้นทุนทางการเงิน และยิ่งมีค่ามากยิ่งดี</t>
  </si>
  <si>
    <t>https://www.krungsri.com/th/personal/mutual-fund/knowledge/glossary/i/internal-rate-of-return</t>
  </si>
  <si>
    <t>http://www2.dede.go.th/webpage/tools.htm</t>
  </si>
  <si>
    <t>Date</t>
  </si>
  <si>
    <t>Oil price</t>
  </si>
  <si>
    <t>Demand</t>
  </si>
  <si>
    <t>Weekday?</t>
  </si>
  <si>
    <t>Demand (1000 ลิตร)</t>
  </si>
  <si>
    <t>c</t>
  </si>
  <si>
    <t>ราคาขายวิตามินซีใน shopee</t>
  </si>
  <si>
    <t>ยอดขายต่อวัน</t>
  </si>
  <si>
    <t>min</t>
  </si>
  <si>
    <t>max</t>
  </si>
  <si>
    <t>Price</t>
  </si>
  <si>
    <t>intercept</t>
  </si>
  <si>
    <t>slope</t>
  </si>
  <si>
    <t>อยากได้ยอดขาย 1000 ชิ้นต้องตั้งราคากี่บาท</t>
  </si>
  <si>
    <t>Multiple R</t>
  </si>
  <si>
    <t>R Square</t>
  </si>
  <si>
    <t>Adjusted R Square</t>
  </si>
  <si>
    <t>Standard Error</t>
  </si>
  <si>
    <t>Observations</t>
  </si>
  <si>
    <t>ANOVA</t>
  </si>
  <si>
    <t>Alpha</t>
  </si>
  <si>
    <t>df</t>
  </si>
  <si>
    <t>SS</t>
  </si>
  <si>
    <t>MS</t>
  </si>
  <si>
    <t>F</t>
  </si>
  <si>
    <t>Regression</t>
  </si>
  <si>
    <t>Residual</t>
  </si>
  <si>
    <t>Intercept</t>
  </si>
  <si>
    <t>https://www.thepexcel.com/excel-forecast/</t>
  </si>
  <si>
    <t>Year</t>
  </si>
  <si>
    <t>Year count</t>
  </si>
  <si>
    <t xml:space="preserve">m = </t>
  </si>
  <si>
    <t>c =</t>
  </si>
  <si>
    <t>Forecast</t>
  </si>
  <si>
    <t>Forecast_Linear</t>
  </si>
  <si>
    <t>ETS.SEASONALITY</t>
  </si>
  <si>
    <t>Forecast_ETS (fix)</t>
  </si>
  <si>
    <t>Forecast_ETS (default)</t>
  </si>
  <si>
    <t>Timeline</t>
  </si>
  <si>
    <t>Values</t>
  </si>
  <si>
    <t>Lower Confidence Bound</t>
  </si>
  <si>
    <t>Upper Confidence Bound</t>
  </si>
  <si>
    <t>Statistic</t>
  </si>
  <si>
    <t>Value</t>
  </si>
  <si>
    <t>Beta</t>
  </si>
  <si>
    <t>Gamma</t>
  </si>
  <si>
    <t>MASE</t>
  </si>
  <si>
    <t>SMAPE</t>
  </si>
  <si>
    <t>MAE</t>
  </si>
  <si>
    <t>RMSE</t>
  </si>
  <si>
    <t>SUMMARY OUTPUT</t>
  </si>
  <si>
    <t>Regression Statistics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</si>
  <si>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</si>
  <si>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</si>
  <si>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</si>
  <si>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</si>
  <si>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</si>
  <si>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</si>
  <si>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</si>
  <si>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</si>
  <si>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Rainfall (mm)</t>
  </si>
  <si>
    <t>Umberllas sold</t>
  </si>
  <si>
    <t>คาดการณ์ปริมาณฝนตก</t>
  </si>
  <si>
    <t xml:space="preserve"> m =</t>
  </si>
  <si>
    <t xml:space="preserve"> c =</t>
  </si>
  <si>
    <t>Adjusted Umberllas sold</t>
  </si>
  <si>
    <t>m =</t>
  </si>
  <si>
    <t>Method 1.1</t>
  </si>
  <si>
    <t>Method 1.2</t>
  </si>
  <si>
    <t>Correlation</t>
  </si>
  <si>
    <t>ใส่น้ำหนักปัจจุบัน</t>
  </si>
  <si>
    <t>ถ้าจะทำให้ IRR เป็น 10% ต้องลดเงินลงทุนเหลือที่บาท (โดยผลตอบแทนเท่าเดิม)</t>
  </si>
  <si>
    <t>ถ้าจะทำให้ IRR เป็น 10% ต้องเพิ่มผลตอบแทนเป็นกี่บาท (โดยเงินลงทุนเท่าเดิม)</t>
  </si>
  <si>
    <t>ผลตอบแทนที่คาดว่าจะได้รับ</t>
  </si>
  <si>
    <t>Option 1</t>
  </si>
  <si>
    <t>Option 2</t>
  </si>
  <si>
    <t>&lt;0.05</t>
  </si>
  <si>
    <t>หา error จาก root mean square errer (RMSE)</t>
  </si>
  <si>
    <t>Error</t>
  </si>
  <si>
    <t>Square Error</t>
  </si>
  <si>
    <t>Error ของ Model นี้</t>
  </si>
  <si>
    <t>error น้อยกว่า</t>
  </si>
  <si>
    <t>Sum of Oil price</t>
  </si>
  <si>
    <t>Sum of Demand (1000 ลิตร)</t>
  </si>
  <si>
    <t>Row Labels</t>
  </si>
  <si>
    <t>Weekday</t>
  </si>
  <si>
    <t>Weekend</t>
  </si>
  <si>
    <t>Column Labels</t>
  </si>
  <si>
    <t>Demand of Weekend</t>
  </si>
  <si>
    <t>Demand of Weekday</t>
  </si>
  <si>
    <t>Oil</t>
  </si>
  <si>
    <t>Demand = (-50.2*Oil price) + (585.71*Weekday?) + 3979.94</t>
  </si>
  <si>
    <t>สูตรการคำนวณ BMI</t>
  </si>
  <si>
    <t>สูตรที่ 2: [น้ำหนัก (lb) / ส่วนสูง (in)]2 x 703</t>
  </si>
  <si>
    <t>สูตรที่ 1: [น้ำหนัก (kg) / ส่วนสูง (m)2]</t>
  </si>
  <si>
    <r>
      <rPr>
        <sz val="11"/>
        <color rgb="FFFF0000"/>
        <rFont val="Tahoma"/>
        <family val="2"/>
        <scheme val="minor"/>
      </rPr>
      <t>Goal seek</t>
    </r>
    <r>
      <rPr>
        <sz val="11"/>
        <color theme="1"/>
        <rFont val="Tahoma"/>
        <family val="2"/>
        <scheme val="minor"/>
      </rPr>
      <t xml:space="preserve"> for change weight or height </t>
    </r>
  </si>
  <si>
    <t>แบบเปลี่ยนน้ำหนักเอง</t>
  </si>
  <si>
    <t>ใช้ Goal seek เพื่อสุ่มเปลี่ยนน้ำหนักหรือส่วนสูงให้อยู่ในค่า BMI ที่กำหนด</t>
  </si>
  <si>
    <t>To value: กำหนดค่า BMI ที่ต้องการ ตัวอย่างคือ 22.5</t>
  </si>
  <si>
    <t>Set cell: ตั้ง cell ที่ต้องการให้ค่าเท่ากับ To value</t>
  </si>
  <si>
    <t>By changing cell: ตั้ง cell ที่ต้องการจะให้สุ่มค่าเปลี่ยนเพื่อหา BMI ที่ต้องการ</t>
  </si>
  <si>
    <t>with Forcast Sheet function</t>
  </si>
  <si>
    <r>
      <t xml:space="preserve">Forecast ยอดขายของ Umberllas ด้วยข้อมูลปริมาณน้ำฝนจาก วิธี </t>
    </r>
    <r>
      <rPr>
        <sz val="11"/>
        <color rgb="FFFF0000"/>
        <rFont val="Tahoma"/>
        <family val="2"/>
        <scheme val="minor"/>
      </rPr>
      <t>Linear Regression</t>
    </r>
  </si>
  <si>
    <t>Criteria</t>
  </si>
  <si>
    <t>Description</t>
  </si>
  <si>
    <t>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</si>
</sst>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87" formatCode="_-* #,##0.00_-;\-* #,##0.00_-;_-* &quot;-&quot;??_-;_-@_-"/>
    <numFmt numFmtId="188" formatCode="_(* #,##0_);_(* \(#,##0\);_(* &quot;-&quot;??_);_(@_)"/>
    <numFmt numFmtId="189" formatCode="0.0000"/>
    <numFmt numFmtId="190" formatCode="_(* #,##0.0_);_(* \(#,##0.0\);_(* &quot;-&quot;??_);_(@_)"/>
    <numFmt numFmtId="191" formatCode="ddd/dd/mmm/yy"/>
    <numFmt numFmtId="192" formatCode="[$-409]dd/mmm/yy;@"/>
    <numFmt numFmtId="193" formatCode="0.00000"/>
    <numFmt numFmtId="194" formatCode="0.0000E+00"/>
  </numFmts>
  <fonts count="1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8"/>
      <name val="Tahoma"/>
      <family val="2"/>
      <scheme val="minor"/>
    </font>
    <font>
      <sz val="11"/>
      <color theme="0" tint="-0.34998626667073579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Tahoma"/>
      <family val="2"/>
      <scheme val="minor"/>
    </font>
    <font>
      <sz val="11"/>
      <color theme="0" tint="-0.499984740745262"/>
      <name val="Tahoma"/>
      <family val="2"/>
      <scheme val="minor"/>
    </font>
    <font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theme="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87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</cellStyleXfs>
  <cellXfs count="68">
    <xf numFmtId="0" fontId="0" fillId="0" borderId="0" xfId="0"/>
    <xf numFmtId="0" fontId="0" fillId="2" borderId="0" xfId="0" applyFill="1"/>
    <xf numFmtId="0" fontId="4" fillId="0" borderId="0" xfId="0" applyFont="1"/>
    <xf numFmtId="0" fontId="5" fillId="0" borderId="0" xfId="5"/>
    <xf numFmtId="43" fontId="0" fillId="0" borderId="0" xfId="4" applyFont="1"/>
    <xf numFmtId="9" fontId="0" fillId="0" borderId="0" xfId="0" applyNumberFormat="1"/>
    <xf numFmtId="190" fontId="0" fillId="0" borderId="0" xfId="4" applyNumberFormat="1" applyFont="1"/>
    <xf numFmtId="188" fontId="0" fillId="0" borderId="0" xfId="4" applyNumberFormat="1" applyFont="1"/>
    <xf numFmtId="43" fontId="0" fillId="0" borderId="0" xfId="0" applyNumberFormat="1"/>
    <xf numFmtId="191" fontId="0" fillId="0" borderId="0" xfId="0" applyNumberFormat="1"/>
    <xf numFmtId="192" fontId="0" fillId="0" borderId="0" xfId="0" applyNumberFormat="1"/>
    <xf numFmtId="0" fontId="9" fillId="0" borderId="0" xfId="0" applyFont="1" applyAlignment="1">
      <alignment horizontal="center"/>
    </xf>
    <xf numFmtId="17" fontId="0" fillId="0" borderId="0" xfId="0" applyNumberFormat="1"/>
    <xf numFmtId="188" fontId="0" fillId="0" borderId="0" xfId="0" applyNumberFormat="1"/>
    <xf numFmtId="43" fontId="0" fillId="3" borderId="0" xfId="0" applyNumberFormat="1" applyFill="1"/>
    <xf numFmtId="4" fontId="0" fillId="0" borderId="0" xfId="0" applyNumberFormat="1"/>
    <xf numFmtId="0" fontId="0" fillId="0" borderId="1" xfId="0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Continuous"/>
    </xf>
    <xf numFmtId="190" fontId="0" fillId="0" borderId="0" xfId="0" applyNumberFormat="1"/>
    <xf numFmtId="43" fontId="4" fillId="0" borderId="0" xfId="0" applyNumberFormat="1" applyFont="1"/>
    <xf numFmtId="189" fontId="0" fillId="0" borderId="0" xfId="0" applyNumberFormat="1"/>
    <xf numFmtId="189" fontId="0" fillId="2" borderId="0" xfId="0" applyNumberFormat="1" applyFill="1"/>
    <xf numFmtId="0" fontId="0" fillId="2" borderId="1" xfId="0" applyFill="1" applyBorder="1"/>
    <xf numFmtId="43" fontId="0" fillId="2" borderId="0" xfId="4" applyFont="1" applyFill="1"/>
    <xf numFmtId="43" fontId="0" fillId="2" borderId="0" xfId="0" applyNumberFormat="1" applyFill="1"/>
    <xf numFmtId="0" fontId="10" fillId="0" borderId="0" xfId="0" applyFont="1"/>
    <xf numFmtId="194" fontId="0" fillId="0" borderId="0" xfId="0" applyNumberFormat="1"/>
    <xf numFmtId="194" fontId="0" fillId="0" borderId="1" xfId="0" applyNumberFormat="1" applyBorder="1"/>
    <xf numFmtId="187" fontId="0" fillId="0" borderId="0" xfId="0" applyNumberFormat="1"/>
    <xf numFmtId="2" fontId="0" fillId="2" borderId="0" xfId="0" applyNumberFormat="1" applyFill="1"/>
    <xf numFmtId="43" fontId="0" fillId="5" borderId="0" xfId="0" applyNumberFormat="1" applyFill="1"/>
    <xf numFmtId="43" fontId="0" fillId="6" borderId="0" xfId="0" applyNumberFormat="1" applyFill="1"/>
    <xf numFmtId="2" fontId="0" fillId="6" borderId="0" xfId="0" applyNumberFormat="1" applyFill="1"/>
    <xf numFmtId="43" fontId="11" fillId="0" borderId="0" xfId="0" applyNumberFormat="1" applyFont="1"/>
    <xf numFmtId="191" fontId="0" fillId="0" borderId="0" xfId="0" applyNumberFormat="1" applyAlignment="1">
      <alignment horizontal="left"/>
    </xf>
    <xf numFmtId="0" fontId="0" fillId="0" borderId="0" xfId="0" pivotButton="1"/>
    <xf numFmtId="0" fontId="12" fillId="4" borderId="3" xfId="0" applyFont="1" applyFill="1" applyBorder="1"/>
    <xf numFmtId="0" fontId="0" fillId="0" borderId="0" xfId="0" applyAlignment="1">
      <alignment horizontal="left" vertical="top" wrapText="1"/>
    </xf>
    <xf numFmtId="0" fontId="0" fillId="0" borderId="4" xfId="0" applyBorder="1"/>
    <xf numFmtId="0" fontId="14" fillId="7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4" fillId="7" borderId="4" xfId="0" applyFont="1" applyFill="1" applyBorder="1" applyAlignment="1">
      <alignment horizontal="center" vertical="center"/>
    </xf>
    <xf numFmtId="17" fontId="0" fillId="0" borderId="4" xfId="0" applyNumberFormat="1" applyBorder="1" applyAlignment="1">
      <alignment vertical="center"/>
    </xf>
    <xf numFmtId="190" fontId="0" fillId="0" borderId="4" xfId="4" applyNumberFormat="1" applyFont="1" applyBorder="1" applyAlignment="1">
      <alignment vertical="center"/>
    </xf>
    <xf numFmtId="0" fontId="0" fillId="0" borderId="4" xfId="0" applyBorder="1" applyAlignment="1">
      <alignment vertical="center"/>
    </xf>
    <xf numFmtId="17" fontId="0" fillId="0" borderId="0" xfId="0" applyNumberFormat="1" applyAlignment="1">
      <alignment vertical="center"/>
    </xf>
    <xf numFmtId="190" fontId="0" fillId="0" borderId="0" xfId="0" applyNumberFormat="1" applyAlignment="1">
      <alignment vertical="center"/>
    </xf>
    <xf numFmtId="43" fontId="0" fillId="3" borderId="0" xfId="0" applyNumberFormat="1" applyFill="1" applyAlignment="1">
      <alignment vertical="center"/>
    </xf>
    <xf numFmtId="43" fontId="4" fillId="0" borderId="0" xfId="0" applyNumberFormat="1" applyFont="1" applyAlignment="1">
      <alignment vertical="center"/>
    </xf>
    <xf numFmtId="193" fontId="0" fillId="0" borderId="0" xfId="0" applyNumberFormat="1" applyAlignment="1">
      <alignment vertical="center"/>
    </xf>
    <xf numFmtId="0" fontId="14" fillId="7" borderId="0" xfId="0" applyFont="1" applyFill="1"/>
    <xf numFmtId="0" fontId="13" fillId="8" borderId="4" xfId="0" applyFont="1" applyFill="1" applyBorder="1"/>
    <xf numFmtId="0" fontId="0" fillId="0" borderId="4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43" fontId="0" fillId="2" borderId="8" xfId="4" applyFont="1" applyFill="1" applyBorder="1"/>
    <xf numFmtId="43" fontId="0" fillId="0" borderId="8" xfId="4" applyFont="1" applyBorder="1"/>
    <xf numFmtId="0" fontId="0" fillId="0" borderId="10" xfId="0" applyBorder="1"/>
    <xf numFmtId="0" fontId="0" fillId="0" borderId="11" xfId="0" applyBorder="1"/>
    <xf numFmtId="43" fontId="0" fillId="0" borderId="6" xfId="4" applyFont="1" applyBorder="1"/>
    <xf numFmtId="43" fontId="0" fillId="0" borderId="0" xfId="4" applyFont="1" applyBorder="1"/>
    <xf numFmtId="0" fontId="4" fillId="0" borderId="0" xfId="0" applyFont="1" applyBorder="1"/>
    <xf numFmtId="0" fontId="4" fillId="0" borderId="1" xfId="0" applyFont="1" applyBorder="1"/>
  </cellXfs>
  <cellStyles count="7">
    <cellStyle name="Comma" xfId="4" builtinId="3"/>
    <cellStyle name="Comma 3" xfId="2" xr:uid="{932A15CB-9392-4B5E-8F64-BCC39DFF0D5C}"/>
    <cellStyle name="Hyperlink" xfId="5" builtinId="8"/>
    <cellStyle name="Normal" xfId="0" builtinId="0"/>
    <cellStyle name="Normal 2" xfId="3" xr:uid="{9584B9CF-45A8-487D-B4D7-44BDE045335E}"/>
    <cellStyle name="Normal 3" xfId="6" xr:uid="{F4A8924F-C0F9-41AB-A23F-400EEB75CA58}"/>
    <cellStyle name="Normal 4" xfId="1" xr:uid="{C02DDDE0-7DEF-4BF4-A1F5-18D277AD1711}"/>
  </cellStyles>
  <dxfs count="5">
    <dxf>
      <numFmt numFmtId="4" formatCode="#,##0.00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88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ยอดขายร่ม</a:t>
            </a:r>
            <a:r>
              <a:rPr lang="th-TH" baseline="0"/>
              <a:t>กับปริมาณฝนตก</a:t>
            </a:r>
            <a:endParaRPr lang="en-US"/>
          </a:p>
        </c:rich>
      </c:tx>
      <c:layout>
        <c:manualLayout>
          <c:xMode val="edge"/>
          <c:yMode val="edge"/>
          <c:x val="0.3206041119860018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396434820647419"/>
                  <c:y val="7.516185476815398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'LR_Line Chart'!$B$2:$B$25</c:f>
              <c:numCache>
                <c:formatCode>_(* #,##0.0_);_(* \(#,##0.0\);_(* "-"??_);_(@_)</c:formatCode>
                <c:ptCount val="24"/>
                <c:pt idx="0">
                  <c:v>20.2</c:v>
                </c:pt>
                <c:pt idx="1">
                  <c:v>58.5</c:v>
                </c:pt>
                <c:pt idx="2">
                  <c:v>96.8</c:v>
                </c:pt>
                <c:pt idx="3">
                  <c:v>103.6</c:v>
                </c:pt>
                <c:pt idx="4">
                  <c:v>245.4</c:v>
                </c:pt>
                <c:pt idx="5">
                  <c:v>144.6</c:v>
                </c:pt>
                <c:pt idx="6">
                  <c:v>258.10000000000002</c:v>
                </c:pt>
                <c:pt idx="7">
                  <c:v>275.10000000000002</c:v>
                </c:pt>
                <c:pt idx="8">
                  <c:v>334.7</c:v>
                </c:pt>
                <c:pt idx="9">
                  <c:v>211.7</c:v>
                </c:pt>
                <c:pt idx="10">
                  <c:v>121.9</c:v>
                </c:pt>
                <c:pt idx="11">
                  <c:v>88.4</c:v>
                </c:pt>
                <c:pt idx="12">
                  <c:v>10.799999999999999</c:v>
                </c:pt>
                <c:pt idx="13">
                  <c:v>74.25</c:v>
                </c:pt>
                <c:pt idx="14">
                  <c:v>137.69999999999999</c:v>
                </c:pt>
                <c:pt idx="15">
                  <c:v>118.1</c:v>
                </c:pt>
                <c:pt idx="16">
                  <c:v>305</c:v>
                </c:pt>
                <c:pt idx="17">
                  <c:v>100.19999999999999</c:v>
                </c:pt>
                <c:pt idx="18">
                  <c:v>300.70000000000005</c:v>
                </c:pt>
                <c:pt idx="19">
                  <c:v>303.60000000000002</c:v>
                </c:pt>
                <c:pt idx="20">
                  <c:v>409.6</c:v>
                </c:pt>
                <c:pt idx="21">
                  <c:v>242.2</c:v>
                </c:pt>
                <c:pt idx="22">
                  <c:v>120</c:v>
                </c:pt>
                <c:pt idx="23">
                  <c:v>100</c:v>
                </c:pt>
              </c:numCache>
            </c:numRef>
          </c:xVal>
          <c:yVal>
            <c:numRef>
              <c:f>'LR_Line Chart'!$C$2:$C$25</c:f>
              <c:numCache>
                <c:formatCode>General</c:formatCode>
                <c:ptCount val="24"/>
                <c:pt idx="0">
                  <c:v>27</c:v>
                </c:pt>
                <c:pt idx="1">
                  <c:v>70</c:v>
                </c:pt>
                <c:pt idx="2">
                  <c:v>123</c:v>
                </c:pt>
                <c:pt idx="3">
                  <c:v>193</c:v>
                </c:pt>
                <c:pt idx="4">
                  <c:v>305</c:v>
                </c:pt>
                <c:pt idx="5">
                  <c:v>233</c:v>
                </c:pt>
                <c:pt idx="6">
                  <c:v>442</c:v>
                </c:pt>
                <c:pt idx="7">
                  <c:v>522</c:v>
                </c:pt>
                <c:pt idx="8">
                  <c:v>405</c:v>
                </c:pt>
                <c:pt idx="9">
                  <c:v>267</c:v>
                </c:pt>
                <c:pt idx="10">
                  <c:v>263</c:v>
                </c:pt>
                <c:pt idx="11">
                  <c:v>156</c:v>
                </c:pt>
                <c:pt idx="12">
                  <c:v>20</c:v>
                </c:pt>
                <c:pt idx="13">
                  <c:v>96</c:v>
                </c:pt>
                <c:pt idx="14">
                  <c:v>208</c:v>
                </c:pt>
                <c:pt idx="15">
                  <c:v>285</c:v>
                </c:pt>
                <c:pt idx="16">
                  <c:v>660</c:v>
                </c:pt>
                <c:pt idx="17">
                  <c:v>229</c:v>
                </c:pt>
                <c:pt idx="18">
                  <c:v>519</c:v>
                </c:pt>
                <c:pt idx="19">
                  <c:v>426</c:v>
                </c:pt>
                <c:pt idx="20">
                  <c:v>488</c:v>
                </c:pt>
                <c:pt idx="21">
                  <c:v>356</c:v>
                </c:pt>
                <c:pt idx="22">
                  <c:v>200</c:v>
                </c:pt>
                <c:pt idx="23">
                  <c:v>219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90-4E28-9A77-36CD6171D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539984"/>
        <c:axId val="1109110256"/>
      </c:scatterChart>
      <c:valAx>
        <c:axId val="156539984"/>
        <c:scaling>
          <c:orientation val="minMax"/>
        </c:scaling>
        <c:delete val="0"/>
        <c:axPos val="b"/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109110256"/>
        <c:crosses val="autoZero"/>
        <c:crossBetween val="midCat"/>
      </c:valAx>
      <c:valAx>
        <c:axId val="110911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5653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'LR_Add-ins'!$C$1</c:f>
              <c:strCache>
                <c:ptCount val="1"/>
                <c:pt idx="0">
                  <c:v>Umberllas sold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489326334208225"/>
                  <c:y val="-5.700021872265966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'LR_Add-ins'!$B$2:$B$25</c:f>
              <c:numCache>
                <c:formatCode>_(* #,##0.0_);_(* \(#,##0.0\);_(* "-"??_);_(@_)</c:formatCode>
                <c:ptCount val="24"/>
                <c:pt idx="0">
                  <c:v>20.2</c:v>
                </c:pt>
                <c:pt idx="1">
                  <c:v>58.5</c:v>
                </c:pt>
                <c:pt idx="2">
                  <c:v>96.8</c:v>
                </c:pt>
                <c:pt idx="3">
                  <c:v>103.6</c:v>
                </c:pt>
                <c:pt idx="4">
                  <c:v>245.4</c:v>
                </c:pt>
                <c:pt idx="5">
                  <c:v>144.6</c:v>
                </c:pt>
                <c:pt idx="6">
                  <c:v>258.10000000000002</c:v>
                </c:pt>
                <c:pt idx="7">
                  <c:v>275.10000000000002</c:v>
                </c:pt>
                <c:pt idx="8">
                  <c:v>334.7</c:v>
                </c:pt>
                <c:pt idx="9">
                  <c:v>211.7</c:v>
                </c:pt>
                <c:pt idx="10">
                  <c:v>121.9</c:v>
                </c:pt>
                <c:pt idx="11">
                  <c:v>88.4</c:v>
                </c:pt>
                <c:pt idx="12">
                  <c:v>10.799999999999999</c:v>
                </c:pt>
                <c:pt idx="13">
                  <c:v>74.25</c:v>
                </c:pt>
                <c:pt idx="14">
                  <c:v>137.69999999999999</c:v>
                </c:pt>
                <c:pt idx="15">
                  <c:v>118.1</c:v>
                </c:pt>
                <c:pt idx="16">
                  <c:v>305</c:v>
                </c:pt>
                <c:pt idx="17">
                  <c:v>100.19999999999999</c:v>
                </c:pt>
                <c:pt idx="18">
                  <c:v>300.70000000000005</c:v>
                </c:pt>
                <c:pt idx="19">
                  <c:v>303.60000000000002</c:v>
                </c:pt>
                <c:pt idx="20">
                  <c:v>409.6</c:v>
                </c:pt>
                <c:pt idx="21">
                  <c:v>242.2</c:v>
                </c:pt>
                <c:pt idx="22">
                  <c:v>120</c:v>
                </c:pt>
                <c:pt idx="23">
                  <c:v>100</c:v>
                </c:pt>
              </c:numCache>
            </c:numRef>
          </c:xVal>
          <c:yVal>
            <c:numRef>
              <c:f>'LR_Add-ins'!$C$2:$C$25</c:f>
              <c:numCache>
                <c:formatCode>General</c:formatCode>
                <c:ptCount val="24"/>
                <c:pt idx="0">
                  <c:v>16</c:v>
                </c:pt>
                <c:pt idx="1">
                  <c:v>59</c:v>
                </c:pt>
                <c:pt idx="2">
                  <c:v>105</c:v>
                </c:pt>
                <c:pt idx="3">
                  <c:v>117</c:v>
                </c:pt>
                <c:pt idx="4">
                  <c:v>398</c:v>
                </c:pt>
                <c:pt idx="5">
                  <c:v>190</c:v>
                </c:pt>
                <c:pt idx="6">
                  <c:v>434</c:v>
                </c:pt>
                <c:pt idx="7">
                  <c:v>476</c:v>
                </c:pt>
                <c:pt idx="8">
                  <c:v>637</c:v>
                </c:pt>
                <c:pt idx="9">
                  <c:v>320</c:v>
                </c:pt>
                <c:pt idx="10">
                  <c:v>155</c:v>
                </c:pt>
                <c:pt idx="11">
                  <c:v>97</c:v>
                </c:pt>
                <c:pt idx="12">
                  <c:v>11</c:v>
                </c:pt>
                <c:pt idx="13">
                  <c:v>76</c:v>
                </c:pt>
                <c:pt idx="14">
                  <c:v>181</c:v>
                </c:pt>
                <c:pt idx="15">
                  <c:v>144</c:v>
                </c:pt>
                <c:pt idx="16">
                  <c:v>549</c:v>
                </c:pt>
                <c:pt idx="17">
                  <c:v>117</c:v>
                </c:pt>
                <c:pt idx="18">
                  <c:v>544</c:v>
                </c:pt>
                <c:pt idx="19">
                  <c:v>542</c:v>
                </c:pt>
                <c:pt idx="20">
                  <c:v>847</c:v>
                </c:pt>
                <c:pt idx="21">
                  <c:v>397</c:v>
                </c:pt>
                <c:pt idx="22">
                  <c:v>150</c:v>
                </c:pt>
                <c:pt idx="23">
                  <c:v>114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29-48A2-9BEC-031BD421C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839"/>
        <c:axId val="4364031"/>
      </c:scatterChart>
      <c:valAx>
        <c:axId val="4379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_);_(* \(#,##0.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64031"/>
        <c:crosses val="autoZero"/>
        <c:crossBetween val="midCat"/>
      </c:valAx>
      <c:valAx>
        <c:axId val="43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3798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'LR_Add-ins2'!$H$24</c:f>
              <c:strCache>
                <c:ptCount val="1"/>
                <c:pt idx="0">
                  <c:v>Demand of Weekday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7533486439195098"/>
                  <c:y val="-7.88928988043161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'LR_Add-ins2'!$G$25:$G$135</c:f>
              <c:numCache>
                <c:formatCode>_(* #,##0.00_);_(* \(#,##0.00\);_(* "-"??_);_(@_)</c:formatCode>
                <c:ptCount val="111"/>
                <c:pt idx="0">
                  <c:v>35</c:v>
                </c:pt>
                <c:pt idx="1">
                  <c:v>34</c:v>
                </c:pt>
                <c:pt idx="2">
                  <c:v>33.5</c:v>
                </c:pt>
                <c:pt idx="3">
                  <c:v>32.5</c:v>
                </c:pt>
                <c:pt idx="4">
                  <c:v>33.5</c:v>
                </c:pt>
                <c:pt idx="5">
                  <c:v>34.5</c:v>
                </c:pt>
                <c:pt idx="6">
                  <c:v>35</c:v>
                </c:pt>
                <c:pt idx="7">
                  <c:v>35.5</c:v>
                </c:pt>
                <c:pt idx="8">
                  <c:v>35.75</c:v>
                </c:pt>
                <c:pt idx="9">
                  <c:v>35.5</c:v>
                </c:pt>
                <c:pt idx="10">
                  <c:v>34.75</c:v>
                </c:pt>
                <c:pt idx="11">
                  <c:v>35.75</c:v>
                </c:pt>
                <c:pt idx="12">
                  <c:v>35.75</c:v>
                </c:pt>
                <c:pt idx="13">
                  <c:v>35.25</c:v>
                </c:pt>
                <c:pt idx="14">
                  <c:v>34.25</c:v>
                </c:pt>
                <c:pt idx="15">
                  <c:v>34.75</c:v>
                </c:pt>
                <c:pt idx="16">
                  <c:v>35.5</c:v>
                </c:pt>
                <c:pt idx="17">
                  <c:v>35</c:v>
                </c:pt>
                <c:pt idx="18">
                  <c:v>36</c:v>
                </c:pt>
                <c:pt idx="19">
                  <c:v>36.5</c:v>
                </c:pt>
                <c:pt idx="20">
                  <c:v>35.75</c:v>
                </c:pt>
                <c:pt idx="21">
                  <c:v>35.5</c:v>
                </c:pt>
                <c:pt idx="22">
                  <c:v>35</c:v>
                </c:pt>
                <c:pt idx="23">
                  <c:v>35</c:v>
                </c:pt>
                <c:pt idx="24">
                  <c:v>35.25</c:v>
                </c:pt>
                <c:pt idx="25">
                  <c:v>35</c:v>
                </c:pt>
                <c:pt idx="26">
                  <c:v>35.25</c:v>
                </c:pt>
                <c:pt idx="27">
                  <c:v>35.5</c:v>
                </c:pt>
                <c:pt idx="28">
                  <c:v>36.25</c:v>
                </c:pt>
                <c:pt idx="29">
                  <c:v>35.75</c:v>
                </c:pt>
                <c:pt idx="30">
                  <c:v>35</c:v>
                </c:pt>
                <c:pt idx="31">
                  <c:v>35</c:v>
                </c:pt>
                <c:pt idx="32">
                  <c:v>35.5</c:v>
                </c:pt>
                <c:pt idx="33">
                  <c:v>36.5</c:v>
                </c:pt>
                <c:pt idx="34">
                  <c:v>36.25</c:v>
                </c:pt>
                <c:pt idx="35">
                  <c:v>37.25</c:v>
                </c:pt>
                <c:pt idx="36">
                  <c:v>37.25</c:v>
                </c:pt>
                <c:pt idx="37">
                  <c:v>36.75</c:v>
                </c:pt>
                <c:pt idx="38">
                  <c:v>37.25</c:v>
                </c:pt>
                <c:pt idx="39">
                  <c:v>36.75</c:v>
                </c:pt>
                <c:pt idx="40">
                  <c:v>37.5</c:v>
                </c:pt>
                <c:pt idx="41">
                  <c:v>36.5</c:v>
                </c:pt>
                <c:pt idx="42">
                  <c:v>37.25</c:v>
                </c:pt>
                <c:pt idx="43">
                  <c:v>38.25</c:v>
                </c:pt>
                <c:pt idx="44">
                  <c:v>37.5</c:v>
                </c:pt>
                <c:pt idx="45">
                  <c:v>38</c:v>
                </c:pt>
                <c:pt idx="46">
                  <c:v>38.25</c:v>
                </c:pt>
                <c:pt idx="47">
                  <c:v>37.25</c:v>
                </c:pt>
                <c:pt idx="48">
                  <c:v>38.25</c:v>
                </c:pt>
                <c:pt idx="49">
                  <c:v>37.5</c:v>
                </c:pt>
                <c:pt idx="50">
                  <c:v>37.25</c:v>
                </c:pt>
                <c:pt idx="51">
                  <c:v>36.75</c:v>
                </c:pt>
                <c:pt idx="52">
                  <c:v>35.75</c:v>
                </c:pt>
                <c:pt idx="53">
                  <c:v>35.5</c:v>
                </c:pt>
                <c:pt idx="54">
                  <c:v>35.75</c:v>
                </c:pt>
                <c:pt idx="55">
                  <c:v>35.75</c:v>
                </c:pt>
                <c:pt idx="56">
                  <c:v>36.75</c:v>
                </c:pt>
                <c:pt idx="57">
                  <c:v>36.75</c:v>
                </c:pt>
                <c:pt idx="58">
                  <c:v>37.25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38.5</c:v>
                </c:pt>
                <c:pt idx="64">
                  <c:v>37.5</c:v>
                </c:pt>
                <c:pt idx="65">
                  <c:v>38.25</c:v>
                </c:pt>
                <c:pt idx="66">
                  <c:v>39</c:v>
                </c:pt>
                <c:pt idx="67">
                  <c:v>39</c:v>
                </c:pt>
                <c:pt idx="68">
                  <c:v>38.5</c:v>
                </c:pt>
                <c:pt idx="69">
                  <c:v>38.25</c:v>
                </c:pt>
                <c:pt idx="70">
                  <c:v>39.25</c:v>
                </c:pt>
                <c:pt idx="71">
                  <c:v>40</c:v>
                </c:pt>
                <c:pt idx="72">
                  <c:v>40.5</c:v>
                </c:pt>
                <c:pt idx="73">
                  <c:v>41.5</c:v>
                </c:pt>
                <c:pt idx="74">
                  <c:v>41</c:v>
                </c:pt>
                <c:pt idx="75">
                  <c:v>40.75</c:v>
                </c:pt>
                <c:pt idx="76">
                  <c:v>41</c:v>
                </c:pt>
                <c:pt idx="77">
                  <c:v>40.5</c:v>
                </c:pt>
                <c:pt idx="78">
                  <c:v>41</c:v>
                </c:pt>
                <c:pt idx="79">
                  <c:v>40.25</c:v>
                </c:pt>
                <c:pt idx="80">
                  <c:v>40.5</c:v>
                </c:pt>
                <c:pt idx="81">
                  <c:v>39.5</c:v>
                </c:pt>
                <c:pt idx="82">
                  <c:v>40.25</c:v>
                </c:pt>
                <c:pt idx="83">
                  <c:v>39.5</c:v>
                </c:pt>
                <c:pt idx="84">
                  <c:v>38.75</c:v>
                </c:pt>
                <c:pt idx="85">
                  <c:v>39.25</c:v>
                </c:pt>
                <c:pt idx="86">
                  <c:v>40.25</c:v>
                </c:pt>
                <c:pt idx="87">
                  <c:v>40.75</c:v>
                </c:pt>
                <c:pt idx="88">
                  <c:v>41.5</c:v>
                </c:pt>
                <c:pt idx="89">
                  <c:v>42.25</c:v>
                </c:pt>
                <c:pt idx="90">
                  <c:v>42.5</c:v>
                </c:pt>
                <c:pt idx="91">
                  <c:v>43</c:v>
                </c:pt>
                <c:pt idx="92">
                  <c:v>42.75</c:v>
                </c:pt>
                <c:pt idx="93">
                  <c:v>42.5</c:v>
                </c:pt>
                <c:pt idx="94">
                  <c:v>43.5</c:v>
                </c:pt>
                <c:pt idx="95">
                  <c:v>43.75</c:v>
                </c:pt>
                <c:pt idx="96">
                  <c:v>43.5</c:v>
                </c:pt>
                <c:pt idx="97">
                  <c:v>42.75</c:v>
                </c:pt>
                <c:pt idx="98">
                  <c:v>43.75</c:v>
                </c:pt>
                <c:pt idx="99">
                  <c:v>43</c:v>
                </c:pt>
                <c:pt idx="100">
                  <c:v>42.75</c:v>
                </c:pt>
                <c:pt idx="101">
                  <c:v>42.25</c:v>
                </c:pt>
                <c:pt idx="102">
                  <c:v>42.5</c:v>
                </c:pt>
                <c:pt idx="103">
                  <c:v>43.5</c:v>
                </c:pt>
                <c:pt idx="104">
                  <c:v>43</c:v>
                </c:pt>
                <c:pt idx="105">
                  <c:v>42.25</c:v>
                </c:pt>
                <c:pt idx="106">
                  <c:v>41.75</c:v>
                </c:pt>
                <c:pt idx="107">
                  <c:v>41.75</c:v>
                </c:pt>
                <c:pt idx="108">
                  <c:v>41.5</c:v>
                </c:pt>
                <c:pt idx="109">
                  <c:v>40.75</c:v>
                </c:pt>
                <c:pt idx="110">
                  <c:v>39.75</c:v>
                </c:pt>
              </c:numCache>
            </c:numRef>
          </c:xVal>
          <c:yVal>
            <c:numRef>
              <c:f>'LR_Add-ins2'!$H$25:$H$135</c:f>
              <c:numCache>
                <c:formatCode>_-* #,##0.00_-;\-* #,##0.00_-;_-* "-"??_-;_-@_-</c:formatCode>
                <c:ptCount val="111"/>
                <c:pt idx="0">
                  <c:v>2808.65</c:v>
                </c:pt>
                <c:pt idx="1">
                  <c:v>2858.85</c:v>
                </c:pt>
                <c:pt idx="2">
                  <c:v>2883.95</c:v>
                </c:pt>
                <c:pt idx="3">
                  <c:v>2934.15</c:v>
                </c:pt>
                <c:pt idx="4">
                  <c:v>2883.95</c:v>
                </c:pt>
                <c:pt idx="5">
                  <c:v>2833.75</c:v>
                </c:pt>
                <c:pt idx="6">
                  <c:v>2808.65</c:v>
                </c:pt>
                <c:pt idx="7">
                  <c:v>2783.55</c:v>
                </c:pt>
                <c:pt idx="8">
                  <c:v>2771</c:v>
                </c:pt>
                <c:pt idx="9">
                  <c:v>2783.55</c:v>
                </c:pt>
                <c:pt idx="10">
                  <c:v>2821.2</c:v>
                </c:pt>
                <c:pt idx="11">
                  <c:v>2771</c:v>
                </c:pt>
                <c:pt idx="12">
                  <c:v>2771</c:v>
                </c:pt>
                <c:pt idx="13">
                  <c:v>2796.1</c:v>
                </c:pt>
                <c:pt idx="14">
                  <c:v>2846.3</c:v>
                </c:pt>
                <c:pt idx="15">
                  <c:v>2821.2</c:v>
                </c:pt>
                <c:pt idx="16">
                  <c:v>2783.55</c:v>
                </c:pt>
                <c:pt idx="17">
                  <c:v>2808.65</c:v>
                </c:pt>
                <c:pt idx="18">
                  <c:v>2758.45</c:v>
                </c:pt>
                <c:pt idx="19">
                  <c:v>2733.35</c:v>
                </c:pt>
                <c:pt idx="20">
                  <c:v>2771</c:v>
                </c:pt>
                <c:pt idx="21">
                  <c:v>2783.55</c:v>
                </c:pt>
                <c:pt idx="22">
                  <c:v>2808.65</c:v>
                </c:pt>
                <c:pt idx="23">
                  <c:v>2808.65</c:v>
                </c:pt>
                <c:pt idx="24">
                  <c:v>2796.1</c:v>
                </c:pt>
                <c:pt idx="25">
                  <c:v>2808.65</c:v>
                </c:pt>
                <c:pt idx="26">
                  <c:v>2796.1</c:v>
                </c:pt>
                <c:pt idx="27">
                  <c:v>2783.55</c:v>
                </c:pt>
                <c:pt idx="28">
                  <c:v>2745.9</c:v>
                </c:pt>
                <c:pt idx="29">
                  <c:v>2771</c:v>
                </c:pt>
                <c:pt idx="30">
                  <c:v>2808.65</c:v>
                </c:pt>
                <c:pt idx="31">
                  <c:v>2808.65</c:v>
                </c:pt>
                <c:pt idx="32">
                  <c:v>2783.55</c:v>
                </c:pt>
                <c:pt idx="33">
                  <c:v>2733.35</c:v>
                </c:pt>
                <c:pt idx="34">
                  <c:v>2745.9</c:v>
                </c:pt>
                <c:pt idx="35">
                  <c:v>2695.7</c:v>
                </c:pt>
                <c:pt idx="36">
                  <c:v>2695.7</c:v>
                </c:pt>
                <c:pt idx="37">
                  <c:v>2720.8</c:v>
                </c:pt>
                <c:pt idx="38">
                  <c:v>2695.7</c:v>
                </c:pt>
                <c:pt idx="39">
                  <c:v>2720.8</c:v>
                </c:pt>
                <c:pt idx="40">
                  <c:v>2683.15</c:v>
                </c:pt>
                <c:pt idx="41">
                  <c:v>2733.35</c:v>
                </c:pt>
                <c:pt idx="42">
                  <c:v>2695.7</c:v>
                </c:pt>
                <c:pt idx="43">
                  <c:v>2645.5</c:v>
                </c:pt>
                <c:pt idx="44">
                  <c:v>2683.15</c:v>
                </c:pt>
                <c:pt idx="45">
                  <c:v>2658.05</c:v>
                </c:pt>
                <c:pt idx="46">
                  <c:v>2645.5</c:v>
                </c:pt>
                <c:pt idx="47">
                  <c:v>2695.7</c:v>
                </c:pt>
                <c:pt idx="48">
                  <c:v>2645.5</c:v>
                </c:pt>
                <c:pt idx="49">
                  <c:v>2683.15</c:v>
                </c:pt>
                <c:pt idx="50">
                  <c:v>2695.7</c:v>
                </c:pt>
                <c:pt idx="51">
                  <c:v>2720.8</c:v>
                </c:pt>
                <c:pt idx="52">
                  <c:v>2771</c:v>
                </c:pt>
                <c:pt idx="53">
                  <c:v>2783.55</c:v>
                </c:pt>
                <c:pt idx="54">
                  <c:v>2771</c:v>
                </c:pt>
                <c:pt idx="55">
                  <c:v>2771</c:v>
                </c:pt>
                <c:pt idx="56">
                  <c:v>2720.8</c:v>
                </c:pt>
                <c:pt idx="57">
                  <c:v>2720.8</c:v>
                </c:pt>
                <c:pt idx="58">
                  <c:v>2695.7</c:v>
                </c:pt>
                <c:pt idx="59">
                  <c:v>2658.05</c:v>
                </c:pt>
                <c:pt idx="60">
                  <c:v>2658.05</c:v>
                </c:pt>
                <c:pt idx="61">
                  <c:v>2607.85</c:v>
                </c:pt>
                <c:pt idx="62">
                  <c:v>2607.85</c:v>
                </c:pt>
                <c:pt idx="63">
                  <c:v>2632.95</c:v>
                </c:pt>
                <c:pt idx="64">
                  <c:v>2683.15</c:v>
                </c:pt>
                <c:pt idx="65">
                  <c:v>2645.5</c:v>
                </c:pt>
                <c:pt idx="66">
                  <c:v>2607.85</c:v>
                </c:pt>
                <c:pt idx="67">
                  <c:v>2607.85</c:v>
                </c:pt>
                <c:pt idx="68">
                  <c:v>2632.95</c:v>
                </c:pt>
                <c:pt idx="69">
                  <c:v>2645.5</c:v>
                </c:pt>
                <c:pt idx="70">
                  <c:v>2595.3000000000002</c:v>
                </c:pt>
                <c:pt idx="71">
                  <c:v>2557.65</c:v>
                </c:pt>
                <c:pt idx="72">
                  <c:v>2532.5500000000002</c:v>
                </c:pt>
                <c:pt idx="73">
                  <c:v>2482.35</c:v>
                </c:pt>
                <c:pt idx="74">
                  <c:v>2507.4499999999998</c:v>
                </c:pt>
                <c:pt idx="75">
                  <c:v>2520</c:v>
                </c:pt>
                <c:pt idx="76">
                  <c:v>2507.4499999999998</c:v>
                </c:pt>
                <c:pt idx="77">
                  <c:v>2532.5500000000002</c:v>
                </c:pt>
                <c:pt idx="78">
                  <c:v>2507.4499999999998</c:v>
                </c:pt>
                <c:pt idx="79">
                  <c:v>2545.1</c:v>
                </c:pt>
                <c:pt idx="80">
                  <c:v>2532.5500000000002</c:v>
                </c:pt>
                <c:pt idx="81">
                  <c:v>2582.75</c:v>
                </c:pt>
                <c:pt idx="82">
                  <c:v>2545.1</c:v>
                </c:pt>
                <c:pt idx="83">
                  <c:v>2582.75</c:v>
                </c:pt>
                <c:pt idx="84">
                  <c:v>2620.4</c:v>
                </c:pt>
                <c:pt idx="85">
                  <c:v>2595.3000000000002</c:v>
                </c:pt>
                <c:pt idx="86">
                  <c:v>2545.1</c:v>
                </c:pt>
                <c:pt idx="87">
                  <c:v>2520</c:v>
                </c:pt>
                <c:pt idx="88">
                  <c:v>2482.35</c:v>
                </c:pt>
                <c:pt idx="89">
                  <c:v>2444.6999999999998</c:v>
                </c:pt>
                <c:pt idx="90">
                  <c:v>2432.15</c:v>
                </c:pt>
                <c:pt idx="91">
                  <c:v>2407.0500000000002</c:v>
                </c:pt>
                <c:pt idx="92">
                  <c:v>2419.6</c:v>
                </c:pt>
                <c:pt idx="93">
                  <c:v>2432.15</c:v>
                </c:pt>
                <c:pt idx="94">
                  <c:v>2381.9499999999998</c:v>
                </c:pt>
                <c:pt idx="95">
                  <c:v>2369.4</c:v>
                </c:pt>
                <c:pt idx="96">
                  <c:v>2381.9499999999998</c:v>
                </c:pt>
                <c:pt idx="97">
                  <c:v>2419.6</c:v>
                </c:pt>
                <c:pt idx="98">
                  <c:v>2369.4</c:v>
                </c:pt>
                <c:pt idx="99">
                  <c:v>2407.0500000000002</c:v>
                </c:pt>
                <c:pt idx="100">
                  <c:v>2419.6</c:v>
                </c:pt>
                <c:pt idx="101">
                  <c:v>2444.6999999999998</c:v>
                </c:pt>
                <c:pt idx="102">
                  <c:v>2432.15</c:v>
                </c:pt>
                <c:pt idx="103">
                  <c:v>2381.9499999999998</c:v>
                </c:pt>
                <c:pt idx="104">
                  <c:v>2407.0500000000002</c:v>
                </c:pt>
                <c:pt idx="105">
                  <c:v>2444.6999999999998</c:v>
                </c:pt>
                <c:pt idx="106">
                  <c:v>2469.8000000000002</c:v>
                </c:pt>
                <c:pt idx="107">
                  <c:v>2469.8000000000002</c:v>
                </c:pt>
                <c:pt idx="108">
                  <c:v>2482.35</c:v>
                </c:pt>
                <c:pt idx="109">
                  <c:v>2520</c:v>
                </c:pt>
                <c:pt idx="110">
                  <c:v>2570.1999999999998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A9-4808-869B-55E18F2288CF}"/>
            </c:ext>
          </c:extLst>
        </c:ser>
        <c:ser>
          <c:idx val="1"/>
          <c:order val="1"/>
          <c:tx>
            <c:strRef>
              <c:f>'LR_Add-ins2'!$I$24</c:f>
              <c:strCache>
                <c:ptCount val="1"/>
                <c:pt idx="0">
                  <c:v>Demand of Weekend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700153105861768"/>
                  <c:y val="-2.637758821813939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'LR_Add-ins2'!$G$25:$G$135</c:f>
              <c:numCache>
                <c:formatCode>_(* #,##0.00_);_(* \(#,##0.00\);_(* "-"??_);_(@_)</c:formatCode>
                <c:ptCount val="111"/>
                <c:pt idx="0">
                  <c:v>35</c:v>
                </c:pt>
                <c:pt idx="1">
                  <c:v>34</c:v>
                </c:pt>
                <c:pt idx="2">
                  <c:v>33.5</c:v>
                </c:pt>
                <c:pt idx="3">
                  <c:v>32.5</c:v>
                </c:pt>
                <c:pt idx="4">
                  <c:v>33.5</c:v>
                </c:pt>
                <c:pt idx="5">
                  <c:v>34.5</c:v>
                </c:pt>
                <c:pt idx="6">
                  <c:v>35</c:v>
                </c:pt>
                <c:pt idx="7">
                  <c:v>35.5</c:v>
                </c:pt>
                <c:pt idx="8">
                  <c:v>35.75</c:v>
                </c:pt>
                <c:pt idx="9">
                  <c:v>35.5</c:v>
                </c:pt>
                <c:pt idx="10">
                  <c:v>34.75</c:v>
                </c:pt>
                <c:pt idx="11">
                  <c:v>35.75</c:v>
                </c:pt>
                <c:pt idx="12">
                  <c:v>35.75</c:v>
                </c:pt>
                <c:pt idx="13">
                  <c:v>35.25</c:v>
                </c:pt>
                <c:pt idx="14">
                  <c:v>34.25</c:v>
                </c:pt>
                <c:pt idx="15">
                  <c:v>34.75</c:v>
                </c:pt>
                <c:pt idx="16">
                  <c:v>35.5</c:v>
                </c:pt>
                <c:pt idx="17">
                  <c:v>35</c:v>
                </c:pt>
                <c:pt idx="18">
                  <c:v>36</c:v>
                </c:pt>
                <c:pt idx="19">
                  <c:v>36.5</c:v>
                </c:pt>
                <c:pt idx="20">
                  <c:v>35.75</c:v>
                </c:pt>
                <c:pt idx="21">
                  <c:v>35.5</c:v>
                </c:pt>
                <c:pt idx="22">
                  <c:v>35</c:v>
                </c:pt>
                <c:pt idx="23">
                  <c:v>35</c:v>
                </c:pt>
                <c:pt idx="24">
                  <c:v>35.25</c:v>
                </c:pt>
                <c:pt idx="25">
                  <c:v>35</c:v>
                </c:pt>
                <c:pt idx="26">
                  <c:v>35.25</c:v>
                </c:pt>
                <c:pt idx="27">
                  <c:v>35.5</c:v>
                </c:pt>
                <c:pt idx="28">
                  <c:v>36.25</c:v>
                </c:pt>
                <c:pt idx="29">
                  <c:v>35.75</c:v>
                </c:pt>
                <c:pt idx="30">
                  <c:v>35</c:v>
                </c:pt>
                <c:pt idx="31">
                  <c:v>35</c:v>
                </c:pt>
                <c:pt idx="32">
                  <c:v>35.5</c:v>
                </c:pt>
                <c:pt idx="33">
                  <c:v>36.5</c:v>
                </c:pt>
                <c:pt idx="34">
                  <c:v>36.25</c:v>
                </c:pt>
                <c:pt idx="35">
                  <c:v>37.25</c:v>
                </c:pt>
                <c:pt idx="36">
                  <c:v>37.25</c:v>
                </c:pt>
                <c:pt idx="37">
                  <c:v>36.75</c:v>
                </c:pt>
                <c:pt idx="38">
                  <c:v>37.25</c:v>
                </c:pt>
                <c:pt idx="39">
                  <c:v>36.75</c:v>
                </c:pt>
                <c:pt idx="40">
                  <c:v>37.5</c:v>
                </c:pt>
                <c:pt idx="41">
                  <c:v>36.5</c:v>
                </c:pt>
                <c:pt idx="42">
                  <c:v>37.25</c:v>
                </c:pt>
                <c:pt idx="43">
                  <c:v>38.25</c:v>
                </c:pt>
                <c:pt idx="44">
                  <c:v>37.5</c:v>
                </c:pt>
                <c:pt idx="45">
                  <c:v>38</c:v>
                </c:pt>
                <c:pt idx="46">
                  <c:v>38.25</c:v>
                </c:pt>
                <c:pt idx="47">
                  <c:v>37.25</c:v>
                </c:pt>
                <c:pt idx="48">
                  <c:v>38.25</c:v>
                </c:pt>
                <c:pt idx="49">
                  <c:v>37.5</c:v>
                </c:pt>
                <c:pt idx="50">
                  <c:v>37.25</c:v>
                </c:pt>
                <c:pt idx="51">
                  <c:v>36.75</c:v>
                </c:pt>
                <c:pt idx="52">
                  <c:v>35.75</c:v>
                </c:pt>
                <c:pt idx="53">
                  <c:v>35.5</c:v>
                </c:pt>
                <c:pt idx="54">
                  <c:v>35.75</c:v>
                </c:pt>
                <c:pt idx="55">
                  <c:v>35.75</c:v>
                </c:pt>
                <c:pt idx="56">
                  <c:v>36.75</c:v>
                </c:pt>
                <c:pt idx="57">
                  <c:v>36.75</c:v>
                </c:pt>
                <c:pt idx="58">
                  <c:v>37.25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38.5</c:v>
                </c:pt>
                <c:pt idx="64">
                  <c:v>37.5</c:v>
                </c:pt>
                <c:pt idx="65">
                  <c:v>38.25</c:v>
                </c:pt>
                <c:pt idx="66">
                  <c:v>39</c:v>
                </c:pt>
                <c:pt idx="67">
                  <c:v>39</c:v>
                </c:pt>
                <c:pt idx="68">
                  <c:v>38.5</c:v>
                </c:pt>
                <c:pt idx="69">
                  <c:v>38.25</c:v>
                </c:pt>
                <c:pt idx="70">
                  <c:v>39.25</c:v>
                </c:pt>
                <c:pt idx="71">
                  <c:v>40</c:v>
                </c:pt>
                <c:pt idx="72">
                  <c:v>40.5</c:v>
                </c:pt>
                <c:pt idx="73">
                  <c:v>41.5</c:v>
                </c:pt>
                <c:pt idx="74">
                  <c:v>41</c:v>
                </c:pt>
                <c:pt idx="75">
                  <c:v>40.75</c:v>
                </c:pt>
                <c:pt idx="76">
                  <c:v>41</c:v>
                </c:pt>
                <c:pt idx="77">
                  <c:v>40.5</c:v>
                </c:pt>
                <c:pt idx="78">
                  <c:v>41</c:v>
                </c:pt>
                <c:pt idx="79">
                  <c:v>40.25</c:v>
                </c:pt>
                <c:pt idx="80">
                  <c:v>40.5</c:v>
                </c:pt>
                <c:pt idx="81">
                  <c:v>39.5</c:v>
                </c:pt>
                <c:pt idx="82">
                  <c:v>40.25</c:v>
                </c:pt>
                <c:pt idx="83">
                  <c:v>39.5</c:v>
                </c:pt>
                <c:pt idx="84">
                  <c:v>38.75</c:v>
                </c:pt>
                <c:pt idx="85">
                  <c:v>39.25</c:v>
                </c:pt>
                <c:pt idx="86">
                  <c:v>40.25</c:v>
                </c:pt>
                <c:pt idx="87">
                  <c:v>40.75</c:v>
                </c:pt>
                <c:pt idx="88">
                  <c:v>41.5</c:v>
                </c:pt>
                <c:pt idx="89">
                  <c:v>42.25</c:v>
                </c:pt>
                <c:pt idx="90">
                  <c:v>42.5</c:v>
                </c:pt>
                <c:pt idx="91">
                  <c:v>43</c:v>
                </c:pt>
                <c:pt idx="92">
                  <c:v>42.75</c:v>
                </c:pt>
                <c:pt idx="93">
                  <c:v>42.5</c:v>
                </c:pt>
                <c:pt idx="94">
                  <c:v>43.5</c:v>
                </c:pt>
                <c:pt idx="95">
                  <c:v>43.75</c:v>
                </c:pt>
                <c:pt idx="96">
                  <c:v>43.5</c:v>
                </c:pt>
                <c:pt idx="97">
                  <c:v>42.75</c:v>
                </c:pt>
                <c:pt idx="98">
                  <c:v>43.75</c:v>
                </c:pt>
                <c:pt idx="99">
                  <c:v>43</c:v>
                </c:pt>
                <c:pt idx="100">
                  <c:v>42.75</c:v>
                </c:pt>
                <c:pt idx="101">
                  <c:v>42.25</c:v>
                </c:pt>
                <c:pt idx="102">
                  <c:v>42.5</c:v>
                </c:pt>
                <c:pt idx="103">
                  <c:v>43.5</c:v>
                </c:pt>
                <c:pt idx="104">
                  <c:v>43</c:v>
                </c:pt>
                <c:pt idx="105">
                  <c:v>42.25</c:v>
                </c:pt>
                <c:pt idx="106">
                  <c:v>41.75</c:v>
                </c:pt>
                <c:pt idx="107">
                  <c:v>41.75</c:v>
                </c:pt>
                <c:pt idx="108">
                  <c:v>41.5</c:v>
                </c:pt>
                <c:pt idx="109">
                  <c:v>40.75</c:v>
                </c:pt>
                <c:pt idx="110">
                  <c:v>39.75</c:v>
                </c:pt>
              </c:numCache>
            </c:numRef>
          </c:xVal>
          <c:yVal>
            <c:numRef>
              <c:f>'LR_Add-ins2'!$I$25:$I$135</c:f>
              <c:numCache>
                <c:formatCode>_-* #,##0.00_-;\-* #,##0.00_-;_-* "-"??_-;_-@_-</c:formatCode>
                <c:ptCount val="111"/>
                <c:pt idx="0">
                  <c:v>2222.94</c:v>
                </c:pt>
                <c:pt idx="1">
                  <c:v>2273.14</c:v>
                </c:pt>
                <c:pt idx="2">
                  <c:v>2298.2399999999998</c:v>
                </c:pt>
                <c:pt idx="3">
                  <c:v>2348.44</c:v>
                </c:pt>
                <c:pt idx="4">
                  <c:v>2298.2399999999998</c:v>
                </c:pt>
                <c:pt idx="5">
                  <c:v>2248.04</c:v>
                </c:pt>
                <c:pt idx="6">
                  <c:v>2222.94</c:v>
                </c:pt>
                <c:pt idx="7">
                  <c:v>2197.84</c:v>
                </c:pt>
                <c:pt idx="8">
                  <c:v>2185.29</c:v>
                </c:pt>
                <c:pt idx="9">
                  <c:v>2197.84</c:v>
                </c:pt>
                <c:pt idx="10">
                  <c:v>2235.4899999999998</c:v>
                </c:pt>
                <c:pt idx="11">
                  <c:v>2185.29</c:v>
                </c:pt>
                <c:pt idx="12">
                  <c:v>2185.29</c:v>
                </c:pt>
                <c:pt idx="13">
                  <c:v>2210.39</c:v>
                </c:pt>
                <c:pt idx="14">
                  <c:v>2260.59</c:v>
                </c:pt>
                <c:pt idx="15">
                  <c:v>2235.4899999999998</c:v>
                </c:pt>
                <c:pt idx="16">
                  <c:v>2197.84</c:v>
                </c:pt>
                <c:pt idx="17">
                  <c:v>2222.94</c:v>
                </c:pt>
                <c:pt idx="18">
                  <c:v>2172.7399999999998</c:v>
                </c:pt>
                <c:pt idx="19">
                  <c:v>2147.64</c:v>
                </c:pt>
                <c:pt idx="20">
                  <c:v>2185.29</c:v>
                </c:pt>
                <c:pt idx="21">
                  <c:v>2197.84</c:v>
                </c:pt>
                <c:pt idx="22">
                  <c:v>2222.94</c:v>
                </c:pt>
                <c:pt idx="23">
                  <c:v>2222.94</c:v>
                </c:pt>
                <c:pt idx="24">
                  <c:v>2210.39</c:v>
                </c:pt>
                <c:pt idx="25">
                  <c:v>2222.94</c:v>
                </c:pt>
                <c:pt idx="26">
                  <c:v>2210.39</c:v>
                </c:pt>
                <c:pt idx="27">
                  <c:v>2197.84</c:v>
                </c:pt>
                <c:pt idx="28">
                  <c:v>2160.19</c:v>
                </c:pt>
                <c:pt idx="29">
                  <c:v>2185.29</c:v>
                </c:pt>
                <c:pt idx="30">
                  <c:v>2222.94</c:v>
                </c:pt>
                <c:pt idx="31">
                  <c:v>2222.94</c:v>
                </c:pt>
                <c:pt idx="32">
                  <c:v>2197.84</c:v>
                </c:pt>
                <c:pt idx="33">
                  <c:v>2147.64</c:v>
                </c:pt>
                <c:pt idx="34">
                  <c:v>2160.19</c:v>
                </c:pt>
                <c:pt idx="35">
                  <c:v>2109.9899999999998</c:v>
                </c:pt>
                <c:pt idx="36">
                  <c:v>2109.9899999999998</c:v>
                </c:pt>
                <c:pt idx="37">
                  <c:v>2135.09</c:v>
                </c:pt>
                <c:pt idx="38">
                  <c:v>2109.9899999999998</c:v>
                </c:pt>
                <c:pt idx="39">
                  <c:v>2135.09</c:v>
                </c:pt>
                <c:pt idx="40">
                  <c:v>2097.44</c:v>
                </c:pt>
                <c:pt idx="41">
                  <c:v>2147.64</c:v>
                </c:pt>
                <c:pt idx="42">
                  <c:v>2109.9899999999998</c:v>
                </c:pt>
                <c:pt idx="43">
                  <c:v>2059.79</c:v>
                </c:pt>
                <c:pt idx="44">
                  <c:v>2097.44</c:v>
                </c:pt>
                <c:pt idx="45">
                  <c:v>2072.34</c:v>
                </c:pt>
                <c:pt idx="46">
                  <c:v>2059.79</c:v>
                </c:pt>
                <c:pt idx="47">
                  <c:v>2109.9899999999998</c:v>
                </c:pt>
                <c:pt idx="48">
                  <c:v>2059.79</c:v>
                </c:pt>
                <c:pt idx="49">
                  <c:v>2097.44</c:v>
                </c:pt>
                <c:pt idx="50">
                  <c:v>2109.9899999999998</c:v>
                </c:pt>
                <c:pt idx="51">
                  <c:v>2135.09</c:v>
                </c:pt>
                <c:pt idx="52">
                  <c:v>2185.29</c:v>
                </c:pt>
                <c:pt idx="53">
                  <c:v>2197.84</c:v>
                </c:pt>
                <c:pt idx="54">
                  <c:v>2185.29</c:v>
                </c:pt>
                <c:pt idx="55">
                  <c:v>2185.29</c:v>
                </c:pt>
                <c:pt idx="56">
                  <c:v>2135.09</c:v>
                </c:pt>
                <c:pt idx="57">
                  <c:v>2135.09</c:v>
                </c:pt>
                <c:pt idx="58">
                  <c:v>2109.9899999999998</c:v>
                </c:pt>
                <c:pt idx="59">
                  <c:v>2072.34</c:v>
                </c:pt>
                <c:pt idx="60">
                  <c:v>2072.34</c:v>
                </c:pt>
                <c:pt idx="61">
                  <c:v>2022.1399999999999</c:v>
                </c:pt>
                <c:pt idx="62">
                  <c:v>2022.1399999999999</c:v>
                </c:pt>
                <c:pt idx="63">
                  <c:v>2047.24</c:v>
                </c:pt>
                <c:pt idx="64">
                  <c:v>2097.44</c:v>
                </c:pt>
                <c:pt idx="65">
                  <c:v>2059.79</c:v>
                </c:pt>
                <c:pt idx="66">
                  <c:v>2022.1399999999999</c:v>
                </c:pt>
                <c:pt idx="67">
                  <c:v>2022.1399999999999</c:v>
                </c:pt>
                <c:pt idx="68">
                  <c:v>2047.24</c:v>
                </c:pt>
                <c:pt idx="69">
                  <c:v>2059.79</c:v>
                </c:pt>
                <c:pt idx="70">
                  <c:v>2009.59</c:v>
                </c:pt>
                <c:pt idx="71">
                  <c:v>1971.94</c:v>
                </c:pt>
                <c:pt idx="72">
                  <c:v>1946.84</c:v>
                </c:pt>
                <c:pt idx="73">
                  <c:v>1896.6399999999999</c:v>
                </c:pt>
                <c:pt idx="74">
                  <c:v>1921.7399999999998</c:v>
                </c:pt>
                <c:pt idx="75">
                  <c:v>1934.29</c:v>
                </c:pt>
                <c:pt idx="76">
                  <c:v>1921.7399999999998</c:v>
                </c:pt>
                <c:pt idx="77">
                  <c:v>1946.84</c:v>
                </c:pt>
                <c:pt idx="78">
                  <c:v>1921.7399999999998</c:v>
                </c:pt>
                <c:pt idx="79">
                  <c:v>1959.3899999999999</c:v>
                </c:pt>
                <c:pt idx="80">
                  <c:v>1946.84</c:v>
                </c:pt>
                <c:pt idx="81">
                  <c:v>1997.04</c:v>
                </c:pt>
                <c:pt idx="82">
                  <c:v>1959.3899999999999</c:v>
                </c:pt>
                <c:pt idx="83">
                  <c:v>1997.04</c:v>
                </c:pt>
                <c:pt idx="84">
                  <c:v>2034.69</c:v>
                </c:pt>
                <c:pt idx="85">
                  <c:v>2009.59</c:v>
                </c:pt>
                <c:pt idx="86">
                  <c:v>1959.3899999999999</c:v>
                </c:pt>
                <c:pt idx="87">
                  <c:v>1934.29</c:v>
                </c:pt>
                <c:pt idx="88">
                  <c:v>1896.6399999999999</c:v>
                </c:pt>
                <c:pt idx="89">
                  <c:v>1858.9899999999998</c:v>
                </c:pt>
                <c:pt idx="90">
                  <c:v>1846.44</c:v>
                </c:pt>
                <c:pt idx="91">
                  <c:v>1821.3400000000001</c:v>
                </c:pt>
                <c:pt idx="92">
                  <c:v>1833.8899999999999</c:v>
                </c:pt>
                <c:pt idx="93">
                  <c:v>1846.44</c:v>
                </c:pt>
                <c:pt idx="94">
                  <c:v>1796.2399999999998</c:v>
                </c:pt>
                <c:pt idx="95">
                  <c:v>1783.69</c:v>
                </c:pt>
                <c:pt idx="96">
                  <c:v>1796.2399999999998</c:v>
                </c:pt>
                <c:pt idx="97">
                  <c:v>1833.8899999999999</c:v>
                </c:pt>
                <c:pt idx="98">
                  <c:v>1783.69</c:v>
                </c:pt>
                <c:pt idx="99">
                  <c:v>1821.3400000000001</c:v>
                </c:pt>
                <c:pt idx="100">
                  <c:v>1833.8899999999999</c:v>
                </c:pt>
                <c:pt idx="101">
                  <c:v>1858.9899999999998</c:v>
                </c:pt>
                <c:pt idx="102">
                  <c:v>1846.44</c:v>
                </c:pt>
                <c:pt idx="103">
                  <c:v>1796.2399999999998</c:v>
                </c:pt>
                <c:pt idx="104">
                  <c:v>1821.3400000000001</c:v>
                </c:pt>
                <c:pt idx="105">
                  <c:v>1858.9899999999998</c:v>
                </c:pt>
                <c:pt idx="106">
                  <c:v>1884.0900000000001</c:v>
                </c:pt>
                <c:pt idx="107">
                  <c:v>1884.0900000000001</c:v>
                </c:pt>
                <c:pt idx="108">
                  <c:v>1896.6399999999999</c:v>
                </c:pt>
                <c:pt idx="109">
                  <c:v>1934.29</c:v>
                </c:pt>
                <c:pt idx="110">
                  <c:v>1984.49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A9-4808-869B-55E18F228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76479"/>
        <c:axId val="1269867839"/>
      </c:scatterChart>
      <c:valAx>
        <c:axId val="1269876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67839"/>
        <c:crosses val="autoZero"/>
        <c:crossBetween val="midCat"/>
      </c:valAx>
      <c:valAx>
        <c:axId val="12698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.00_-;\-* #,##0.0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764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 sz="1800" b="0" i="0" baseline="0">
                <a:effectLst/>
              </a:rPr>
              <a:t>ยอดขายสินค้า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Y21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'LR_Forecast ETS'!$A$5:$A$16</c:f>
              <c:numCache>
                <c:formatCode>mmm\-yy</c:formatCode>
                <c:ptCount val="12"/>
                <c:pt idx="0">
                  <c:v>44197</c:v>
                </c:pt>
                <c:pt idx="1">
                  <c:v>44228</c:v>
                </c:pt>
                <c:pt idx="2">
                  <c:v>44256</c:v>
                </c:pt>
                <c:pt idx="3">
                  <c:v>44287</c:v>
                </c:pt>
                <c:pt idx="4">
                  <c:v>44317</c:v>
                </c:pt>
                <c:pt idx="5">
                  <c:v>44348</c:v>
                </c:pt>
                <c:pt idx="6">
                  <c:v>44378</c:v>
                </c:pt>
                <c:pt idx="7">
                  <c:v>44409</c:v>
                </c:pt>
                <c:pt idx="8">
                  <c:v>44440</c:v>
                </c:pt>
                <c:pt idx="9">
                  <c:v>44470</c:v>
                </c:pt>
                <c:pt idx="10">
                  <c:v>44501</c:v>
                </c:pt>
                <c:pt idx="11">
                  <c:v>44531</c:v>
                </c:pt>
              </c:numCache>
            </c:numRef>
          </c:xVal>
          <c:yVal>
            <c:numRef>
              <c:f>'LR_Forecast ETS'!$C$5:$C$16</c:f>
              <c:numCache>
                <c:formatCode>_(* #,##0.00_);_(* \(#,##0.00\);_(* "-"??_);_(@_)</c:formatCode>
                <c:ptCount val="12"/>
                <c:pt idx="0">
                  <c:v>3110.3788536403831</c:v>
                </c:pt>
                <c:pt idx="1">
                  <c:v>3196.7782219489995</c:v>
                </c:pt>
                <c:pt idx="2">
                  <c:v>2899.6507620954199</c:v>
                </c:pt>
                <c:pt idx="3">
                  <c:v>3094.310208457036</c:v>
                </c:pt>
                <c:pt idx="4">
                  <c:v>2931.4775027589635</c:v>
                </c:pt>
                <c:pt idx="5">
                  <c:v>3016.3501591359313</c:v>
                </c:pt>
                <c:pt idx="6">
                  <c:v>3038.3169325533122</c:v>
                </c:pt>
                <c:pt idx="7">
                  <c:v>3044.4829895746311</c:v>
                </c:pt>
                <c:pt idx="8">
                  <c:v>3441.9424510773456</c:v>
                </c:pt>
                <c:pt idx="9">
                  <c:v>3525.0339304707713</c:v>
                </c:pt>
                <c:pt idx="10">
                  <c:v>3108.3521602549827</c:v>
                </c:pt>
                <c:pt idx="11">
                  <c:v>3545.592524277507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E0-402D-8B5B-1F8606C3FF65}"/>
            </c:ext>
          </c:extLst>
        </c:ser>
        <c:ser>
          <c:idx val="1"/>
          <c:order val="1"/>
          <c:tx>
            <c:v>Y22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'LR_Forecast ETS'!$A$17:$A$28</c:f>
              <c:numCache>
                <c:formatCode>mmm\-yy</c:formatCode>
                <c:ptCount val="12"/>
                <c:pt idx="0">
                  <c:v>44562</c:v>
                </c:pt>
                <c:pt idx="1">
                  <c:v>44593</c:v>
                </c:pt>
                <c:pt idx="2">
                  <c:v>44621</c:v>
                </c:pt>
                <c:pt idx="3">
                  <c:v>44652</c:v>
                </c:pt>
                <c:pt idx="4">
                  <c:v>44682</c:v>
                </c:pt>
                <c:pt idx="5">
                  <c:v>44713</c:v>
                </c:pt>
                <c:pt idx="6">
                  <c:v>44743</c:v>
                </c:pt>
                <c:pt idx="7">
                  <c:v>44774</c:v>
                </c:pt>
                <c:pt idx="8">
                  <c:v>44805</c:v>
                </c:pt>
                <c:pt idx="9">
                  <c:v>44835</c:v>
                </c:pt>
                <c:pt idx="10">
                  <c:v>44866</c:v>
                </c:pt>
                <c:pt idx="11">
                  <c:v>44896</c:v>
                </c:pt>
              </c:numCache>
            </c:numRef>
          </c:xVal>
          <c:yVal>
            <c:numRef>
              <c:f>'LR_Forecast ETS'!$C$17:$C$28</c:f>
              <c:numCache>
                <c:formatCode>General</c:formatCode>
                <c:ptCount val="12"/>
                <c:pt idx="0">
                  <c:v>3336.6612940197924</c:v>
                </c:pt>
                <c:pt idx="1">
                  <c:v>3405.6543207607619</c:v>
                </c:pt>
                <c:pt idx="2">
                  <c:v>3091.1205193395353</c:v>
                </c:pt>
                <c:pt idx="3">
                  <c:v>3268.3736241335046</c:v>
                </c:pt>
                <c:pt idx="4">
                  <c:v>3088.1345768677852</c:v>
                </c:pt>
                <c:pt idx="5">
                  <c:v>3155.6008916771061</c:v>
                </c:pt>
                <c:pt idx="6">
                  <c:v>3160.1613235268401</c:v>
                </c:pt>
                <c:pt idx="7">
                  <c:v>3148.9210389805121</c:v>
                </c:pt>
                <c:pt idx="8">
                  <c:v>3528.9741589155801</c:v>
                </c:pt>
                <c:pt idx="9">
                  <c:v>3594.659296741359</c:v>
                </c:pt>
                <c:pt idx="10">
                  <c:v>3160.5711849579234</c:v>
                </c:pt>
                <c:pt idx="11">
                  <c:v>3580.4052074128008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0E0-402D-8B5B-1F8606C3FF65}"/>
            </c:ext>
          </c:extLst>
        </c:ser>
        <c:ser>
          <c:idx val="2"/>
          <c:order val="2"/>
          <c:tx>
            <c:v>Y23</c:v>
          </c:tx>
          <c:spPr>
            <a:ln w="2540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'LR_Forecast ETS'!$A$29:$A$31</c:f>
              <c:numCache>
                <c:formatCode>mmm\-yy</c:formatCode>
                <c:ptCount val="3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</c:numCache>
            </c:numRef>
          </c:xVal>
          <c:yVal>
            <c:numRef>
              <c:f>'LR_Forecast ETS'!$C$29:$C$31</c:f>
              <c:numCache>
                <c:formatCode>General</c:formatCode>
                <c:ptCount val="3"/>
                <c:pt idx="0">
                  <c:v>3527.3062940197924</c:v>
                </c:pt>
                <c:pt idx="1">
                  <c:v>3610.9643207607619</c:v>
                </c:pt>
                <c:pt idx="2">
                  <c:v>3311.0955193395353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0E0-402D-8B5B-1F8606C3F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47552"/>
        <c:axId val="1206740768"/>
      </c:scatterChart>
      <c:valAx>
        <c:axId val="1217147552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06740768"/>
        <c:crosses val="autoZero"/>
        <c:crossBetween val="midCat"/>
      </c:valAx>
      <c:valAx>
        <c:axId val="1206740768"/>
        <c:scaling>
          <c:orientation val="minMax"/>
          <c:min val="25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1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Forecast_Linear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'LR_Forecast ETS'!$C$4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dispRSqr val="0"/>
            <c:dispEq val="0"/>
          </c:trendline>
          <c:xVal>
            <c:numRef>
              <c:f>'LR_Forecast ETS'!$B$5:$B$31</c:f>
              <c:numCache>
                <c:formatCode>_(* #,##0_);_(* \(#,##0\);_(* "-"??_);_(@_)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'LR_Forecast ETS'!$C$5:$C$31</c:f>
              <c:numCache>
                <c:formatCode>_(* #,##0.00_);_(* \(#,##0.00\);_(* "-"??_);_(@_)</c:formatCode>
                <c:ptCount val="27"/>
                <c:pt idx="0">
                  <c:v>3110.3788536403831</c:v>
                </c:pt>
                <c:pt idx="1">
                  <c:v>3196.7782219489995</c:v>
                </c:pt>
                <c:pt idx="2">
                  <c:v>2899.6507620954199</c:v>
                </c:pt>
                <c:pt idx="3">
                  <c:v>3094.310208457036</c:v>
                </c:pt>
                <c:pt idx="4">
                  <c:v>2931.4775027589635</c:v>
                </c:pt>
                <c:pt idx="5">
                  <c:v>3016.3501591359313</c:v>
                </c:pt>
                <c:pt idx="6">
                  <c:v>3038.3169325533122</c:v>
                </c:pt>
                <c:pt idx="7">
                  <c:v>3044.4829895746311</c:v>
                </c:pt>
                <c:pt idx="8">
                  <c:v>3441.9424510773456</c:v>
                </c:pt>
                <c:pt idx="9">
                  <c:v>3525.0339304707713</c:v>
                </c:pt>
                <c:pt idx="10">
                  <c:v>3108.3521602549827</c:v>
                </c:pt>
                <c:pt idx="11">
                  <c:v>3545.592524277507</c:v>
                </c:pt>
                <c:pt idx="12" formatCode="General">
                  <c:v>3336.6612940197924</c:v>
                </c:pt>
                <c:pt idx="13" formatCode="General">
                  <c:v>3405.6543207607619</c:v>
                </c:pt>
                <c:pt idx="14" formatCode="General">
                  <c:v>3091.1205193395353</c:v>
                </c:pt>
                <c:pt idx="15" formatCode="General">
                  <c:v>3268.3736241335046</c:v>
                </c:pt>
                <c:pt idx="16" formatCode="General">
                  <c:v>3088.1345768677852</c:v>
                </c:pt>
                <c:pt idx="17" formatCode="General">
                  <c:v>3155.6008916771061</c:v>
                </c:pt>
                <c:pt idx="18" formatCode="General">
                  <c:v>3160.1613235268401</c:v>
                </c:pt>
                <c:pt idx="19" formatCode="General">
                  <c:v>3148.9210389805121</c:v>
                </c:pt>
                <c:pt idx="20" formatCode="General">
                  <c:v>3528.9741589155801</c:v>
                </c:pt>
                <c:pt idx="21" formatCode="General">
                  <c:v>3594.659296741359</c:v>
                </c:pt>
                <c:pt idx="22" formatCode="General">
                  <c:v>3160.5711849579234</c:v>
                </c:pt>
                <c:pt idx="23" formatCode="General">
                  <c:v>3580.4052074128008</c:v>
                </c:pt>
                <c:pt idx="24" formatCode="General">
                  <c:v>3527.3062940197924</c:v>
                </c:pt>
                <c:pt idx="25" formatCode="General">
                  <c:v>3610.9643207607619</c:v>
                </c:pt>
                <c:pt idx="26" formatCode="General">
                  <c:v>3311.0955193395353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74-41B0-8475-DCD72F745A52}"/>
            </c:ext>
          </c:extLst>
        </c:ser>
        <c:ser>
          <c:idx val="1"/>
          <c:order val="1"/>
          <c:tx>
            <c:strRef>
              <c:f>'LR_Forecast ETS'!$D$4</c:f>
              <c:strCache>
                <c:ptCount val="1"/>
                <c:pt idx="0">
                  <c:v>Forecast_Linear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'LR_Forecast ETS'!$B$32:$B$37</c:f>
              <c:numCache>
                <c:formatCode>_(* #,##0_);_(* \(#,##0\);_(* "-"??_);_(@_)</c:formatCode>
                <c:ptCount val="6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</c:numCache>
            </c:numRef>
          </c:xVal>
          <c:yVal>
            <c:numRef>
              <c:f>'LR_Forecast ETS'!$D$32:$D$37</c:f>
              <c:numCache>
                <c:formatCode>_(* #,##0.00_);_(* \(#,##0.00\);_(* "-"??_);_(@_)</c:formatCode>
                <c:ptCount val="6"/>
                <c:pt idx="0">
                  <c:v>3481.5312636250633</c:v>
                </c:pt>
                <c:pt idx="1">
                  <c:v>3497.6161150805601</c:v>
                </c:pt>
                <c:pt idx="2">
                  <c:v>3513.7009665360574</c:v>
                </c:pt>
                <c:pt idx="3">
                  <c:v>3529.7858179915543</c:v>
                </c:pt>
                <c:pt idx="4">
                  <c:v>3545.8706694470511</c:v>
                </c:pt>
                <c:pt idx="5">
                  <c:v>3561.9555209025484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74-41B0-8475-DCD72F745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47552"/>
        <c:axId val="1206740768"/>
      </c:scatterChart>
      <c:valAx>
        <c:axId val="121714755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06740768"/>
        <c:crosses val="autoZero"/>
        <c:crossBetween val="midCat"/>
      </c:valAx>
      <c:valAx>
        <c:axId val="1206740768"/>
        <c:scaling>
          <c:orientation val="minMax"/>
          <c:min val="25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1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Forecast_ETS (fix)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'LR_Forecast ETS'!$C$4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dispRSqr val="0"/>
            <c:dispEq val="0"/>
          </c:trendline>
          <c:xVal>
            <c:numRef>
              <c:f>'LR_Forecast ETS'!$B$5:$B$31</c:f>
              <c:numCache>
                <c:formatCode>_(* #,##0_);_(* \(#,##0\);_(* "-"??_);_(@_)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'LR_Forecast ETS'!$C$5:$C$31</c:f>
              <c:numCache>
                <c:formatCode>_(* #,##0.00_);_(* \(#,##0.00\);_(* "-"??_);_(@_)</c:formatCode>
                <c:ptCount val="27"/>
                <c:pt idx="0">
                  <c:v>3110.3788536403831</c:v>
                </c:pt>
                <c:pt idx="1">
                  <c:v>3196.7782219489995</c:v>
                </c:pt>
                <c:pt idx="2">
                  <c:v>2899.6507620954199</c:v>
                </c:pt>
                <c:pt idx="3">
                  <c:v>3094.310208457036</c:v>
                </c:pt>
                <c:pt idx="4">
                  <c:v>2931.4775027589635</c:v>
                </c:pt>
                <c:pt idx="5">
                  <c:v>3016.3501591359313</c:v>
                </c:pt>
                <c:pt idx="6">
                  <c:v>3038.3169325533122</c:v>
                </c:pt>
                <c:pt idx="7">
                  <c:v>3044.4829895746311</c:v>
                </c:pt>
                <c:pt idx="8">
                  <c:v>3441.9424510773456</c:v>
                </c:pt>
                <c:pt idx="9">
                  <c:v>3525.0339304707713</c:v>
                </c:pt>
                <c:pt idx="10">
                  <c:v>3108.3521602549827</c:v>
                </c:pt>
                <c:pt idx="11">
                  <c:v>3545.592524277507</c:v>
                </c:pt>
                <c:pt idx="12" formatCode="General">
                  <c:v>3336.6612940197924</c:v>
                </c:pt>
                <c:pt idx="13" formatCode="General">
                  <c:v>3405.6543207607619</c:v>
                </c:pt>
                <c:pt idx="14" formatCode="General">
                  <c:v>3091.1205193395353</c:v>
                </c:pt>
                <c:pt idx="15" formatCode="General">
                  <c:v>3268.3736241335046</c:v>
                </c:pt>
                <c:pt idx="16" formatCode="General">
                  <c:v>3088.1345768677852</c:v>
                </c:pt>
                <c:pt idx="17" formatCode="General">
                  <c:v>3155.6008916771061</c:v>
                </c:pt>
                <c:pt idx="18" formatCode="General">
                  <c:v>3160.1613235268401</c:v>
                </c:pt>
                <c:pt idx="19" formatCode="General">
                  <c:v>3148.9210389805121</c:v>
                </c:pt>
                <c:pt idx="20" formatCode="General">
                  <c:v>3528.9741589155801</c:v>
                </c:pt>
                <c:pt idx="21" formatCode="General">
                  <c:v>3594.659296741359</c:v>
                </c:pt>
                <c:pt idx="22" formatCode="General">
                  <c:v>3160.5711849579234</c:v>
                </c:pt>
                <c:pt idx="23" formatCode="General">
                  <c:v>3580.4052074128008</c:v>
                </c:pt>
                <c:pt idx="24" formatCode="General">
                  <c:v>3527.3062940197924</c:v>
                </c:pt>
                <c:pt idx="25" formatCode="General">
                  <c:v>3610.9643207607619</c:v>
                </c:pt>
                <c:pt idx="26" formatCode="General">
                  <c:v>3311.0955193395353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6E-4758-A862-6CD881B94595}"/>
            </c:ext>
          </c:extLst>
        </c:ser>
        <c:ser>
          <c:idx val="1"/>
          <c:order val="1"/>
          <c:tx>
            <c:strRef>
              <c:f>'LR_Forecast ETS'!$G$4</c:f>
              <c:strCache>
                <c:ptCount val="1"/>
                <c:pt idx="0">
                  <c:v>Forecast_ETS (default)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'LR_Forecast ETS'!$B$32:$B$37</c:f>
              <c:numCache>
                <c:formatCode>_(* #,##0_);_(* \(#,##0\);_(* "-"??_);_(@_)</c:formatCode>
                <c:ptCount val="6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</c:numCache>
            </c:numRef>
          </c:xVal>
          <c:yVal>
            <c:numRef>
              <c:f>'LR_Forecast ETS'!$G$32:$G$37</c:f>
              <c:numCache>
                <c:formatCode>0.00</c:formatCode>
                <c:ptCount val="6"/>
                <c:pt idx="0">
                  <c:v>3481.4977305604389</c:v>
                </c:pt>
                <c:pt idx="1">
                  <c:v>3497.0628560453665</c:v>
                </c:pt>
                <c:pt idx="2">
                  <c:v>3512.6279815302937</c:v>
                </c:pt>
                <c:pt idx="3">
                  <c:v>3528.1931070152209</c:v>
                </c:pt>
                <c:pt idx="4">
                  <c:v>3543.7582325001481</c:v>
                </c:pt>
                <c:pt idx="5">
                  <c:v>3559.3233579850757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86E-4758-A862-6CD881B94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47552"/>
        <c:axId val="1206740768"/>
      </c:scatterChart>
      <c:valAx>
        <c:axId val="121714755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06740768"/>
        <c:crosses val="autoZero"/>
        <c:crossBetween val="midCat"/>
      </c:valAx>
      <c:valAx>
        <c:axId val="1206740768"/>
        <c:scaling>
          <c:orientation val="minMax"/>
          <c:min val="25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1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Forecast_ETS (default)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'LR_Forecast ETS'!$C$4</c:f>
              <c:strCache>
                <c:ptCount val="1"/>
                <c:pt idx="0">
                  <c:v>Demand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dispRSqr val="0"/>
            <c:dispEq val="0"/>
          </c:trendline>
          <c:xVal>
            <c:numRef>
              <c:f>'LR_Forecast ETS'!$B$5:$B$31</c:f>
              <c:numCache>
                <c:formatCode>_(* #,##0_);_(* \(#,##0\);_(* "-"??_);_(@_)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'LR_Forecast ETS'!$C$5:$C$31</c:f>
              <c:numCache>
                <c:formatCode>_(* #,##0.00_);_(* \(#,##0.00\);_(* "-"??_);_(@_)</c:formatCode>
                <c:ptCount val="27"/>
                <c:pt idx="0">
                  <c:v>3110.3788536403831</c:v>
                </c:pt>
                <c:pt idx="1">
                  <c:v>3196.7782219489995</c:v>
                </c:pt>
                <c:pt idx="2">
                  <c:v>2899.6507620954199</c:v>
                </c:pt>
                <c:pt idx="3">
                  <c:v>3094.310208457036</c:v>
                </c:pt>
                <c:pt idx="4">
                  <c:v>2931.4775027589635</c:v>
                </c:pt>
                <c:pt idx="5">
                  <c:v>3016.3501591359313</c:v>
                </c:pt>
                <c:pt idx="6">
                  <c:v>3038.3169325533122</c:v>
                </c:pt>
                <c:pt idx="7">
                  <c:v>3044.4829895746311</c:v>
                </c:pt>
                <c:pt idx="8">
                  <c:v>3441.9424510773456</c:v>
                </c:pt>
                <c:pt idx="9">
                  <c:v>3525.0339304707713</c:v>
                </c:pt>
                <c:pt idx="10">
                  <c:v>3108.3521602549827</c:v>
                </c:pt>
                <c:pt idx="11">
                  <c:v>3545.592524277507</c:v>
                </c:pt>
                <c:pt idx="12" formatCode="General">
                  <c:v>3336.6612940197924</c:v>
                </c:pt>
                <c:pt idx="13" formatCode="General">
                  <c:v>3405.6543207607619</c:v>
                </c:pt>
                <c:pt idx="14" formatCode="General">
                  <c:v>3091.1205193395353</c:v>
                </c:pt>
                <c:pt idx="15" formatCode="General">
                  <c:v>3268.3736241335046</c:v>
                </c:pt>
                <c:pt idx="16" formatCode="General">
                  <c:v>3088.1345768677852</c:v>
                </c:pt>
                <c:pt idx="17" formatCode="General">
                  <c:v>3155.6008916771061</c:v>
                </c:pt>
                <c:pt idx="18" formatCode="General">
                  <c:v>3160.1613235268401</c:v>
                </c:pt>
                <c:pt idx="19" formatCode="General">
                  <c:v>3148.9210389805121</c:v>
                </c:pt>
                <c:pt idx="20" formatCode="General">
                  <c:v>3528.9741589155801</c:v>
                </c:pt>
                <c:pt idx="21" formatCode="General">
                  <c:v>3594.659296741359</c:v>
                </c:pt>
                <c:pt idx="22" formatCode="General">
                  <c:v>3160.5711849579234</c:v>
                </c:pt>
                <c:pt idx="23" formatCode="General">
                  <c:v>3580.4052074128008</c:v>
                </c:pt>
                <c:pt idx="24" formatCode="General">
                  <c:v>3527.3062940197924</c:v>
                </c:pt>
                <c:pt idx="25" formatCode="General">
                  <c:v>3610.9643207607619</c:v>
                </c:pt>
                <c:pt idx="26" formatCode="General">
                  <c:v>3311.0955193395353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6-495D-9D4F-4C16083AF91B}"/>
            </c:ext>
          </c:extLst>
        </c:ser>
        <c:ser>
          <c:idx val="1"/>
          <c:order val="1"/>
          <c:tx>
            <c:strRef>
              <c:f>'LR_Forecast ETS'!$H$4</c:f>
              <c:strCache>
                <c:ptCount val="1"/>
                <c:pt idx="0">
                  <c:v>Forecast_ETS (fix)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'LR_Forecast ETS'!$B$32:$B$37</c:f>
              <c:numCache>
                <c:formatCode>_(* #,##0_);_(* \(#,##0\);_(* "-"??_);_(@_)</c:formatCode>
                <c:ptCount val="6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31</c:v>
                </c:pt>
                <c:pt idx="4">
                  <c:v>32</c:v>
                </c:pt>
                <c:pt idx="5">
                  <c:v>33</c:v>
                </c:pt>
              </c:numCache>
            </c:numRef>
          </c:xVal>
          <c:yVal>
            <c:numRef>
              <c:f>'LR_Forecast ETS'!$H$32:$H$37</c:f>
              <c:numCache>
                <c:formatCode>0.00</c:formatCode>
                <c:ptCount val="6"/>
                <c:pt idx="0">
                  <c:v>3536.4584912710607</c:v>
                </c:pt>
                <c:pt idx="1">
                  <c:v>3548.770120983052</c:v>
                </c:pt>
                <c:pt idx="2">
                  <c:v>3618.3863700994366</c:v>
                </c:pt>
                <c:pt idx="3">
                  <c:v>3388.3697052745038</c:v>
                </c:pt>
                <c:pt idx="4">
                  <c:v>3603.1954877980374</c:v>
                </c:pt>
                <c:pt idx="5">
                  <c:v>3615.5071175100288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16-495D-9D4F-4C16083AF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47552"/>
        <c:axId val="1206740768"/>
      </c:scatterChart>
      <c:valAx>
        <c:axId val="1217147552"/>
        <c:scaling>
          <c:orientation val="minMax"/>
        </c:scaling>
        <c:delete val="0"/>
        <c:axPos val="b"/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06740768"/>
        <c:crosses val="autoZero"/>
        <c:crossBetween val="midCat"/>
      </c:valAx>
      <c:valAx>
        <c:axId val="1206740768"/>
        <c:scaling>
          <c:orientation val="minMax"/>
          <c:min val="2500"/>
        </c:scaling>
        <c:delete val="0"/>
        <c:axPos val="l"/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1714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พยากรณ์</a:t>
            </a:r>
            <a:r>
              <a:rPr lang="th-TH" baseline="0"/>
              <a:t>ยอดขาย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'Forecast Tools'!$B$1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'Forecast Tools'!$B$2:$B$34</c:f>
              <c:numCache>
                <c:formatCode>_(* #,##0.00_);_(* \(#,##0.00\);_(* "-"??_);_(@_)</c:formatCode>
                <c:ptCount val="33"/>
                <c:pt idx="0">
                  <c:v>3110.3788536403831</c:v>
                </c:pt>
                <c:pt idx="1">
                  <c:v>3196.7782219489995</c:v>
                </c:pt>
                <c:pt idx="2">
                  <c:v>2899.6507620954199</c:v>
                </c:pt>
                <c:pt idx="3">
                  <c:v>3094.310208457036</c:v>
                </c:pt>
                <c:pt idx="4">
                  <c:v>2931.4775027589635</c:v>
                </c:pt>
                <c:pt idx="5">
                  <c:v>3016.3501591359313</c:v>
                </c:pt>
                <c:pt idx="6">
                  <c:v>3038.3169325533122</c:v>
                </c:pt>
                <c:pt idx="7">
                  <c:v>3044.4829895746311</c:v>
                </c:pt>
                <c:pt idx="8">
                  <c:v>3441.9424510773456</c:v>
                </c:pt>
                <c:pt idx="9">
                  <c:v>3525.0339304707713</c:v>
                </c:pt>
                <c:pt idx="10">
                  <c:v>3108.3521602549827</c:v>
                </c:pt>
                <c:pt idx="11">
                  <c:v>3545.592524277507</c:v>
                </c:pt>
                <c:pt idx="12">
                  <c:v>3336.6612940197924</c:v>
                </c:pt>
                <c:pt idx="13">
                  <c:v>3405.6543207607619</c:v>
                </c:pt>
                <c:pt idx="14">
                  <c:v>3091.1205193395353</c:v>
                </c:pt>
                <c:pt idx="15">
                  <c:v>3268.3736241335046</c:v>
                </c:pt>
                <c:pt idx="16">
                  <c:v>3088.1345768677852</c:v>
                </c:pt>
                <c:pt idx="17">
                  <c:v>3155.6008916771061</c:v>
                </c:pt>
                <c:pt idx="18">
                  <c:v>3160.1613235268401</c:v>
                </c:pt>
                <c:pt idx="19">
                  <c:v>3148.9210389805121</c:v>
                </c:pt>
                <c:pt idx="20">
                  <c:v>3528.9741589155801</c:v>
                </c:pt>
                <c:pt idx="21">
                  <c:v>3594.659296741359</c:v>
                </c:pt>
                <c:pt idx="22">
                  <c:v>3160.5711849579234</c:v>
                </c:pt>
                <c:pt idx="23">
                  <c:v>3580.4052074128008</c:v>
                </c:pt>
                <c:pt idx="24">
                  <c:v>3527.3062940197924</c:v>
                </c:pt>
                <c:pt idx="25">
                  <c:v>3610.9643207607619</c:v>
                </c:pt>
                <c:pt idx="26">
                  <c:v>3311.0955193395353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E-4231-8064-D2DAE6EA789E}"/>
            </c:ext>
          </c:extLst>
        </c:ser>
        <c:ser>
          <c:idx val="1"/>
          <c:order val="1"/>
          <c:tx>
            <c:strRef>
              <c:f>'Forecast Tools'!$C$1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'Forecast Tools'!$A$2:$A$34</c:f>
              <c:numCache>
                <c:formatCode>_(* #,##0_);_(* \(#,##0\);_(* "-"??_);_(@_)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'Forecast Tools'!$C$2:$C$34</c:f>
              <c:numCache>
                <c:formatCode>General</c:formatCode>
                <c:ptCount val="33"/>
                <c:pt idx="26" formatCode="_(* #,##0.00_);_(* \(#,##0.00\);_(* &quot;-&quot;??_);_(@_)">
                  <c:v>3311.0955193395353</c:v>
                </c:pt>
                <c:pt idx="27" formatCode="_(* #,##0.00_);_(* \(#,##0.00\);_(* &quot;-&quot;??_);_(@_)">
                  <c:v>3381.224586635351</c:v>
                </c:pt>
                <c:pt idx="28" formatCode="_(* #,##0.00_);_(* \(#,##0.00\);_(* &quot;-&quot;??_);_(@_)">
                  <c:v>3601.7470248479872</c:v>
                </c:pt>
                <c:pt idx="29" formatCode="_(* #,##0.00_);_(* \(#,##0.00\);_(* &quot;-&quot;??_);_(@_)">
                  <c:v>3473.1865745496752</c:v>
                </c:pt>
                <c:pt idx="30" formatCode="_(* #,##0.00_);_(* \(#,##0.00\);_(* &quot;-&quot;??_);_(@_)">
                  <c:v>3430.4043597294831</c:v>
                </c:pt>
                <c:pt idx="31" formatCode="_(* #,##0.00_);_(* \(#,##0.00\);_(* &quot;-&quot;??_);_(@_)">
                  <c:v>3629.9162997042495</c:v>
                </c:pt>
                <c:pt idx="32" formatCode="_(* #,##0.00_);_(* \(#,##0.00\);_(* &quot;-&quot;??_);_(@_)">
                  <c:v>3456.3734791392626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E-4231-8064-D2DAE6EA789E}"/>
            </c:ext>
          </c:extLst>
        </c:ser>
        <c:ser>
          <c:idx val="2"/>
          <c:order val="2"/>
          <c:tx>
            <c:strRef>
              <c:f>'Forecast Tools'!$D$1</c:f>
              <c:strCache>
                <c:ptCount val="1"/>
                <c:pt idx="0">
                  <c:v>Lower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Tools'!$A$2:$A$34</c:f>
              <c:numCache>
                <c:formatCode>_(* #,##0_);_(* \(#,##0\);_(* "-"??_);_(@_)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'Forecast Tools'!$D$2:$D$34</c:f>
              <c:numCache>
                <c:formatCode>General</c:formatCode>
                <c:ptCount val="33"/>
                <c:pt idx="26" formatCode="_(* #,##0.00_);_(* \(#,##0.00\);_(* &quot;-&quot;??_);_(@_)">
                  <c:v>3311.0955193395353</c:v>
                </c:pt>
                <c:pt idx="27" formatCode="_(* #,##0.00_);_(* \(#,##0.00\);_(* &quot;-&quot;??_);_(@_)">
                  <c:v>3000.9552345178572</c:v>
                </c:pt>
                <c:pt idx="28" formatCode="_(* #,##0.00_);_(* \(#,##0.00\);_(* &quot;-&quot;??_);_(@_)">
                  <c:v>3209.5891967747352</c:v>
                </c:pt>
                <c:pt idx="29" formatCode="_(* #,##0.00_);_(* \(#,##0.00\);_(* &quot;-&quot;??_);_(@_)">
                  <c:v>3069.3997873805274</c:v>
                </c:pt>
                <c:pt idx="30" formatCode="_(* #,##0.00_);_(* \(#,##0.00\);_(* &quot;-&quot;??_);_(@_)">
                  <c:v>3015.2259745874144</c:v>
                </c:pt>
                <c:pt idx="31" formatCode="_(* #,##0.00_);_(* \(#,##0.00\);_(* &quot;-&quot;??_);_(@_)">
                  <c:v>3203.5643121176186</c:v>
                </c:pt>
                <c:pt idx="32" formatCode="_(* #,##0.00_);_(* \(#,##0.00\);_(* &quot;-&quot;??_);_(@_)">
                  <c:v>3018.9640388617931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DE-4231-8064-D2DAE6EA789E}"/>
            </c:ext>
          </c:extLst>
        </c:ser>
        <c:ser>
          <c:idx val="3"/>
          <c:order val="3"/>
          <c:tx>
            <c:strRef>
              <c:f>'Forecast Tools'!$E$1</c:f>
              <c:strCache>
                <c:ptCount val="1"/>
                <c:pt idx="0">
                  <c:v>Upper Confidence Bound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'Forecast Tools'!$A$2:$A$34</c:f>
              <c:numCache>
                <c:formatCode>_(* #,##0_);_(* \(#,##0\);_(* "-"??_);_(@_)</c:formatCode>
                <c:ptCount val="3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</c:numCache>
            </c:numRef>
          </c:cat>
          <c:val>
            <c:numRef>
              <c:f>'Forecast Tools'!$E$2:$E$34</c:f>
              <c:numCache>
                <c:formatCode>General</c:formatCode>
                <c:ptCount val="33"/>
                <c:pt idx="26" formatCode="_(* #,##0.00_);_(* \(#,##0.00\);_(* &quot;-&quot;??_);_(@_)">
                  <c:v>3311.0955193395353</c:v>
                </c:pt>
                <c:pt idx="27" formatCode="_(* #,##0.00_);_(* \(#,##0.00\);_(* &quot;-&quot;??_);_(@_)">
                  <c:v>3761.4939387528448</c:v>
                </c:pt>
                <c:pt idx="28" formatCode="_(* #,##0.00_);_(* \(#,##0.00\);_(* &quot;-&quot;??_);_(@_)">
                  <c:v>3993.9048529212391</c:v>
                </c:pt>
                <c:pt idx="29" formatCode="_(* #,##0.00_);_(* \(#,##0.00\);_(* &quot;-&quot;??_);_(@_)">
                  <c:v>3876.9733617188231</c:v>
                </c:pt>
                <c:pt idx="30" formatCode="_(* #,##0.00_);_(* \(#,##0.00\);_(* &quot;-&quot;??_);_(@_)">
                  <c:v>3845.5827448715518</c:v>
                </c:pt>
                <c:pt idx="31" formatCode="_(* #,##0.00_);_(* \(#,##0.00\);_(* &quot;-&quot;??_);_(@_)">
                  <c:v>4056.2682872908804</c:v>
                </c:pt>
                <c:pt idx="32" formatCode="_(* #,##0.00_);_(* \(#,##0.00\);_(* &quot;-&quot;??_);_(@_)">
                  <c:v>3893.7829194167321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DE-4231-8064-D2DAE6EA78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3669616"/>
        <c:axId val="1935445280"/>
      </c:lineChart>
      <c:catAx>
        <c:axId val="1243669616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935445280"/>
        <c:crosses val="autoZero"/>
        <c:auto val="1"/>
        <c:lblAlgn val="ctr"/>
        <c:lblOffset val="100"/>
        <c:noMultiLvlLbl val="0"/>
      </c:catAx>
      <c:valAx>
        <c:axId val="19354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436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h-TH"/>
              <a:t>ยอดขาย กับ ราคาขาย วิตามิน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4.1235715100829788E-2"/>
                  <c:y val="-0.45668963254593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Demand_Forecast!$B$2:$B$112</c:f>
              <c:numCache>
                <c:formatCode>_(* #,##0.00_);_(* \(#,##0.00\);_(* "-"??_);_(@_)</c:formatCode>
                <c:ptCount val="111"/>
                <c:pt idx="0">
                  <c:v>114</c:v>
                </c:pt>
                <c:pt idx="1">
                  <c:v>118</c:v>
                </c:pt>
                <c:pt idx="2">
                  <c:v>106</c:v>
                </c:pt>
                <c:pt idx="3">
                  <c:v>111</c:v>
                </c:pt>
                <c:pt idx="4">
                  <c:v>112</c:v>
                </c:pt>
                <c:pt idx="5">
                  <c:v>114</c:v>
                </c:pt>
                <c:pt idx="6">
                  <c:v>104</c:v>
                </c:pt>
                <c:pt idx="7">
                  <c:v>105</c:v>
                </c:pt>
                <c:pt idx="8">
                  <c:v>104</c:v>
                </c:pt>
                <c:pt idx="9">
                  <c:v>120</c:v>
                </c:pt>
                <c:pt idx="10">
                  <c:v>112</c:v>
                </c:pt>
                <c:pt idx="11">
                  <c:v>108</c:v>
                </c:pt>
                <c:pt idx="12">
                  <c:v>114</c:v>
                </c:pt>
                <c:pt idx="13">
                  <c:v>107</c:v>
                </c:pt>
                <c:pt idx="14">
                  <c:v>115</c:v>
                </c:pt>
                <c:pt idx="15">
                  <c:v>106</c:v>
                </c:pt>
                <c:pt idx="16">
                  <c:v>105</c:v>
                </c:pt>
                <c:pt idx="17">
                  <c:v>101</c:v>
                </c:pt>
                <c:pt idx="18">
                  <c:v>111</c:v>
                </c:pt>
                <c:pt idx="19">
                  <c:v>110</c:v>
                </c:pt>
                <c:pt idx="20">
                  <c:v>111</c:v>
                </c:pt>
                <c:pt idx="21">
                  <c:v>110</c:v>
                </c:pt>
                <c:pt idx="22">
                  <c:v>105</c:v>
                </c:pt>
                <c:pt idx="23">
                  <c:v>106</c:v>
                </c:pt>
                <c:pt idx="24">
                  <c:v>106</c:v>
                </c:pt>
                <c:pt idx="25">
                  <c:v>113</c:v>
                </c:pt>
                <c:pt idx="26">
                  <c:v>118</c:v>
                </c:pt>
                <c:pt idx="27">
                  <c:v>115</c:v>
                </c:pt>
                <c:pt idx="28">
                  <c:v>101</c:v>
                </c:pt>
                <c:pt idx="29">
                  <c:v>100</c:v>
                </c:pt>
                <c:pt idx="30">
                  <c:v>110</c:v>
                </c:pt>
                <c:pt idx="31">
                  <c:v>104</c:v>
                </c:pt>
                <c:pt idx="32">
                  <c:v>113</c:v>
                </c:pt>
                <c:pt idx="33">
                  <c:v>110</c:v>
                </c:pt>
                <c:pt idx="34">
                  <c:v>114</c:v>
                </c:pt>
                <c:pt idx="35">
                  <c:v>118</c:v>
                </c:pt>
                <c:pt idx="36">
                  <c:v>114</c:v>
                </c:pt>
                <c:pt idx="37">
                  <c:v>108</c:v>
                </c:pt>
                <c:pt idx="38">
                  <c:v>100</c:v>
                </c:pt>
                <c:pt idx="39">
                  <c:v>116</c:v>
                </c:pt>
                <c:pt idx="40">
                  <c:v>104</c:v>
                </c:pt>
                <c:pt idx="41">
                  <c:v>116</c:v>
                </c:pt>
                <c:pt idx="42">
                  <c:v>109</c:v>
                </c:pt>
                <c:pt idx="43">
                  <c:v>118</c:v>
                </c:pt>
                <c:pt idx="44">
                  <c:v>108</c:v>
                </c:pt>
                <c:pt idx="45">
                  <c:v>119</c:v>
                </c:pt>
                <c:pt idx="46">
                  <c:v>120</c:v>
                </c:pt>
                <c:pt idx="47">
                  <c:v>119</c:v>
                </c:pt>
                <c:pt idx="48">
                  <c:v>106</c:v>
                </c:pt>
                <c:pt idx="49">
                  <c:v>111</c:v>
                </c:pt>
                <c:pt idx="50">
                  <c:v>108</c:v>
                </c:pt>
                <c:pt idx="51">
                  <c:v>112</c:v>
                </c:pt>
                <c:pt idx="52">
                  <c:v>107</c:v>
                </c:pt>
                <c:pt idx="53">
                  <c:v>116</c:v>
                </c:pt>
                <c:pt idx="54">
                  <c:v>108</c:v>
                </c:pt>
                <c:pt idx="55">
                  <c:v>103</c:v>
                </c:pt>
                <c:pt idx="56">
                  <c:v>118</c:v>
                </c:pt>
                <c:pt idx="57">
                  <c:v>112</c:v>
                </c:pt>
                <c:pt idx="58">
                  <c:v>113</c:v>
                </c:pt>
                <c:pt idx="59">
                  <c:v>101</c:v>
                </c:pt>
                <c:pt idx="60">
                  <c:v>100</c:v>
                </c:pt>
                <c:pt idx="61">
                  <c:v>102</c:v>
                </c:pt>
                <c:pt idx="62">
                  <c:v>103</c:v>
                </c:pt>
                <c:pt idx="63">
                  <c:v>108</c:v>
                </c:pt>
                <c:pt idx="64">
                  <c:v>101</c:v>
                </c:pt>
                <c:pt idx="65">
                  <c:v>103</c:v>
                </c:pt>
                <c:pt idx="66">
                  <c:v>105</c:v>
                </c:pt>
                <c:pt idx="67">
                  <c:v>115</c:v>
                </c:pt>
                <c:pt idx="68">
                  <c:v>120</c:v>
                </c:pt>
                <c:pt idx="69">
                  <c:v>100</c:v>
                </c:pt>
                <c:pt idx="70">
                  <c:v>104</c:v>
                </c:pt>
                <c:pt idx="71">
                  <c:v>120</c:v>
                </c:pt>
                <c:pt idx="72">
                  <c:v>117</c:v>
                </c:pt>
                <c:pt idx="73">
                  <c:v>117</c:v>
                </c:pt>
                <c:pt idx="74">
                  <c:v>106</c:v>
                </c:pt>
                <c:pt idx="75">
                  <c:v>103</c:v>
                </c:pt>
                <c:pt idx="76">
                  <c:v>116</c:v>
                </c:pt>
                <c:pt idx="77">
                  <c:v>103</c:v>
                </c:pt>
                <c:pt idx="78">
                  <c:v>110</c:v>
                </c:pt>
                <c:pt idx="79">
                  <c:v>100</c:v>
                </c:pt>
                <c:pt idx="80">
                  <c:v>101</c:v>
                </c:pt>
                <c:pt idx="81">
                  <c:v>110</c:v>
                </c:pt>
                <c:pt idx="82">
                  <c:v>107</c:v>
                </c:pt>
                <c:pt idx="83">
                  <c:v>109</c:v>
                </c:pt>
                <c:pt idx="84">
                  <c:v>104</c:v>
                </c:pt>
                <c:pt idx="85">
                  <c:v>105</c:v>
                </c:pt>
                <c:pt idx="86">
                  <c:v>108</c:v>
                </c:pt>
                <c:pt idx="87">
                  <c:v>112</c:v>
                </c:pt>
                <c:pt idx="88">
                  <c:v>118</c:v>
                </c:pt>
                <c:pt idx="89">
                  <c:v>100</c:v>
                </c:pt>
                <c:pt idx="90">
                  <c:v>120</c:v>
                </c:pt>
                <c:pt idx="91">
                  <c:v>110</c:v>
                </c:pt>
                <c:pt idx="92">
                  <c:v>118</c:v>
                </c:pt>
                <c:pt idx="93">
                  <c:v>110</c:v>
                </c:pt>
                <c:pt idx="94">
                  <c:v>101</c:v>
                </c:pt>
                <c:pt idx="95">
                  <c:v>113</c:v>
                </c:pt>
                <c:pt idx="96">
                  <c:v>112</c:v>
                </c:pt>
                <c:pt idx="97">
                  <c:v>102</c:v>
                </c:pt>
                <c:pt idx="98">
                  <c:v>105</c:v>
                </c:pt>
                <c:pt idx="99">
                  <c:v>109</c:v>
                </c:pt>
                <c:pt idx="100">
                  <c:v>107</c:v>
                </c:pt>
                <c:pt idx="101">
                  <c:v>114</c:v>
                </c:pt>
                <c:pt idx="102">
                  <c:v>104</c:v>
                </c:pt>
                <c:pt idx="103">
                  <c:v>116</c:v>
                </c:pt>
                <c:pt idx="104">
                  <c:v>107</c:v>
                </c:pt>
                <c:pt idx="105">
                  <c:v>119</c:v>
                </c:pt>
                <c:pt idx="106">
                  <c:v>116</c:v>
                </c:pt>
                <c:pt idx="107">
                  <c:v>111</c:v>
                </c:pt>
                <c:pt idx="108">
                  <c:v>101</c:v>
                </c:pt>
                <c:pt idx="109">
                  <c:v>118</c:v>
                </c:pt>
                <c:pt idx="110">
                  <c:v>101</c:v>
                </c:pt>
              </c:numCache>
            </c:numRef>
          </c:xVal>
          <c:yVal>
            <c:numRef>
              <c:f>Demand_Forecast!$C$2:$C$112</c:f>
              <c:numCache>
                <c:formatCode>_(* #,##0.00_);_(* \(#,##0.00\);_(* "-"??_);_(@_)</c:formatCode>
                <c:ptCount val="111"/>
                <c:pt idx="0">
                  <c:v>436</c:v>
                </c:pt>
                <c:pt idx="1">
                  <c:v>683</c:v>
                </c:pt>
                <c:pt idx="2">
                  <c:v>512</c:v>
                </c:pt>
                <c:pt idx="3">
                  <c:v>678</c:v>
                </c:pt>
                <c:pt idx="4">
                  <c:v>724</c:v>
                </c:pt>
                <c:pt idx="5">
                  <c:v>1036</c:v>
                </c:pt>
                <c:pt idx="6">
                  <c:v>1468</c:v>
                </c:pt>
                <c:pt idx="7">
                  <c:v>385</c:v>
                </c:pt>
                <c:pt idx="8">
                  <c:v>895</c:v>
                </c:pt>
                <c:pt idx="9">
                  <c:v>346</c:v>
                </c:pt>
                <c:pt idx="10">
                  <c:v>835</c:v>
                </c:pt>
                <c:pt idx="11">
                  <c:v>1135</c:v>
                </c:pt>
                <c:pt idx="12">
                  <c:v>305</c:v>
                </c:pt>
                <c:pt idx="13">
                  <c:v>1159</c:v>
                </c:pt>
                <c:pt idx="14">
                  <c:v>373</c:v>
                </c:pt>
                <c:pt idx="15">
                  <c:v>526</c:v>
                </c:pt>
                <c:pt idx="16">
                  <c:v>1352</c:v>
                </c:pt>
                <c:pt idx="17">
                  <c:v>1844</c:v>
                </c:pt>
                <c:pt idx="18">
                  <c:v>596</c:v>
                </c:pt>
                <c:pt idx="19">
                  <c:v>1625</c:v>
                </c:pt>
                <c:pt idx="20">
                  <c:v>552</c:v>
                </c:pt>
                <c:pt idx="21">
                  <c:v>665</c:v>
                </c:pt>
                <c:pt idx="22">
                  <c:v>1637</c:v>
                </c:pt>
                <c:pt idx="23">
                  <c:v>385</c:v>
                </c:pt>
                <c:pt idx="24">
                  <c:v>510</c:v>
                </c:pt>
                <c:pt idx="25">
                  <c:v>983</c:v>
                </c:pt>
                <c:pt idx="26">
                  <c:v>664</c:v>
                </c:pt>
                <c:pt idx="27">
                  <c:v>514</c:v>
                </c:pt>
                <c:pt idx="28">
                  <c:v>1876</c:v>
                </c:pt>
                <c:pt idx="29">
                  <c:v>1444</c:v>
                </c:pt>
                <c:pt idx="30">
                  <c:v>675</c:v>
                </c:pt>
                <c:pt idx="31">
                  <c:v>1047</c:v>
                </c:pt>
                <c:pt idx="32">
                  <c:v>1198</c:v>
                </c:pt>
                <c:pt idx="33">
                  <c:v>748</c:v>
                </c:pt>
                <c:pt idx="34">
                  <c:v>655</c:v>
                </c:pt>
                <c:pt idx="35">
                  <c:v>926</c:v>
                </c:pt>
                <c:pt idx="36">
                  <c:v>388</c:v>
                </c:pt>
                <c:pt idx="37">
                  <c:v>456</c:v>
                </c:pt>
                <c:pt idx="38">
                  <c:v>1244</c:v>
                </c:pt>
                <c:pt idx="39">
                  <c:v>901</c:v>
                </c:pt>
                <c:pt idx="40">
                  <c:v>1893</c:v>
                </c:pt>
                <c:pt idx="41">
                  <c:v>611</c:v>
                </c:pt>
                <c:pt idx="42">
                  <c:v>1870</c:v>
                </c:pt>
                <c:pt idx="43">
                  <c:v>861</c:v>
                </c:pt>
                <c:pt idx="44">
                  <c:v>1579</c:v>
                </c:pt>
                <c:pt idx="45">
                  <c:v>956</c:v>
                </c:pt>
                <c:pt idx="46">
                  <c:v>513</c:v>
                </c:pt>
                <c:pt idx="47">
                  <c:v>749</c:v>
                </c:pt>
                <c:pt idx="48">
                  <c:v>1401</c:v>
                </c:pt>
                <c:pt idx="49">
                  <c:v>879</c:v>
                </c:pt>
                <c:pt idx="50">
                  <c:v>779</c:v>
                </c:pt>
                <c:pt idx="51">
                  <c:v>638</c:v>
                </c:pt>
                <c:pt idx="52">
                  <c:v>534</c:v>
                </c:pt>
                <c:pt idx="53">
                  <c:v>492</c:v>
                </c:pt>
                <c:pt idx="54">
                  <c:v>1199</c:v>
                </c:pt>
                <c:pt idx="55">
                  <c:v>1397</c:v>
                </c:pt>
                <c:pt idx="56">
                  <c:v>938</c:v>
                </c:pt>
                <c:pt idx="57">
                  <c:v>545</c:v>
                </c:pt>
                <c:pt idx="58">
                  <c:v>1155</c:v>
                </c:pt>
                <c:pt idx="59">
                  <c:v>1031</c:v>
                </c:pt>
                <c:pt idx="60">
                  <c:v>1991</c:v>
                </c:pt>
                <c:pt idx="61">
                  <c:v>1605</c:v>
                </c:pt>
                <c:pt idx="62">
                  <c:v>1996</c:v>
                </c:pt>
                <c:pt idx="63">
                  <c:v>1704</c:v>
                </c:pt>
                <c:pt idx="64">
                  <c:v>1262</c:v>
                </c:pt>
                <c:pt idx="65">
                  <c:v>1922</c:v>
                </c:pt>
                <c:pt idx="66">
                  <c:v>1718</c:v>
                </c:pt>
                <c:pt idx="67">
                  <c:v>419</c:v>
                </c:pt>
                <c:pt idx="68">
                  <c:v>347</c:v>
                </c:pt>
                <c:pt idx="69">
                  <c:v>2005</c:v>
                </c:pt>
                <c:pt idx="70">
                  <c:v>521</c:v>
                </c:pt>
                <c:pt idx="71">
                  <c:v>802</c:v>
                </c:pt>
                <c:pt idx="72">
                  <c:v>594</c:v>
                </c:pt>
                <c:pt idx="73">
                  <c:v>638</c:v>
                </c:pt>
                <c:pt idx="74">
                  <c:v>1731</c:v>
                </c:pt>
                <c:pt idx="75">
                  <c:v>676</c:v>
                </c:pt>
                <c:pt idx="76">
                  <c:v>360</c:v>
                </c:pt>
                <c:pt idx="77">
                  <c:v>1235</c:v>
                </c:pt>
                <c:pt idx="78">
                  <c:v>916</c:v>
                </c:pt>
                <c:pt idx="79">
                  <c:v>1938</c:v>
                </c:pt>
                <c:pt idx="80">
                  <c:v>1533</c:v>
                </c:pt>
                <c:pt idx="81">
                  <c:v>741</c:v>
                </c:pt>
                <c:pt idx="82">
                  <c:v>1664</c:v>
                </c:pt>
                <c:pt idx="83">
                  <c:v>763</c:v>
                </c:pt>
                <c:pt idx="84">
                  <c:v>722</c:v>
                </c:pt>
                <c:pt idx="85">
                  <c:v>1939</c:v>
                </c:pt>
                <c:pt idx="86">
                  <c:v>1272</c:v>
                </c:pt>
                <c:pt idx="87">
                  <c:v>1141</c:v>
                </c:pt>
                <c:pt idx="88">
                  <c:v>529</c:v>
                </c:pt>
                <c:pt idx="89">
                  <c:v>1222</c:v>
                </c:pt>
                <c:pt idx="90">
                  <c:v>910</c:v>
                </c:pt>
                <c:pt idx="91">
                  <c:v>1250</c:v>
                </c:pt>
                <c:pt idx="92">
                  <c:v>596</c:v>
                </c:pt>
                <c:pt idx="93">
                  <c:v>374</c:v>
                </c:pt>
                <c:pt idx="94">
                  <c:v>1753</c:v>
                </c:pt>
                <c:pt idx="95">
                  <c:v>1002</c:v>
                </c:pt>
                <c:pt idx="96">
                  <c:v>1286</c:v>
                </c:pt>
                <c:pt idx="97">
                  <c:v>841</c:v>
                </c:pt>
                <c:pt idx="98">
                  <c:v>1953</c:v>
                </c:pt>
                <c:pt idx="99">
                  <c:v>1443</c:v>
                </c:pt>
                <c:pt idx="100">
                  <c:v>376</c:v>
                </c:pt>
                <c:pt idx="101">
                  <c:v>426</c:v>
                </c:pt>
                <c:pt idx="102">
                  <c:v>1051</c:v>
                </c:pt>
                <c:pt idx="103">
                  <c:v>425</c:v>
                </c:pt>
                <c:pt idx="104">
                  <c:v>1211</c:v>
                </c:pt>
                <c:pt idx="105">
                  <c:v>202</c:v>
                </c:pt>
                <c:pt idx="106">
                  <c:v>742</c:v>
                </c:pt>
                <c:pt idx="107">
                  <c:v>970</c:v>
                </c:pt>
                <c:pt idx="108">
                  <c:v>1815</c:v>
                </c:pt>
                <c:pt idx="109">
                  <c:v>967</c:v>
                </c:pt>
                <c:pt idx="110">
                  <c:v>1836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1D-406A-B2EA-140373D0F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7675824"/>
        <c:axId val="1206737888"/>
      </c:scatterChart>
      <c:valAx>
        <c:axId val="1817675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06737888"/>
        <c:crosses val="autoZero"/>
        <c:crossBetween val="midCat"/>
      </c:valAx>
      <c:valAx>
        <c:axId val="12067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817675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Plot'!$D$1</c:f>
              <c:strCache>
                <c:ptCount val="1"/>
                <c:pt idx="0">
                  <c:v>Demand (1000 ลิตร)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46106736657918E-3"/>
                  <c:y val="0.2043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'Scatter Plot'!$C$2:$C$112</c:f>
              <c:numCache>
                <c:formatCode>_(* #,##0.00_);_(* \(#,##0.00\);_(* "-"??_);_(@_)</c:formatCode>
                <c:ptCount val="111"/>
                <c:pt idx="0">
                  <c:v>35</c:v>
                </c:pt>
                <c:pt idx="1">
                  <c:v>34</c:v>
                </c:pt>
                <c:pt idx="2">
                  <c:v>33.5</c:v>
                </c:pt>
                <c:pt idx="3">
                  <c:v>32.5</c:v>
                </c:pt>
                <c:pt idx="4">
                  <c:v>33.5</c:v>
                </c:pt>
                <c:pt idx="5">
                  <c:v>34.5</c:v>
                </c:pt>
                <c:pt idx="6">
                  <c:v>35</c:v>
                </c:pt>
                <c:pt idx="7">
                  <c:v>35.5</c:v>
                </c:pt>
                <c:pt idx="8">
                  <c:v>35.75</c:v>
                </c:pt>
                <c:pt idx="9">
                  <c:v>35.5</c:v>
                </c:pt>
                <c:pt idx="10">
                  <c:v>34.75</c:v>
                </c:pt>
                <c:pt idx="11">
                  <c:v>35.75</c:v>
                </c:pt>
                <c:pt idx="12">
                  <c:v>35.75</c:v>
                </c:pt>
                <c:pt idx="13">
                  <c:v>35.25</c:v>
                </c:pt>
                <c:pt idx="14">
                  <c:v>34.25</c:v>
                </c:pt>
                <c:pt idx="15">
                  <c:v>34.75</c:v>
                </c:pt>
                <c:pt idx="16">
                  <c:v>35.5</c:v>
                </c:pt>
                <c:pt idx="17">
                  <c:v>35</c:v>
                </c:pt>
                <c:pt idx="18">
                  <c:v>36</c:v>
                </c:pt>
                <c:pt idx="19">
                  <c:v>36.5</c:v>
                </c:pt>
                <c:pt idx="20">
                  <c:v>35.75</c:v>
                </c:pt>
                <c:pt idx="21">
                  <c:v>35.5</c:v>
                </c:pt>
                <c:pt idx="22">
                  <c:v>35</c:v>
                </c:pt>
                <c:pt idx="23">
                  <c:v>35</c:v>
                </c:pt>
                <c:pt idx="24">
                  <c:v>35.25</c:v>
                </c:pt>
                <c:pt idx="25">
                  <c:v>35</c:v>
                </c:pt>
                <c:pt idx="26">
                  <c:v>35.25</c:v>
                </c:pt>
                <c:pt idx="27">
                  <c:v>35.5</c:v>
                </c:pt>
                <c:pt idx="28">
                  <c:v>36.25</c:v>
                </c:pt>
                <c:pt idx="29">
                  <c:v>35.75</c:v>
                </c:pt>
                <c:pt idx="30">
                  <c:v>35</c:v>
                </c:pt>
                <c:pt idx="31">
                  <c:v>35</c:v>
                </c:pt>
                <c:pt idx="32">
                  <c:v>35.5</c:v>
                </c:pt>
                <c:pt idx="33">
                  <c:v>36.5</c:v>
                </c:pt>
                <c:pt idx="34">
                  <c:v>36.25</c:v>
                </c:pt>
                <c:pt idx="35">
                  <c:v>37.25</c:v>
                </c:pt>
                <c:pt idx="36">
                  <c:v>37.25</c:v>
                </c:pt>
                <c:pt idx="37">
                  <c:v>36.75</c:v>
                </c:pt>
                <c:pt idx="38">
                  <c:v>37.25</c:v>
                </c:pt>
                <c:pt idx="39">
                  <c:v>36.75</c:v>
                </c:pt>
                <c:pt idx="40">
                  <c:v>37.5</c:v>
                </c:pt>
                <c:pt idx="41">
                  <c:v>36.5</c:v>
                </c:pt>
                <c:pt idx="42">
                  <c:v>37.25</c:v>
                </c:pt>
                <c:pt idx="43">
                  <c:v>38.25</c:v>
                </c:pt>
                <c:pt idx="44">
                  <c:v>37.5</c:v>
                </c:pt>
                <c:pt idx="45">
                  <c:v>38</c:v>
                </c:pt>
                <c:pt idx="46">
                  <c:v>38.25</c:v>
                </c:pt>
                <c:pt idx="47">
                  <c:v>37.25</c:v>
                </c:pt>
                <c:pt idx="48">
                  <c:v>38.25</c:v>
                </c:pt>
                <c:pt idx="49">
                  <c:v>37.5</c:v>
                </c:pt>
                <c:pt idx="50">
                  <c:v>37.25</c:v>
                </c:pt>
                <c:pt idx="51">
                  <c:v>36.75</c:v>
                </c:pt>
                <c:pt idx="52">
                  <c:v>35.75</c:v>
                </c:pt>
                <c:pt idx="53">
                  <c:v>35.5</c:v>
                </c:pt>
                <c:pt idx="54">
                  <c:v>35.75</c:v>
                </c:pt>
                <c:pt idx="55">
                  <c:v>35.75</c:v>
                </c:pt>
                <c:pt idx="56">
                  <c:v>36.75</c:v>
                </c:pt>
                <c:pt idx="57">
                  <c:v>36.75</c:v>
                </c:pt>
                <c:pt idx="58">
                  <c:v>37.25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2">
                  <c:v>39</c:v>
                </c:pt>
                <c:pt idx="63">
                  <c:v>38.5</c:v>
                </c:pt>
                <c:pt idx="64">
                  <c:v>37.5</c:v>
                </c:pt>
                <c:pt idx="65">
                  <c:v>38.25</c:v>
                </c:pt>
                <c:pt idx="66">
                  <c:v>39</c:v>
                </c:pt>
                <c:pt idx="67">
                  <c:v>39</c:v>
                </c:pt>
                <c:pt idx="68">
                  <c:v>38.5</c:v>
                </c:pt>
                <c:pt idx="69">
                  <c:v>38.25</c:v>
                </c:pt>
                <c:pt idx="70">
                  <c:v>39.25</c:v>
                </c:pt>
                <c:pt idx="71">
                  <c:v>40</c:v>
                </c:pt>
                <c:pt idx="72">
                  <c:v>40.5</c:v>
                </c:pt>
                <c:pt idx="73">
                  <c:v>41.5</c:v>
                </c:pt>
                <c:pt idx="74">
                  <c:v>41</c:v>
                </c:pt>
                <c:pt idx="75">
                  <c:v>40.75</c:v>
                </c:pt>
                <c:pt idx="76">
                  <c:v>41</c:v>
                </c:pt>
                <c:pt idx="77">
                  <c:v>40.5</c:v>
                </c:pt>
                <c:pt idx="78">
                  <c:v>41</c:v>
                </c:pt>
                <c:pt idx="79">
                  <c:v>40.25</c:v>
                </c:pt>
                <c:pt idx="80">
                  <c:v>40.5</c:v>
                </c:pt>
                <c:pt idx="81">
                  <c:v>39.5</c:v>
                </c:pt>
                <c:pt idx="82">
                  <c:v>40.25</c:v>
                </c:pt>
                <c:pt idx="83">
                  <c:v>39.5</c:v>
                </c:pt>
                <c:pt idx="84">
                  <c:v>38.75</c:v>
                </c:pt>
                <c:pt idx="85">
                  <c:v>39.25</c:v>
                </c:pt>
                <c:pt idx="86">
                  <c:v>40.25</c:v>
                </c:pt>
                <c:pt idx="87">
                  <c:v>40.75</c:v>
                </c:pt>
                <c:pt idx="88">
                  <c:v>41.5</c:v>
                </c:pt>
                <c:pt idx="89">
                  <c:v>42.25</c:v>
                </c:pt>
                <c:pt idx="90">
                  <c:v>42.5</c:v>
                </c:pt>
                <c:pt idx="91">
                  <c:v>43</c:v>
                </c:pt>
                <c:pt idx="92">
                  <c:v>42.75</c:v>
                </c:pt>
                <c:pt idx="93">
                  <c:v>42.5</c:v>
                </c:pt>
                <c:pt idx="94">
                  <c:v>43.5</c:v>
                </c:pt>
                <c:pt idx="95">
                  <c:v>43.75</c:v>
                </c:pt>
                <c:pt idx="96">
                  <c:v>43.5</c:v>
                </c:pt>
                <c:pt idx="97">
                  <c:v>42.75</c:v>
                </c:pt>
                <c:pt idx="98">
                  <c:v>43.75</c:v>
                </c:pt>
                <c:pt idx="99">
                  <c:v>43</c:v>
                </c:pt>
                <c:pt idx="100">
                  <c:v>42.75</c:v>
                </c:pt>
                <c:pt idx="101">
                  <c:v>42.25</c:v>
                </c:pt>
                <c:pt idx="102">
                  <c:v>42.5</c:v>
                </c:pt>
                <c:pt idx="103">
                  <c:v>43.5</c:v>
                </c:pt>
                <c:pt idx="104">
                  <c:v>43</c:v>
                </c:pt>
                <c:pt idx="105">
                  <c:v>42.25</c:v>
                </c:pt>
                <c:pt idx="106">
                  <c:v>41.75</c:v>
                </c:pt>
                <c:pt idx="107">
                  <c:v>41.75</c:v>
                </c:pt>
                <c:pt idx="108">
                  <c:v>41.5</c:v>
                </c:pt>
                <c:pt idx="109">
                  <c:v>40.75</c:v>
                </c:pt>
                <c:pt idx="110">
                  <c:v>39.75</c:v>
                </c:pt>
              </c:numCache>
            </c:numRef>
          </c:xVal>
          <c:yVal>
            <c:numRef>
              <c:f>'Scatter Plot'!$D$2:$D$112</c:f>
              <c:numCache>
                <c:formatCode>General</c:formatCode>
                <c:ptCount val="111"/>
                <c:pt idx="0">
                  <c:v>2016</c:v>
                </c:pt>
                <c:pt idx="1">
                  <c:v>3075</c:v>
                </c:pt>
                <c:pt idx="2">
                  <c:v>3438</c:v>
                </c:pt>
                <c:pt idx="3">
                  <c:v>3505</c:v>
                </c:pt>
                <c:pt idx="4">
                  <c:v>2677</c:v>
                </c:pt>
                <c:pt idx="5">
                  <c:v>2248</c:v>
                </c:pt>
                <c:pt idx="6">
                  <c:v>2207</c:v>
                </c:pt>
                <c:pt idx="7">
                  <c:v>1713</c:v>
                </c:pt>
                <c:pt idx="8">
                  <c:v>3179</c:v>
                </c:pt>
                <c:pt idx="9">
                  <c:v>3139</c:v>
                </c:pt>
                <c:pt idx="10">
                  <c:v>2234</c:v>
                </c:pt>
                <c:pt idx="11">
                  <c:v>2333</c:v>
                </c:pt>
                <c:pt idx="12">
                  <c:v>2073</c:v>
                </c:pt>
                <c:pt idx="13">
                  <c:v>2083</c:v>
                </c:pt>
                <c:pt idx="14">
                  <c:v>2351</c:v>
                </c:pt>
                <c:pt idx="15">
                  <c:v>3403</c:v>
                </c:pt>
                <c:pt idx="16">
                  <c:v>2269</c:v>
                </c:pt>
                <c:pt idx="17">
                  <c:v>3200</c:v>
                </c:pt>
                <c:pt idx="18">
                  <c:v>3226</c:v>
                </c:pt>
                <c:pt idx="19">
                  <c:v>2519</c:v>
                </c:pt>
                <c:pt idx="20">
                  <c:v>2465</c:v>
                </c:pt>
                <c:pt idx="21">
                  <c:v>1717</c:v>
                </c:pt>
                <c:pt idx="22">
                  <c:v>3236</c:v>
                </c:pt>
                <c:pt idx="23">
                  <c:v>2958</c:v>
                </c:pt>
                <c:pt idx="24">
                  <c:v>2814</c:v>
                </c:pt>
                <c:pt idx="25">
                  <c:v>2369</c:v>
                </c:pt>
                <c:pt idx="26">
                  <c:v>2785</c:v>
                </c:pt>
                <c:pt idx="27">
                  <c:v>2540</c:v>
                </c:pt>
                <c:pt idx="28">
                  <c:v>2033</c:v>
                </c:pt>
                <c:pt idx="29">
                  <c:v>2957</c:v>
                </c:pt>
                <c:pt idx="30">
                  <c:v>3162</c:v>
                </c:pt>
                <c:pt idx="31">
                  <c:v>2246</c:v>
                </c:pt>
                <c:pt idx="32">
                  <c:v>2997</c:v>
                </c:pt>
                <c:pt idx="33">
                  <c:v>2426</c:v>
                </c:pt>
                <c:pt idx="34">
                  <c:v>1867</c:v>
                </c:pt>
                <c:pt idx="35">
                  <c:v>1974</c:v>
                </c:pt>
                <c:pt idx="36">
                  <c:v>3111</c:v>
                </c:pt>
                <c:pt idx="37">
                  <c:v>2590</c:v>
                </c:pt>
                <c:pt idx="38">
                  <c:v>2491</c:v>
                </c:pt>
                <c:pt idx="39">
                  <c:v>3247</c:v>
                </c:pt>
                <c:pt idx="40">
                  <c:v>3079</c:v>
                </c:pt>
                <c:pt idx="41">
                  <c:v>2671</c:v>
                </c:pt>
                <c:pt idx="42">
                  <c:v>1842</c:v>
                </c:pt>
                <c:pt idx="43">
                  <c:v>2404</c:v>
                </c:pt>
                <c:pt idx="44">
                  <c:v>3061</c:v>
                </c:pt>
                <c:pt idx="45">
                  <c:v>2380</c:v>
                </c:pt>
                <c:pt idx="46">
                  <c:v>2026</c:v>
                </c:pt>
                <c:pt idx="47">
                  <c:v>2178</c:v>
                </c:pt>
                <c:pt idx="48">
                  <c:v>2113</c:v>
                </c:pt>
                <c:pt idx="49">
                  <c:v>2300</c:v>
                </c:pt>
                <c:pt idx="50">
                  <c:v>2523</c:v>
                </c:pt>
                <c:pt idx="51">
                  <c:v>2309</c:v>
                </c:pt>
                <c:pt idx="52">
                  <c:v>3442</c:v>
                </c:pt>
                <c:pt idx="53">
                  <c:v>2794</c:v>
                </c:pt>
                <c:pt idx="54">
                  <c:v>2226</c:v>
                </c:pt>
                <c:pt idx="55">
                  <c:v>2423</c:v>
                </c:pt>
                <c:pt idx="56">
                  <c:v>1893</c:v>
                </c:pt>
                <c:pt idx="57">
                  <c:v>2391</c:v>
                </c:pt>
                <c:pt idx="58">
                  <c:v>3202</c:v>
                </c:pt>
                <c:pt idx="59">
                  <c:v>2568</c:v>
                </c:pt>
                <c:pt idx="60">
                  <c:v>3307</c:v>
                </c:pt>
                <c:pt idx="61">
                  <c:v>2025</c:v>
                </c:pt>
                <c:pt idx="62">
                  <c:v>1754</c:v>
                </c:pt>
                <c:pt idx="63">
                  <c:v>2130</c:v>
                </c:pt>
                <c:pt idx="64">
                  <c:v>2357</c:v>
                </c:pt>
                <c:pt idx="65">
                  <c:v>2235</c:v>
                </c:pt>
                <c:pt idx="66">
                  <c:v>3195</c:v>
                </c:pt>
                <c:pt idx="67">
                  <c:v>2457</c:v>
                </c:pt>
                <c:pt idx="68">
                  <c:v>3269</c:v>
                </c:pt>
                <c:pt idx="69">
                  <c:v>2129</c:v>
                </c:pt>
                <c:pt idx="70">
                  <c:v>1794</c:v>
                </c:pt>
                <c:pt idx="71">
                  <c:v>2951</c:v>
                </c:pt>
                <c:pt idx="72">
                  <c:v>2996</c:v>
                </c:pt>
                <c:pt idx="73">
                  <c:v>2323</c:v>
                </c:pt>
                <c:pt idx="74">
                  <c:v>3102</c:v>
                </c:pt>
                <c:pt idx="75">
                  <c:v>2261</c:v>
                </c:pt>
                <c:pt idx="76">
                  <c:v>2234</c:v>
                </c:pt>
                <c:pt idx="77">
                  <c:v>1534</c:v>
                </c:pt>
                <c:pt idx="78">
                  <c:v>2079</c:v>
                </c:pt>
                <c:pt idx="79">
                  <c:v>2006</c:v>
                </c:pt>
                <c:pt idx="80">
                  <c:v>2368</c:v>
                </c:pt>
                <c:pt idx="81">
                  <c:v>2503</c:v>
                </c:pt>
                <c:pt idx="82">
                  <c:v>2354</c:v>
                </c:pt>
                <c:pt idx="83">
                  <c:v>2393</c:v>
                </c:pt>
                <c:pt idx="84">
                  <c:v>2510</c:v>
                </c:pt>
                <c:pt idx="85">
                  <c:v>2132</c:v>
                </c:pt>
                <c:pt idx="86">
                  <c:v>2942</c:v>
                </c:pt>
                <c:pt idx="87">
                  <c:v>2303</c:v>
                </c:pt>
                <c:pt idx="88">
                  <c:v>2536</c:v>
                </c:pt>
                <c:pt idx="89">
                  <c:v>2697</c:v>
                </c:pt>
                <c:pt idx="90">
                  <c:v>1525</c:v>
                </c:pt>
                <c:pt idx="91">
                  <c:v>1955</c:v>
                </c:pt>
                <c:pt idx="92">
                  <c:v>2433</c:v>
                </c:pt>
                <c:pt idx="93">
                  <c:v>2107</c:v>
                </c:pt>
                <c:pt idx="94">
                  <c:v>2448</c:v>
                </c:pt>
                <c:pt idx="95">
                  <c:v>2153</c:v>
                </c:pt>
                <c:pt idx="96">
                  <c:v>2909</c:v>
                </c:pt>
                <c:pt idx="97">
                  <c:v>2068</c:v>
                </c:pt>
                <c:pt idx="98">
                  <c:v>1734</c:v>
                </c:pt>
                <c:pt idx="99">
                  <c:v>2220</c:v>
                </c:pt>
                <c:pt idx="100">
                  <c:v>2414</c:v>
                </c:pt>
                <c:pt idx="101">
                  <c:v>2816</c:v>
                </c:pt>
                <c:pt idx="102">
                  <c:v>2589</c:v>
                </c:pt>
                <c:pt idx="103">
                  <c:v>2018</c:v>
                </c:pt>
                <c:pt idx="104">
                  <c:v>1543</c:v>
                </c:pt>
                <c:pt idx="105">
                  <c:v>2355</c:v>
                </c:pt>
                <c:pt idx="106">
                  <c:v>2630</c:v>
                </c:pt>
                <c:pt idx="107">
                  <c:v>2523</c:v>
                </c:pt>
                <c:pt idx="108">
                  <c:v>2458</c:v>
                </c:pt>
                <c:pt idx="109">
                  <c:v>2961</c:v>
                </c:pt>
                <c:pt idx="110">
                  <c:v>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09-4F34-9B04-DA1B7DBD62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386719"/>
        <c:axId val="1270381919"/>
      </c:scatterChart>
      <c:valAx>
        <c:axId val="1270386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70381919"/>
        <c:crosses val="autoZero"/>
        <c:crossBetween val="midCat"/>
      </c:valAx>
      <c:valAx>
        <c:axId val="127038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70386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Plot'!$F$6:$F$51</c:f>
              <c:numCache>
                <c:formatCode>_(* #,##0.00_);_(* \(#,##0.00\);_(* "-"??_);_(@_)</c:formatCode>
                <c:ptCount val="46"/>
                <c:pt idx="0">
                  <c:v>32.5</c:v>
                </c:pt>
                <c:pt idx="1">
                  <c:v>32.75</c:v>
                </c:pt>
                <c:pt idx="2">
                  <c:v>33</c:v>
                </c:pt>
                <c:pt idx="3">
                  <c:v>33.25</c:v>
                </c:pt>
                <c:pt idx="4">
                  <c:v>33.5</c:v>
                </c:pt>
                <c:pt idx="5">
                  <c:v>33.75</c:v>
                </c:pt>
                <c:pt idx="6">
                  <c:v>34</c:v>
                </c:pt>
                <c:pt idx="7">
                  <c:v>34.25</c:v>
                </c:pt>
                <c:pt idx="8">
                  <c:v>34.5</c:v>
                </c:pt>
                <c:pt idx="9">
                  <c:v>34.75</c:v>
                </c:pt>
                <c:pt idx="10">
                  <c:v>35</c:v>
                </c:pt>
                <c:pt idx="11">
                  <c:v>35.25</c:v>
                </c:pt>
                <c:pt idx="12">
                  <c:v>35.5</c:v>
                </c:pt>
                <c:pt idx="13">
                  <c:v>35.75</c:v>
                </c:pt>
                <c:pt idx="14">
                  <c:v>36</c:v>
                </c:pt>
                <c:pt idx="15">
                  <c:v>36.25</c:v>
                </c:pt>
                <c:pt idx="16">
                  <c:v>36.5</c:v>
                </c:pt>
                <c:pt idx="17">
                  <c:v>36.75</c:v>
                </c:pt>
                <c:pt idx="18">
                  <c:v>37</c:v>
                </c:pt>
                <c:pt idx="19">
                  <c:v>37.25</c:v>
                </c:pt>
                <c:pt idx="20">
                  <c:v>37.5</c:v>
                </c:pt>
                <c:pt idx="21">
                  <c:v>37.75</c:v>
                </c:pt>
                <c:pt idx="22">
                  <c:v>38</c:v>
                </c:pt>
                <c:pt idx="23">
                  <c:v>38.25</c:v>
                </c:pt>
                <c:pt idx="24">
                  <c:v>38.5</c:v>
                </c:pt>
                <c:pt idx="25">
                  <c:v>38.75</c:v>
                </c:pt>
                <c:pt idx="26">
                  <c:v>39</c:v>
                </c:pt>
                <c:pt idx="27">
                  <c:v>39.25</c:v>
                </c:pt>
                <c:pt idx="28">
                  <c:v>39.5</c:v>
                </c:pt>
                <c:pt idx="29">
                  <c:v>39.75</c:v>
                </c:pt>
                <c:pt idx="30">
                  <c:v>40</c:v>
                </c:pt>
                <c:pt idx="31">
                  <c:v>40.25</c:v>
                </c:pt>
                <c:pt idx="32">
                  <c:v>40.5</c:v>
                </c:pt>
                <c:pt idx="33">
                  <c:v>40.75</c:v>
                </c:pt>
                <c:pt idx="34">
                  <c:v>41</c:v>
                </c:pt>
                <c:pt idx="35">
                  <c:v>41.25</c:v>
                </c:pt>
                <c:pt idx="36">
                  <c:v>41.5</c:v>
                </c:pt>
                <c:pt idx="37">
                  <c:v>41.75</c:v>
                </c:pt>
                <c:pt idx="38">
                  <c:v>42</c:v>
                </c:pt>
                <c:pt idx="39">
                  <c:v>42.25</c:v>
                </c:pt>
                <c:pt idx="40">
                  <c:v>42.5</c:v>
                </c:pt>
                <c:pt idx="41">
                  <c:v>42.75</c:v>
                </c:pt>
                <c:pt idx="42">
                  <c:v>43</c:v>
                </c:pt>
                <c:pt idx="43">
                  <c:v>43.25</c:v>
                </c:pt>
                <c:pt idx="44">
                  <c:v>43.5</c:v>
                </c:pt>
                <c:pt idx="45">
                  <c:v>43.75</c:v>
                </c:pt>
              </c:numCache>
            </c:numRef>
          </c:xVal>
          <c:yVal>
            <c:numRef>
              <c:f>'Scatter Plot'!$G$6:$G$51</c:f>
              <c:numCache>
                <c:formatCode>_(* #,##0.00_);_(* \(#,##0.00\);_(* "-"??_);_(@_)</c:formatCode>
                <c:ptCount val="46"/>
                <c:pt idx="0">
                  <c:v>2771.7002100837767</c:v>
                </c:pt>
                <c:pt idx="1">
                  <c:v>2759.1011046537969</c:v>
                </c:pt>
                <c:pt idx="2">
                  <c:v>2746.5019992238167</c:v>
                </c:pt>
                <c:pt idx="3">
                  <c:v>2733.9028937938365</c:v>
                </c:pt>
                <c:pt idx="4">
                  <c:v>2721.3037883638563</c:v>
                </c:pt>
                <c:pt idx="5">
                  <c:v>2708.7046829338765</c:v>
                </c:pt>
                <c:pt idx="6">
                  <c:v>2696.1055775038967</c:v>
                </c:pt>
                <c:pt idx="7">
                  <c:v>2683.5064720739165</c:v>
                </c:pt>
                <c:pt idx="8">
                  <c:v>2670.9073666439363</c:v>
                </c:pt>
                <c:pt idx="9">
                  <c:v>2658.308261213956</c:v>
                </c:pt>
                <c:pt idx="10">
                  <c:v>2645.7091557839763</c:v>
                </c:pt>
                <c:pt idx="11">
                  <c:v>2633.1100503539965</c:v>
                </c:pt>
                <c:pt idx="12">
                  <c:v>2620.5109449240163</c:v>
                </c:pt>
                <c:pt idx="13">
                  <c:v>2607.911839494036</c:v>
                </c:pt>
                <c:pt idx="14">
                  <c:v>2595.3127340640563</c:v>
                </c:pt>
                <c:pt idx="15">
                  <c:v>2582.713628634076</c:v>
                </c:pt>
                <c:pt idx="16">
                  <c:v>2570.1145232040963</c:v>
                </c:pt>
                <c:pt idx="17">
                  <c:v>2557.515417774116</c:v>
                </c:pt>
                <c:pt idx="18">
                  <c:v>2544.9163123441358</c:v>
                </c:pt>
                <c:pt idx="19">
                  <c:v>2532.317206914156</c:v>
                </c:pt>
                <c:pt idx="20">
                  <c:v>2519.7181014841763</c:v>
                </c:pt>
                <c:pt idx="21">
                  <c:v>2507.118996054196</c:v>
                </c:pt>
                <c:pt idx="22">
                  <c:v>2494.5198906242158</c:v>
                </c:pt>
                <c:pt idx="23">
                  <c:v>2481.9207851942356</c:v>
                </c:pt>
                <c:pt idx="24">
                  <c:v>2469.3216797642558</c:v>
                </c:pt>
                <c:pt idx="25">
                  <c:v>2456.722574334276</c:v>
                </c:pt>
                <c:pt idx="26">
                  <c:v>2444.1234689042958</c:v>
                </c:pt>
                <c:pt idx="27">
                  <c:v>2431.5243634743156</c:v>
                </c:pt>
                <c:pt idx="28">
                  <c:v>2418.9252580443354</c:v>
                </c:pt>
                <c:pt idx="29">
                  <c:v>2406.3261526143556</c:v>
                </c:pt>
                <c:pt idx="30">
                  <c:v>2393.7270471843758</c:v>
                </c:pt>
                <c:pt idx="31">
                  <c:v>2381.1279417543956</c:v>
                </c:pt>
                <c:pt idx="32">
                  <c:v>2368.5288363244154</c:v>
                </c:pt>
                <c:pt idx="33">
                  <c:v>2355.9297308944356</c:v>
                </c:pt>
                <c:pt idx="34">
                  <c:v>2343.3306254644554</c:v>
                </c:pt>
                <c:pt idx="35">
                  <c:v>2330.7315200344756</c:v>
                </c:pt>
                <c:pt idx="36">
                  <c:v>2318.1324146044954</c:v>
                </c:pt>
                <c:pt idx="37">
                  <c:v>2305.5333091745151</c:v>
                </c:pt>
                <c:pt idx="38">
                  <c:v>2292.9342037445354</c:v>
                </c:pt>
                <c:pt idx="39">
                  <c:v>2280.3350983145551</c:v>
                </c:pt>
                <c:pt idx="40">
                  <c:v>2267.7359928845754</c:v>
                </c:pt>
                <c:pt idx="41">
                  <c:v>2255.1368874545951</c:v>
                </c:pt>
                <c:pt idx="42">
                  <c:v>2242.5377820246154</c:v>
                </c:pt>
                <c:pt idx="43">
                  <c:v>2229.9386765946351</c:v>
                </c:pt>
                <c:pt idx="44">
                  <c:v>2217.3395711646549</c:v>
                </c:pt>
                <c:pt idx="45">
                  <c:v>2204.7404657346751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A2-4ADD-9227-A44345E1C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95679"/>
        <c:axId val="1269872159"/>
      </c:scatterChart>
      <c:valAx>
        <c:axId val="126989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72159"/>
        <c:crosses val="autoZero"/>
        <c:crossBetween val="midCat"/>
      </c:valAx>
      <c:valAx>
        <c:axId val="1269872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9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Weekday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1614173228346"/>
                  <c:y val="-0.10745464661390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Boxplot!$T$4:$T$114</c:f>
              <c:numCache>
                <c:formatCode>General</c:formatCode>
                <c:ptCount val="111"/>
                <c:pt idx="1">
                  <c:v>34</c:v>
                </c:pt>
                <c:pt idx="2">
                  <c:v>33.5</c:v>
                </c:pt>
                <c:pt idx="3">
                  <c:v>32.5</c:v>
                </c:pt>
                <c:pt idx="4">
                  <c:v>33.5</c:v>
                </c:pt>
                <c:pt idx="5">
                  <c:v>34.5</c:v>
                </c:pt>
                <c:pt idx="8">
                  <c:v>35.75</c:v>
                </c:pt>
                <c:pt idx="9">
                  <c:v>35.5</c:v>
                </c:pt>
                <c:pt idx="10">
                  <c:v>34.75</c:v>
                </c:pt>
                <c:pt idx="11">
                  <c:v>35.75</c:v>
                </c:pt>
                <c:pt idx="12">
                  <c:v>35.75</c:v>
                </c:pt>
                <c:pt idx="15">
                  <c:v>34.75</c:v>
                </c:pt>
                <c:pt idx="16">
                  <c:v>35.5</c:v>
                </c:pt>
                <c:pt idx="17">
                  <c:v>35</c:v>
                </c:pt>
                <c:pt idx="18">
                  <c:v>36</c:v>
                </c:pt>
                <c:pt idx="19">
                  <c:v>36.5</c:v>
                </c:pt>
                <c:pt idx="22">
                  <c:v>35</c:v>
                </c:pt>
                <c:pt idx="23">
                  <c:v>35</c:v>
                </c:pt>
                <c:pt idx="24">
                  <c:v>35.25</c:v>
                </c:pt>
                <c:pt idx="25">
                  <c:v>35</c:v>
                </c:pt>
                <c:pt idx="26">
                  <c:v>35.25</c:v>
                </c:pt>
                <c:pt idx="29">
                  <c:v>35.75</c:v>
                </c:pt>
                <c:pt idx="30">
                  <c:v>35</c:v>
                </c:pt>
                <c:pt idx="31">
                  <c:v>35</c:v>
                </c:pt>
                <c:pt idx="32">
                  <c:v>35.5</c:v>
                </c:pt>
                <c:pt idx="33">
                  <c:v>36.5</c:v>
                </c:pt>
                <c:pt idx="36">
                  <c:v>37.25</c:v>
                </c:pt>
                <c:pt idx="37">
                  <c:v>36.75</c:v>
                </c:pt>
                <c:pt idx="38">
                  <c:v>37.25</c:v>
                </c:pt>
                <c:pt idx="39">
                  <c:v>36.75</c:v>
                </c:pt>
                <c:pt idx="40">
                  <c:v>37.5</c:v>
                </c:pt>
                <c:pt idx="43">
                  <c:v>38.25</c:v>
                </c:pt>
                <c:pt idx="44">
                  <c:v>37.5</c:v>
                </c:pt>
                <c:pt idx="45">
                  <c:v>38</c:v>
                </c:pt>
                <c:pt idx="46">
                  <c:v>38.25</c:v>
                </c:pt>
                <c:pt idx="47">
                  <c:v>37.25</c:v>
                </c:pt>
                <c:pt idx="50">
                  <c:v>37.25</c:v>
                </c:pt>
                <c:pt idx="51">
                  <c:v>36.75</c:v>
                </c:pt>
                <c:pt idx="52">
                  <c:v>35.75</c:v>
                </c:pt>
                <c:pt idx="53">
                  <c:v>35.5</c:v>
                </c:pt>
                <c:pt idx="54">
                  <c:v>35.75</c:v>
                </c:pt>
                <c:pt idx="57">
                  <c:v>36.75</c:v>
                </c:pt>
                <c:pt idx="58">
                  <c:v>37.25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4">
                  <c:v>37.5</c:v>
                </c:pt>
                <c:pt idx="65">
                  <c:v>38.25</c:v>
                </c:pt>
                <c:pt idx="66">
                  <c:v>39</c:v>
                </c:pt>
                <c:pt idx="67">
                  <c:v>39</c:v>
                </c:pt>
                <c:pt idx="68">
                  <c:v>38.5</c:v>
                </c:pt>
                <c:pt idx="71">
                  <c:v>40</c:v>
                </c:pt>
                <c:pt idx="72">
                  <c:v>40.5</c:v>
                </c:pt>
                <c:pt idx="73">
                  <c:v>41.5</c:v>
                </c:pt>
                <c:pt idx="74">
                  <c:v>41</c:v>
                </c:pt>
                <c:pt idx="75">
                  <c:v>40.75</c:v>
                </c:pt>
                <c:pt idx="78">
                  <c:v>41</c:v>
                </c:pt>
                <c:pt idx="79">
                  <c:v>40.25</c:v>
                </c:pt>
                <c:pt idx="80">
                  <c:v>40.5</c:v>
                </c:pt>
                <c:pt idx="81">
                  <c:v>39.5</c:v>
                </c:pt>
                <c:pt idx="82">
                  <c:v>40.25</c:v>
                </c:pt>
                <c:pt idx="85">
                  <c:v>39.25</c:v>
                </c:pt>
                <c:pt idx="86">
                  <c:v>40.25</c:v>
                </c:pt>
                <c:pt idx="87">
                  <c:v>40.75</c:v>
                </c:pt>
                <c:pt idx="88">
                  <c:v>41.5</c:v>
                </c:pt>
                <c:pt idx="89">
                  <c:v>42.25</c:v>
                </c:pt>
                <c:pt idx="92">
                  <c:v>42.75</c:v>
                </c:pt>
                <c:pt idx="93">
                  <c:v>42.5</c:v>
                </c:pt>
                <c:pt idx="94">
                  <c:v>43.5</c:v>
                </c:pt>
                <c:pt idx="95">
                  <c:v>43.75</c:v>
                </c:pt>
                <c:pt idx="96">
                  <c:v>43.5</c:v>
                </c:pt>
                <c:pt idx="99">
                  <c:v>43</c:v>
                </c:pt>
                <c:pt idx="100">
                  <c:v>42.75</c:v>
                </c:pt>
                <c:pt idx="101">
                  <c:v>42.25</c:v>
                </c:pt>
                <c:pt idx="102">
                  <c:v>42.5</c:v>
                </c:pt>
                <c:pt idx="103">
                  <c:v>43.5</c:v>
                </c:pt>
                <c:pt idx="106">
                  <c:v>41.75</c:v>
                </c:pt>
                <c:pt idx="107">
                  <c:v>41.75</c:v>
                </c:pt>
                <c:pt idx="108">
                  <c:v>41.5</c:v>
                </c:pt>
                <c:pt idx="109">
                  <c:v>40.75</c:v>
                </c:pt>
                <c:pt idx="110">
                  <c:v>39.75</c:v>
                </c:pt>
              </c:numCache>
            </c:numRef>
          </c:xVal>
          <c:yVal>
            <c:numRef>
              <c:f>Boxplot!$S$3:$S$114</c:f>
              <c:numCache>
                <c:formatCode>General</c:formatCode>
                <c:ptCount val="112"/>
                <c:pt idx="0">
                  <c:v>0</c:v>
                </c:pt>
                <c:pt idx="2">
                  <c:v>3075</c:v>
                </c:pt>
                <c:pt idx="3">
                  <c:v>3438</c:v>
                </c:pt>
                <c:pt idx="4">
                  <c:v>3505</c:v>
                </c:pt>
                <c:pt idx="5">
                  <c:v>2677</c:v>
                </c:pt>
                <c:pt idx="6">
                  <c:v>2248</c:v>
                </c:pt>
                <c:pt idx="9">
                  <c:v>3179</c:v>
                </c:pt>
                <c:pt idx="10">
                  <c:v>3139</c:v>
                </c:pt>
                <c:pt idx="11">
                  <c:v>2234</c:v>
                </c:pt>
                <c:pt idx="12">
                  <c:v>2333</c:v>
                </c:pt>
                <c:pt idx="13">
                  <c:v>2073</c:v>
                </c:pt>
                <c:pt idx="16">
                  <c:v>3403</c:v>
                </c:pt>
                <c:pt idx="17">
                  <c:v>2269</c:v>
                </c:pt>
                <c:pt idx="18">
                  <c:v>3200</c:v>
                </c:pt>
                <c:pt idx="19">
                  <c:v>3226</c:v>
                </c:pt>
                <c:pt idx="20">
                  <c:v>2519</c:v>
                </c:pt>
                <c:pt idx="23">
                  <c:v>3236</c:v>
                </c:pt>
                <c:pt idx="24">
                  <c:v>2958</c:v>
                </c:pt>
                <c:pt idx="25">
                  <c:v>2814</c:v>
                </c:pt>
                <c:pt idx="26">
                  <c:v>2369</c:v>
                </c:pt>
                <c:pt idx="27">
                  <c:v>2785</c:v>
                </c:pt>
                <c:pt idx="30">
                  <c:v>2957</c:v>
                </c:pt>
                <c:pt idx="31">
                  <c:v>3162</c:v>
                </c:pt>
                <c:pt idx="32">
                  <c:v>2246</c:v>
                </c:pt>
                <c:pt idx="33">
                  <c:v>2997</c:v>
                </c:pt>
                <c:pt idx="34">
                  <c:v>2426</c:v>
                </c:pt>
                <c:pt idx="37">
                  <c:v>3111</c:v>
                </c:pt>
                <c:pt idx="38">
                  <c:v>2590</c:v>
                </c:pt>
                <c:pt idx="39">
                  <c:v>2491</c:v>
                </c:pt>
                <c:pt idx="40">
                  <c:v>3247</c:v>
                </c:pt>
                <c:pt idx="41">
                  <c:v>3079</c:v>
                </c:pt>
                <c:pt idx="44">
                  <c:v>2404</c:v>
                </c:pt>
                <c:pt idx="45">
                  <c:v>3061</c:v>
                </c:pt>
                <c:pt idx="46">
                  <c:v>2380</c:v>
                </c:pt>
                <c:pt idx="47">
                  <c:v>2026</c:v>
                </c:pt>
                <c:pt idx="48">
                  <c:v>2178</c:v>
                </c:pt>
                <c:pt idx="51">
                  <c:v>2523</c:v>
                </c:pt>
                <c:pt idx="52">
                  <c:v>2309</c:v>
                </c:pt>
                <c:pt idx="53">
                  <c:v>3442</c:v>
                </c:pt>
                <c:pt idx="54">
                  <c:v>2794</c:v>
                </c:pt>
                <c:pt idx="55">
                  <c:v>2226</c:v>
                </c:pt>
                <c:pt idx="58">
                  <c:v>2391</c:v>
                </c:pt>
                <c:pt idx="59">
                  <c:v>3202</c:v>
                </c:pt>
                <c:pt idx="60">
                  <c:v>2568</c:v>
                </c:pt>
                <c:pt idx="61">
                  <c:v>3307</c:v>
                </c:pt>
                <c:pt idx="62">
                  <c:v>2025</c:v>
                </c:pt>
                <c:pt idx="65">
                  <c:v>2357</c:v>
                </c:pt>
                <c:pt idx="66">
                  <c:v>2235</c:v>
                </c:pt>
                <c:pt idx="67">
                  <c:v>3195</c:v>
                </c:pt>
                <c:pt idx="68">
                  <c:v>2457</c:v>
                </c:pt>
                <c:pt idx="69">
                  <c:v>3269</c:v>
                </c:pt>
                <c:pt idx="72">
                  <c:v>2951</c:v>
                </c:pt>
                <c:pt idx="73">
                  <c:v>2996</c:v>
                </c:pt>
                <c:pt idx="74">
                  <c:v>2323</c:v>
                </c:pt>
                <c:pt idx="75">
                  <c:v>3102</c:v>
                </c:pt>
                <c:pt idx="76">
                  <c:v>2261</c:v>
                </c:pt>
                <c:pt idx="79">
                  <c:v>2079</c:v>
                </c:pt>
                <c:pt idx="80">
                  <c:v>2006</c:v>
                </c:pt>
                <c:pt idx="81">
                  <c:v>2368</c:v>
                </c:pt>
                <c:pt idx="82">
                  <c:v>2503</c:v>
                </c:pt>
                <c:pt idx="83">
                  <c:v>2354</c:v>
                </c:pt>
                <c:pt idx="86">
                  <c:v>2132</c:v>
                </c:pt>
                <c:pt idx="87">
                  <c:v>2942</c:v>
                </c:pt>
                <c:pt idx="88">
                  <c:v>2303</c:v>
                </c:pt>
                <c:pt idx="89">
                  <c:v>2536</c:v>
                </c:pt>
                <c:pt idx="90">
                  <c:v>2697</c:v>
                </c:pt>
                <c:pt idx="93">
                  <c:v>2433</c:v>
                </c:pt>
                <c:pt idx="94">
                  <c:v>2107</c:v>
                </c:pt>
                <c:pt idx="95">
                  <c:v>2448</c:v>
                </c:pt>
                <c:pt idx="96">
                  <c:v>2153</c:v>
                </c:pt>
                <c:pt idx="97">
                  <c:v>2909</c:v>
                </c:pt>
                <c:pt idx="100">
                  <c:v>2220</c:v>
                </c:pt>
                <c:pt idx="101">
                  <c:v>2414</c:v>
                </c:pt>
                <c:pt idx="102">
                  <c:v>2816</c:v>
                </c:pt>
                <c:pt idx="103">
                  <c:v>2589</c:v>
                </c:pt>
                <c:pt idx="104">
                  <c:v>2018</c:v>
                </c:pt>
                <c:pt idx="107">
                  <c:v>2630</c:v>
                </c:pt>
                <c:pt idx="108">
                  <c:v>2523</c:v>
                </c:pt>
                <c:pt idx="109">
                  <c:v>2458</c:v>
                </c:pt>
                <c:pt idx="110">
                  <c:v>2961</c:v>
                </c:pt>
                <c:pt idx="111">
                  <c:v>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6C-439E-9A32-F58B6FB51A4A}"/>
            </c:ext>
          </c:extLst>
        </c:ser>
        <c:ser>
          <c:idx val="1"/>
          <c:order val="1"/>
          <c:tx>
            <c:v>Weekend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106080489938762E-2"/>
                  <c:y val="0.142634758077795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Boxplot!$R$4:$R$114</c:f>
              <c:numCache>
                <c:formatCode>General</c:formatCode>
                <c:ptCount val="111"/>
                <c:pt idx="0">
                  <c:v>35</c:v>
                </c:pt>
                <c:pt idx="6">
                  <c:v>35</c:v>
                </c:pt>
                <c:pt idx="7">
                  <c:v>35.5</c:v>
                </c:pt>
                <c:pt idx="13">
                  <c:v>35.25</c:v>
                </c:pt>
                <c:pt idx="14">
                  <c:v>34.25</c:v>
                </c:pt>
                <c:pt idx="20">
                  <c:v>35.75</c:v>
                </c:pt>
                <c:pt idx="21">
                  <c:v>35.5</c:v>
                </c:pt>
                <c:pt idx="27">
                  <c:v>35.5</c:v>
                </c:pt>
                <c:pt idx="28">
                  <c:v>36.25</c:v>
                </c:pt>
                <c:pt idx="34">
                  <c:v>36.25</c:v>
                </c:pt>
                <c:pt idx="35">
                  <c:v>37.25</c:v>
                </c:pt>
                <c:pt idx="41">
                  <c:v>36.5</c:v>
                </c:pt>
                <c:pt idx="42">
                  <c:v>37.25</c:v>
                </c:pt>
                <c:pt idx="48">
                  <c:v>38.25</c:v>
                </c:pt>
                <c:pt idx="49">
                  <c:v>37.5</c:v>
                </c:pt>
                <c:pt idx="55">
                  <c:v>35.75</c:v>
                </c:pt>
                <c:pt idx="56">
                  <c:v>36.75</c:v>
                </c:pt>
                <c:pt idx="62">
                  <c:v>39</c:v>
                </c:pt>
                <c:pt idx="63">
                  <c:v>38.5</c:v>
                </c:pt>
                <c:pt idx="69">
                  <c:v>38.25</c:v>
                </c:pt>
                <c:pt idx="70">
                  <c:v>39.25</c:v>
                </c:pt>
                <c:pt idx="76">
                  <c:v>41</c:v>
                </c:pt>
                <c:pt idx="77">
                  <c:v>40.5</c:v>
                </c:pt>
                <c:pt idx="83">
                  <c:v>39.5</c:v>
                </c:pt>
                <c:pt idx="84">
                  <c:v>38.75</c:v>
                </c:pt>
                <c:pt idx="90">
                  <c:v>42.5</c:v>
                </c:pt>
                <c:pt idx="91">
                  <c:v>43</c:v>
                </c:pt>
                <c:pt idx="97">
                  <c:v>42.75</c:v>
                </c:pt>
                <c:pt idx="98">
                  <c:v>43.75</c:v>
                </c:pt>
                <c:pt idx="104">
                  <c:v>43</c:v>
                </c:pt>
                <c:pt idx="105">
                  <c:v>42.25</c:v>
                </c:pt>
              </c:numCache>
            </c:numRef>
          </c:xVal>
          <c:yVal>
            <c:numRef>
              <c:f>Boxplot!$Q$4:$Q$114</c:f>
              <c:numCache>
                <c:formatCode>General</c:formatCode>
                <c:ptCount val="111"/>
                <c:pt idx="0">
                  <c:v>2016</c:v>
                </c:pt>
                <c:pt idx="6">
                  <c:v>2207</c:v>
                </c:pt>
                <c:pt idx="7">
                  <c:v>1713</c:v>
                </c:pt>
                <c:pt idx="13">
                  <c:v>2083</c:v>
                </c:pt>
                <c:pt idx="14">
                  <c:v>2351</c:v>
                </c:pt>
                <c:pt idx="20">
                  <c:v>2465</c:v>
                </c:pt>
                <c:pt idx="21">
                  <c:v>1717</c:v>
                </c:pt>
                <c:pt idx="27">
                  <c:v>2540</c:v>
                </c:pt>
                <c:pt idx="28">
                  <c:v>2033</c:v>
                </c:pt>
                <c:pt idx="34">
                  <c:v>1867</c:v>
                </c:pt>
                <c:pt idx="35">
                  <c:v>1974</c:v>
                </c:pt>
                <c:pt idx="41">
                  <c:v>2671</c:v>
                </c:pt>
                <c:pt idx="42">
                  <c:v>1842</c:v>
                </c:pt>
                <c:pt idx="48">
                  <c:v>2113</c:v>
                </c:pt>
                <c:pt idx="49">
                  <c:v>2300</c:v>
                </c:pt>
                <c:pt idx="55">
                  <c:v>2423</c:v>
                </c:pt>
                <c:pt idx="56">
                  <c:v>1893</c:v>
                </c:pt>
                <c:pt idx="62">
                  <c:v>1754</c:v>
                </c:pt>
                <c:pt idx="63">
                  <c:v>2130</c:v>
                </c:pt>
                <c:pt idx="69">
                  <c:v>2129</c:v>
                </c:pt>
                <c:pt idx="70">
                  <c:v>1794</c:v>
                </c:pt>
                <c:pt idx="76">
                  <c:v>2234</c:v>
                </c:pt>
                <c:pt idx="77">
                  <c:v>1534</c:v>
                </c:pt>
                <c:pt idx="83">
                  <c:v>2393</c:v>
                </c:pt>
                <c:pt idx="84">
                  <c:v>2510</c:v>
                </c:pt>
                <c:pt idx="90">
                  <c:v>1525</c:v>
                </c:pt>
                <c:pt idx="91">
                  <c:v>1955</c:v>
                </c:pt>
                <c:pt idx="97">
                  <c:v>2068</c:v>
                </c:pt>
                <c:pt idx="98">
                  <c:v>1734</c:v>
                </c:pt>
                <c:pt idx="104">
                  <c:v>1543</c:v>
                </c:pt>
                <c:pt idx="105">
                  <c:v>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6C-439E-9A32-F58B6FB51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74559"/>
        <c:axId val="1269885599"/>
      </c:scatterChart>
      <c:valAx>
        <c:axId val="12698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85599"/>
        <c:crosses val="autoZero"/>
        <c:crossBetween val="midCat"/>
      </c:valAx>
      <c:valAx>
        <c:axId val="12698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7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Weekday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>
                    <a:alpha val="93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0611614173228346"/>
                  <c:y val="-0.107454646613901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Boxplot!$T$4:$T$114</c:f>
              <c:numCache>
                <c:formatCode>General</c:formatCode>
                <c:ptCount val="111"/>
                <c:pt idx="1">
                  <c:v>34</c:v>
                </c:pt>
                <c:pt idx="2">
                  <c:v>33.5</c:v>
                </c:pt>
                <c:pt idx="3">
                  <c:v>32.5</c:v>
                </c:pt>
                <c:pt idx="4">
                  <c:v>33.5</c:v>
                </c:pt>
                <c:pt idx="5">
                  <c:v>34.5</c:v>
                </c:pt>
                <c:pt idx="8">
                  <c:v>35.75</c:v>
                </c:pt>
                <c:pt idx="9">
                  <c:v>35.5</c:v>
                </c:pt>
                <c:pt idx="10">
                  <c:v>34.75</c:v>
                </c:pt>
                <c:pt idx="11">
                  <c:v>35.75</c:v>
                </c:pt>
                <c:pt idx="12">
                  <c:v>35.75</c:v>
                </c:pt>
                <c:pt idx="15">
                  <c:v>34.75</c:v>
                </c:pt>
                <c:pt idx="16">
                  <c:v>35.5</c:v>
                </c:pt>
                <c:pt idx="17">
                  <c:v>35</c:v>
                </c:pt>
                <c:pt idx="18">
                  <c:v>36</c:v>
                </c:pt>
                <c:pt idx="19">
                  <c:v>36.5</c:v>
                </c:pt>
                <c:pt idx="22">
                  <c:v>35</c:v>
                </c:pt>
                <c:pt idx="23">
                  <c:v>35</c:v>
                </c:pt>
                <c:pt idx="24">
                  <c:v>35.25</c:v>
                </c:pt>
                <c:pt idx="25">
                  <c:v>35</c:v>
                </c:pt>
                <c:pt idx="26">
                  <c:v>35.25</c:v>
                </c:pt>
                <c:pt idx="29">
                  <c:v>35.75</c:v>
                </c:pt>
                <c:pt idx="30">
                  <c:v>35</c:v>
                </c:pt>
                <c:pt idx="31">
                  <c:v>35</c:v>
                </c:pt>
                <c:pt idx="32">
                  <c:v>35.5</c:v>
                </c:pt>
                <c:pt idx="33">
                  <c:v>36.5</c:v>
                </c:pt>
                <c:pt idx="36">
                  <c:v>37.25</c:v>
                </c:pt>
                <c:pt idx="37">
                  <c:v>36.75</c:v>
                </c:pt>
                <c:pt idx="38">
                  <c:v>37.25</c:v>
                </c:pt>
                <c:pt idx="39">
                  <c:v>36.75</c:v>
                </c:pt>
                <c:pt idx="40">
                  <c:v>37.5</c:v>
                </c:pt>
                <c:pt idx="43">
                  <c:v>38.25</c:v>
                </c:pt>
                <c:pt idx="44">
                  <c:v>37.5</c:v>
                </c:pt>
                <c:pt idx="45">
                  <c:v>38</c:v>
                </c:pt>
                <c:pt idx="46">
                  <c:v>38.25</c:v>
                </c:pt>
                <c:pt idx="47">
                  <c:v>37.25</c:v>
                </c:pt>
                <c:pt idx="50">
                  <c:v>37.25</c:v>
                </c:pt>
                <c:pt idx="51">
                  <c:v>36.75</c:v>
                </c:pt>
                <c:pt idx="52">
                  <c:v>35.75</c:v>
                </c:pt>
                <c:pt idx="53">
                  <c:v>35.5</c:v>
                </c:pt>
                <c:pt idx="54">
                  <c:v>35.75</c:v>
                </c:pt>
                <c:pt idx="57">
                  <c:v>36.75</c:v>
                </c:pt>
                <c:pt idx="58">
                  <c:v>37.25</c:v>
                </c:pt>
                <c:pt idx="59">
                  <c:v>38</c:v>
                </c:pt>
                <c:pt idx="60">
                  <c:v>38</c:v>
                </c:pt>
                <c:pt idx="61">
                  <c:v>39</c:v>
                </c:pt>
                <c:pt idx="64">
                  <c:v>37.5</c:v>
                </c:pt>
                <c:pt idx="65">
                  <c:v>38.25</c:v>
                </c:pt>
                <c:pt idx="66">
                  <c:v>39</c:v>
                </c:pt>
                <c:pt idx="67">
                  <c:v>39</c:v>
                </c:pt>
                <c:pt idx="68">
                  <c:v>38.5</c:v>
                </c:pt>
                <c:pt idx="71">
                  <c:v>40</c:v>
                </c:pt>
                <c:pt idx="72">
                  <c:v>40.5</c:v>
                </c:pt>
                <c:pt idx="73">
                  <c:v>41.5</c:v>
                </c:pt>
                <c:pt idx="74">
                  <c:v>41</c:v>
                </c:pt>
                <c:pt idx="75">
                  <c:v>40.75</c:v>
                </c:pt>
                <c:pt idx="78">
                  <c:v>41</c:v>
                </c:pt>
                <c:pt idx="79">
                  <c:v>40.25</c:v>
                </c:pt>
                <c:pt idx="80">
                  <c:v>40.5</c:v>
                </c:pt>
                <c:pt idx="81">
                  <c:v>39.5</c:v>
                </c:pt>
                <c:pt idx="82">
                  <c:v>40.25</c:v>
                </c:pt>
                <c:pt idx="85">
                  <c:v>39.25</c:v>
                </c:pt>
                <c:pt idx="86">
                  <c:v>40.25</c:v>
                </c:pt>
                <c:pt idx="87">
                  <c:v>40.75</c:v>
                </c:pt>
                <c:pt idx="88">
                  <c:v>41.5</c:v>
                </c:pt>
                <c:pt idx="89">
                  <c:v>42.25</c:v>
                </c:pt>
                <c:pt idx="92">
                  <c:v>42.75</c:v>
                </c:pt>
                <c:pt idx="93">
                  <c:v>42.5</c:v>
                </c:pt>
                <c:pt idx="94">
                  <c:v>43.5</c:v>
                </c:pt>
                <c:pt idx="95">
                  <c:v>43.75</c:v>
                </c:pt>
                <c:pt idx="96">
                  <c:v>43.5</c:v>
                </c:pt>
                <c:pt idx="99">
                  <c:v>43</c:v>
                </c:pt>
                <c:pt idx="100">
                  <c:v>42.75</c:v>
                </c:pt>
                <c:pt idx="101">
                  <c:v>42.25</c:v>
                </c:pt>
                <c:pt idx="102">
                  <c:v>42.5</c:v>
                </c:pt>
                <c:pt idx="103">
                  <c:v>43.5</c:v>
                </c:pt>
                <c:pt idx="106">
                  <c:v>41.75</c:v>
                </c:pt>
                <c:pt idx="107">
                  <c:v>41.75</c:v>
                </c:pt>
                <c:pt idx="108">
                  <c:v>41.5</c:v>
                </c:pt>
                <c:pt idx="109">
                  <c:v>40.75</c:v>
                </c:pt>
                <c:pt idx="110">
                  <c:v>39.75</c:v>
                </c:pt>
              </c:numCache>
            </c:numRef>
          </c:xVal>
          <c:yVal>
            <c:numRef>
              <c:f>Boxplot!$S$3:$S$114</c:f>
              <c:numCache>
                <c:formatCode>General</c:formatCode>
                <c:ptCount val="112"/>
                <c:pt idx="0">
                  <c:v>0</c:v>
                </c:pt>
                <c:pt idx="2">
                  <c:v>3075</c:v>
                </c:pt>
                <c:pt idx="3">
                  <c:v>3438</c:v>
                </c:pt>
                <c:pt idx="4">
                  <c:v>3505</c:v>
                </c:pt>
                <c:pt idx="5">
                  <c:v>2677</c:v>
                </c:pt>
                <c:pt idx="6">
                  <c:v>2248</c:v>
                </c:pt>
                <c:pt idx="9">
                  <c:v>3179</c:v>
                </c:pt>
                <c:pt idx="10">
                  <c:v>3139</c:v>
                </c:pt>
                <c:pt idx="11">
                  <c:v>2234</c:v>
                </c:pt>
                <c:pt idx="12">
                  <c:v>2333</c:v>
                </c:pt>
                <c:pt idx="13">
                  <c:v>2073</c:v>
                </c:pt>
                <c:pt idx="16">
                  <c:v>3403</c:v>
                </c:pt>
                <c:pt idx="17">
                  <c:v>2269</c:v>
                </c:pt>
                <c:pt idx="18">
                  <c:v>3200</c:v>
                </c:pt>
                <c:pt idx="19">
                  <c:v>3226</c:v>
                </c:pt>
                <c:pt idx="20">
                  <c:v>2519</c:v>
                </c:pt>
                <c:pt idx="23">
                  <c:v>3236</c:v>
                </c:pt>
                <c:pt idx="24">
                  <c:v>2958</c:v>
                </c:pt>
                <c:pt idx="25">
                  <c:v>2814</c:v>
                </c:pt>
                <c:pt idx="26">
                  <c:v>2369</c:v>
                </c:pt>
                <c:pt idx="27">
                  <c:v>2785</c:v>
                </c:pt>
                <c:pt idx="30">
                  <c:v>2957</c:v>
                </c:pt>
                <c:pt idx="31">
                  <c:v>3162</c:v>
                </c:pt>
                <c:pt idx="32">
                  <c:v>2246</c:v>
                </c:pt>
                <c:pt idx="33">
                  <c:v>2997</c:v>
                </c:pt>
                <c:pt idx="34">
                  <c:v>2426</c:v>
                </c:pt>
                <c:pt idx="37">
                  <c:v>3111</c:v>
                </c:pt>
                <c:pt idx="38">
                  <c:v>2590</c:v>
                </c:pt>
                <c:pt idx="39">
                  <c:v>2491</c:v>
                </c:pt>
                <c:pt idx="40">
                  <c:v>3247</c:v>
                </c:pt>
                <c:pt idx="41">
                  <c:v>3079</c:v>
                </c:pt>
                <c:pt idx="44">
                  <c:v>2404</c:v>
                </c:pt>
                <c:pt idx="45">
                  <c:v>3061</c:v>
                </c:pt>
                <c:pt idx="46">
                  <c:v>2380</c:v>
                </c:pt>
                <c:pt idx="47">
                  <c:v>2026</c:v>
                </c:pt>
                <c:pt idx="48">
                  <c:v>2178</c:v>
                </c:pt>
                <c:pt idx="51">
                  <c:v>2523</c:v>
                </c:pt>
                <c:pt idx="52">
                  <c:v>2309</c:v>
                </c:pt>
                <c:pt idx="53">
                  <c:v>3442</c:v>
                </c:pt>
                <c:pt idx="54">
                  <c:v>2794</c:v>
                </c:pt>
                <c:pt idx="55">
                  <c:v>2226</c:v>
                </c:pt>
                <c:pt idx="58">
                  <c:v>2391</c:v>
                </c:pt>
                <c:pt idx="59">
                  <c:v>3202</c:v>
                </c:pt>
                <c:pt idx="60">
                  <c:v>2568</c:v>
                </c:pt>
                <c:pt idx="61">
                  <c:v>3307</c:v>
                </c:pt>
                <c:pt idx="62">
                  <c:v>2025</c:v>
                </c:pt>
                <c:pt idx="65">
                  <c:v>2357</c:v>
                </c:pt>
                <c:pt idx="66">
                  <c:v>2235</c:v>
                </c:pt>
                <c:pt idx="67">
                  <c:v>3195</c:v>
                </c:pt>
                <c:pt idx="68">
                  <c:v>2457</c:v>
                </c:pt>
                <c:pt idx="69">
                  <c:v>3269</c:v>
                </c:pt>
                <c:pt idx="72">
                  <c:v>2951</c:v>
                </c:pt>
                <c:pt idx="73">
                  <c:v>2996</c:v>
                </c:pt>
                <c:pt idx="74">
                  <c:v>2323</c:v>
                </c:pt>
                <c:pt idx="75">
                  <c:v>3102</c:v>
                </c:pt>
                <c:pt idx="76">
                  <c:v>2261</c:v>
                </c:pt>
                <c:pt idx="79">
                  <c:v>2079</c:v>
                </c:pt>
                <c:pt idx="80">
                  <c:v>2006</c:v>
                </c:pt>
                <c:pt idx="81">
                  <c:v>2368</c:v>
                </c:pt>
                <c:pt idx="82">
                  <c:v>2503</c:v>
                </c:pt>
                <c:pt idx="83">
                  <c:v>2354</c:v>
                </c:pt>
                <c:pt idx="86">
                  <c:v>2132</c:v>
                </c:pt>
                <c:pt idx="87">
                  <c:v>2942</c:v>
                </c:pt>
                <c:pt idx="88">
                  <c:v>2303</c:v>
                </c:pt>
                <c:pt idx="89">
                  <c:v>2536</c:v>
                </c:pt>
                <c:pt idx="90">
                  <c:v>2697</c:v>
                </c:pt>
                <c:pt idx="93">
                  <c:v>2433</c:v>
                </c:pt>
                <c:pt idx="94">
                  <c:v>2107</c:v>
                </c:pt>
                <c:pt idx="95">
                  <c:v>2448</c:v>
                </c:pt>
                <c:pt idx="96">
                  <c:v>2153</c:v>
                </c:pt>
                <c:pt idx="97">
                  <c:v>2909</c:v>
                </c:pt>
                <c:pt idx="100">
                  <c:v>2220</c:v>
                </c:pt>
                <c:pt idx="101">
                  <c:v>2414</c:v>
                </c:pt>
                <c:pt idx="102">
                  <c:v>2816</c:v>
                </c:pt>
                <c:pt idx="103">
                  <c:v>2589</c:v>
                </c:pt>
                <c:pt idx="104">
                  <c:v>2018</c:v>
                </c:pt>
                <c:pt idx="107">
                  <c:v>2630</c:v>
                </c:pt>
                <c:pt idx="108">
                  <c:v>2523</c:v>
                </c:pt>
                <c:pt idx="109">
                  <c:v>2458</c:v>
                </c:pt>
                <c:pt idx="110">
                  <c:v>2961</c:v>
                </c:pt>
                <c:pt idx="111">
                  <c:v>2161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4D-404E-B7C2-D2B507B4E6C2}"/>
            </c:ext>
          </c:extLst>
        </c:ser>
        <c:ser>
          <c:idx val="1"/>
          <c:order val="1"/>
          <c:tx>
            <c:v>Weekend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1106080489938762E-2"/>
                  <c:y val="0.142634758077795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th-TH"/>
                </a:p>
              </c:txPr>
            </c:trendlineLbl>
          </c:trendline>
          <c:xVal>
            <c:numRef>
              <c:f>Boxplot!$R$4:$R$114</c:f>
              <c:numCache>
                <c:formatCode>General</c:formatCode>
                <c:ptCount val="111"/>
                <c:pt idx="0">
                  <c:v>35</c:v>
                </c:pt>
                <c:pt idx="6">
                  <c:v>35</c:v>
                </c:pt>
                <c:pt idx="7">
                  <c:v>35.5</c:v>
                </c:pt>
                <c:pt idx="13">
                  <c:v>35.25</c:v>
                </c:pt>
                <c:pt idx="14">
                  <c:v>34.25</c:v>
                </c:pt>
                <c:pt idx="20">
                  <c:v>35.75</c:v>
                </c:pt>
                <c:pt idx="21">
                  <c:v>35.5</c:v>
                </c:pt>
                <c:pt idx="27">
                  <c:v>35.5</c:v>
                </c:pt>
                <c:pt idx="28">
                  <c:v>36.25</c:v>
                </c:pt>
                <c:pt idx="34">
                  <c:v>36.25</c:v>
                </c:pt>
                <c:pt idx="35">
                  <c:v>37.25</c:v>
                </c:pt>
                <c:pt idx="41">
                  <c:v>36.5</c:v>
                </c:pt>
                <c:pt idx="42">
                  <c:v>37.25</c:v>
                </c:pt>
                <c:pt idx="48">
                  <c:v>38.25</c:v>
                </c:pt>
                <c:pt idx="49">
                  <c:v>37.5</c:v>
                </c:pt>
                <c:pt idx="55">
                  <c:v>35.75</c:v>
                </c:pt>
                <c:pt idx="56">
                  <c:v>36.75</c:v>
                </c:pt>
                <c:pt idx="62">
                  <c:v>39</c:v>
                </c:pt>
                <c:pt idx="63">
                  <c:v>38.5</c:v>
                </c:pt>
                <c:pt idx="69">
                  <c:v>38.25</c:v>
                </c:pt>
                <c:pt idx="70">
                  <c:v>39.25</c:v>
                </c:pt>
                <c:pt idx="76">
                  <c:v>41</c:v>
                </c:pt>
                <c:pt idx="77">
                  <c:v>40.5</c:v>
                </c:pt>
                <c:pt idx="83">
                  <c:v>39.5</c:v>
                </c:pt>
                <c:pt idx="84">
                  <c:v>38.75</c:v>
                </c:pt>
                <c:pt idx="90">
                  <c:v>42.5</c:v>
                </c:pt>
                <c:pt idx="91">
                  <c:v>43</c:v>
                </c:pt>
                <c:pt idx="97">
                  <c:v>42.75</c:v>
                </c:pt>
                <c:pt idx="98">
                  <c:v>43.75</c:v>
                </c:pt>
                <c:pt idx="104">
                  <c:v>43</c:v>
                </c:pt>
                <c:pt idx="105">
                  <c:v>42.25</c:v>
                </c:pt>
              </c:numCache>
            </c:numRef>
          </c:xVal>
          <c:yVal>
            <c:numRef>
              <c:f>Boxplot!$Q$4:$Q$114</c:f>
              <c:numCache>
                <c:formatCode>General</c:formatCode>
                <c:ptCount val="111"/>
                <c:pt idx="0">
                  <c:v>2016</c:v>
                </c:pt>
                <c:pt idx="6">
                  <c:v>2207</c:v>
                </c:pt>
                <c:pt idx="7">
                  <c:v>1713</c:v>
                </c:pt>
                <c:pt idx="13">
                  <c:v>2083</c:v>
                </c:pt>
                <c:pt idx="14">
                  <c:v>2351</c:v>
                </c:pt>
                <c:pt idx="20">
                  <c:v>2465</c:v>
                </c:pt>
                <c:pt idx="21">
                  <c:v>1717</c:v>
                </c:pt>
                <c:pt idx="27">
                  <c:v>2540</c:v>
                </c:pt>
                <c:pt idx="28">
                  <c:v>2033</c:v>
                </c:pt>
                <c:pt idx="34">
                  <c:v>1867</c:v>
                </c:pt>
                <c:pt idx="35">
                  <c:v>1974</c:v>
                </c:pt>
                <c:pt idx="41">
                  <c:v>2671</c:v>
                </c:pt>
                <c:pt idx="42">
                  <c:v>1842</c:v>
                </c:pt>
                <c:pt idx="48">
                  <c:v>2113</c:v>
                </c:pt>
                <c:pt idx="49">
                  <c:v>2300</c:v>
                </c:pt>
                <c:pt idx="55">
                  <c:v>2423</c:v>
                </c:pt>
                <c:pt idx="56">
                  <c:v>1893</c:v>
                </c:pt>
                <c:pt idx="62">
                  <c:v>1754</c:v>
                </c:pt>
                <c:pt idx="63">
                  <c:v>2130</c:v>
                </c:pt>
                <c:pt idx="69">
                  <c:v>2129</c:v>
                </c:pt>
                <c:pt idx="70">
                  <c:v>1794</c:v>
                </c:pt>
                <c:pt idx="76">
                  <c:v>2234</c:v>
                </c:pt>
                <c:pt idx="77">
                  <c:v>1534</c:v>
                </c:pt>
                <c:pt idx="83">
                  <c:v>2393</c:v>
                </c:pt>
                <c:pt idx="84">
                  <c:v>2510</c:v>
                </c:pt>
                <c:pt idx="90">
                  <c:v>1525</c:v>
                </c:pt>
                <c:pt idx="91">
                  <c:v>1955</c:v>
                </c:pt>
                <c:pt idx="97">
                  <c:v>2068</c:v>
                </c:pt>
                <c:pt idx="98">
                  <c:v>1734</c:v>
                </c:pt>
                <c:pt idx="104">
                  <c:v>1543</c:v>
                </c:pt>
                <c:pt idx="105">
                  <c:v>2355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74D-404E-B7C2-D2B507B4E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874559"/>
        <c:axId val="1269885599"/>
      </c:scatterChart>
      <c:valAx>
        <c:axId val="12698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Oil</a:t>
                </a:r>
                <a:r>
                  <a:rPr lang="en-US" baseline="0"/>
                  <a:t> price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85599"/>
        <c:crosses val="autoZero"/>
        <c:crossBetween val="midCat"/>
      </c:valAx>
      <c:valAx>
        <c:axId val="126988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th-T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126987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/>
    <cx:plotArea>
      <cx:plotAreaRegion>
        <cx:series layoutId="boxWhisker" uniqueId="{0590113B-1F21-450D-8FD4-E64BBABB99C6}">
          <cx:tx>
            <cx:txData>
              <cx:f>_xlchart.v1.0</cx:f>
              <cx:v>Weekend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50343391-65FC-4D7B-9C14-088A818CF279}">
          <cx:tx>
            <cx:txData>
              <cx:f>_xlchart.v1.2</cx:f>
              <cx:v>Weekday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219075</xdr:colOff>
      <xdr:row>4</xdr:row>
      <xdr:rowOff>47625</xdr:rowOff>
    </xdr:from>
    <xdr:to>
      <xdr:col>7</xdr:col>
      <xdr:colOff>409761</xdr:colOff>
      <xdr:row>7</xdr:row>
      <xdr:rowOff>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7B0D73-204E-234D-3192-937A0B4C6F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52875" y="771525"/>
          <a:ext cx="1562286" cy="49537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66675</xdr:colOff>
      <xdr:row>16</xdr:row>
      <xdr:rowOff>76201</xdr:rowOff>
    </xdr:from>
    <xdr:to>
      <xdr:col>12</xdr:col>
      <xdr:colOff>266700</xdr:colOff>
      <xdr:row>25</xdr:row>
      <xdr:rowOff>152652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322A12-C1F3-4D15-8B63-574074245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4550" y="2971801"/>
          <a:ext cx="3629025" cy="170522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7</xdr:col>
      <xdr:colOff>85726</xdr:colOff>
      <xdr:row>26</xdr:row>
      <xdr:rowOff>104775</xdr:rowOff>
    </xdr:from>
    <xdr:to>
      <xdr:col>10</xdr:col>
      <xdr:colOff>647700</xdr:colOff>
      <xdr:row>34</xdr:row>
      <xdr:rowOff>43368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5E3DE2-4E1D-9A92-1C34-A5E0E186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01" y="4810125"/>
          <a:ext cx="2619374" cy="138639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1</xdr:row>
      <xdr:rowOff>80962</xdr:rowOff>
    </xdr:from>
    <xdr:to>
      <xdr:col>11</xdr:col>
      <xdr:colOff>466725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A36135-8228-427E-BB0A-498856CFE2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21</xdr:row>
      <xdr:rowOff>100012</xdr:rowOff>
    </xdr:from>
    <xdr:to>
      <xdr:col>9</xdr:col>
      <xdr:colOff>171450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7F208-F194-47E4-9623-4808CC865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91440</xdr:colOff>
      <xdr:row>22</xdr:row>
      <xdr:rowOff>129540</xdr:rowOff>
    </xdr:from>
    <xdr:to>
      <xdr:col>13</xdr:col>
      <xdr:colOff>121920</xdr:colOff>
      <xdr:row>37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F71C92-056E-4C7C-BF0B-47073BA173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442912</xdr:colOff>
      <xdr:row>16</xdr:row>
      <xdr:rowOff>147637</xdr:rowOff>
    </xdr:from>
    <xdr:to>
      <xdr:col>19</xdr:col>
      <xdr:colOff>138112</xdr:colOff>
      <xdr:row>31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A182C-22F8-43B1-B7CC-C434981EB7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438150</xdr:colOff>
      <xdr:row>31</xdr:row>
      <xdr:rowOff>133350</xdr:rowOff>
    </xdr:from>
    <xdr:to>
      <xdr:col>19</xdr:col>
      <xdr:colOff>133350</xdr:colOff>
      <xdr:row>46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94431B-F629-4220-845F-AB2D2A43A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190500</xdr:colOff>
      <xdr:row>16</xdr:row>
      <xdr:rowOff>133350</xdr:rowOff>
    </xdr:from>
    <xdr:to>
      <xdr:col>26</xdr:col>
      <xdr:colOff>495300</xdr:colOff>
      <xdr:row>31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B24B59-8278-419C-BE8E-2C5C7303F7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190500</xdr:colOff>
      <xdr:row>31</xdr:row>
      <xdr:rowOff>142875</xdr:rowOff>
    </xdr:from>
    <xdr:to>
      <xdr:col>26</xdr:col>
      <xdr:colOff>495300</xdr:colOff>
      <xdr:row>46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A5CCC9E-4119-4210-A18A-720A14D27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</xdr:colOff>
      <xdr:row>12</xdr:row>
      <xdr:rowOff>89127</xdr:rowOff>
    </xdr:from>
    <xdr:to>
      <xdr:col>16</xdr:col>
      <xdr:colOff>33336</xdr:colOff>
      <xdr:row>27</xdr:row>
      <xdr:rowOff>151719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49BEB4-42A4-2307-40AD-05527E228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</xdr:col>
      <xdr:colOff>258535</xdr:colOff>
      <xdr:row>12</xdr:row>
      <xdr:rowOff>173746</xdr:rowOff>
    </xdr:from>
    <xdr:to>
      <xdr:col>21</xdr:col>
      <xdr:colOff>661987</xdr:colOff>
      <xdr:row>27</xdr:row>
      <xdr:rowOff>175533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9EEA6C-8C19-4DC5-B86D-015AF4D15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8964" y="2296460"/>
          <a:ext cx="3805237" cy="2655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109537</xdr:colOff>
      <xdr:row>0</xdr:row>
      <xdr:rowOff>176212</xdr:rowOff>
    </xdr:from>
    <xdr:to>
      <xdr:col>11</xdr:col>
      <xdr:colOff>280987</xdr:colOff>
      <xdr:row>15</xdr:row>
      <xdr:rowOff>61912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DCB530-1BDF-E58F-36D5-27D235AD2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385483</xdr:colOff>
      <xdr:row>4</xdr:row>
      <xdr:rowOff>24653</xdr:rowOff>
    </xdr:from>
    <xdr:to>
      <xdr:col>14</xdr:col>
      <xdr:colOff>667870</xdr:colOff>
      <xdr:row>19</xdr:row>
      <xdr:rowOff>78441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743614-6071-4A32-80A6-FAAA7D450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351864</xdr:colOff>
      <xdr:row>20</xdr:row>
      <xdr:rowOff>38100</xdr:rowOff>
    </xdr:from>
    <xdr:to>
      <xdr:col>14</xdr:col>
      <xdr:colOff>634251</xdr:colOff>
      <xdr:row>35</xdr:row>
      <xdr:rowOff>91888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9D4A56-6DAE-410C-9CF6-283E896C04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291194</xdr:colOff>
      <xdr:row>2</xdr:row>
      <xdr:rowOff>48986</xdr:rowOff>
    </xdr:from>
    <xdr:to>
      <xdr:col>13</xdr:col>
      <xdr:colOff>585109</xdr:colOff>
      <xdr:row>16</xdr:row>
      <xdr:rowOff>151632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8F9F3D-F95C-440A-88DC-1073D8E609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179293</xdr:rowOff>
    </xdr:from>
    <xdr:to>
      <xdr:col>15</xdr:col>
      <xdr:colOff>304800</xdr:colOff>
      <xdr:row>24</xdr:row>
      <xdr:rowOff>179293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A9C988C-8E42-461C-86A3-EE8A013D801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4950" y="541243"/>
              <a:ext cx="5105400" cy="3971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th-TH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106680</xdr:colOff>
      <xdr:row>1</xdr:row>
      <xdr:rowOff>175260</xdr:rowOff>
    </xdr:from>
    <xdr:to>
      <xdr:col>27</xdr:col>
      <xdr:colOff>411480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5124BF-9A2B-4FBF-9B73-28BC91B715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epExcel/Array%20Book/skilllane/advance-arra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hepExcel/Training/Course%20Content/Advance/Thep-Excel-Advance-Formula-2020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Range-intro"/>
      <sheetName val="Dynamic Range1"/>
      <sheetName val="Dynamic Range2"/>
      <sheetName val="Dynamic Range3"/>
      <sheetName val="Dynamic Range4"/>
      <sheetName val="Extract Data Non-Array"/>
      <sheetName val="Extract Data Non-Array2"/>
      <sheetName val="Extract Data Non-Array3"/>
      <sheetName val="Extract Data Array"/>
      <sheetName val="Extract Data Array2"/>
      <sheetName val="Extract Data Array3"/>
      <sheetName val="Comparison"/>
      <sheetName val="Check ID"/>
      <sheetName val="Find Day"/>
    </sheetNames>
    <sheetDataSet>
      <sheetData sheetId="0" refreshError="1"/>
      <sheetData sheetId="1" refreshError="1"/>
      <sheetData sheetId="2">
        <row r="1">
          <cell r="D1" t="str">
            <v>Fruit</v>
          </cell>
        </row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Melon</v>
          </cell>
        </row>
        <row r="7">
          <cell r="D7" t="str">
            <v>Mango</v>
          </cell>
        </row>
      </sheetData>
      <sheetData sheetId="3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6">
          <cell r="D6" t="str">
            <v>xxxxx</v>
          </cell>
        </row>
        <row r="9">
          <cell r="D9" t="str">
            <v>zzzz</v>
          </cell>
        </row>
      </sheetData>
      <sheetData sheetId="4">
        <row r="2">
          <cell r="D2" t="str">
            <v>Apple</v>
          </cell>
        </row>
        <row r="3">
          <cell r="D3" t="str">
            <v>Orange</v>
          </cell>
        </row>
        <row r="4">
          <cell r="D4" t="str">
            <v>Banana</v>
          </cell>
        </row>
        <row r="5">
          <cell r="D5" t="str">
            <v>dfsfds</v>
          </cell>
        </row>
        <row r="7">
          <cell r="D7" t="str">
            <v>ssss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STOM NUMER FORMAT"/>
      <sheetName val="Custom List"/>
      <sheetName val="SUMPRODUCT"/>
      <sheetName val="Solver"/>
      <sheetName val="Solver2"/>
      <sheetName val="Solver3"/>
      <sheetName val="Data"/>
      <sheetName val="SUMIFS-COUNTIFS"/>
      <sheetName val="SUMIFS-apply1"/>
      <sheetName val="SUMIFS-apply2"/>
      <sheetName val="SUMIFS-apply3"/>
      <sheetName val="Criteria-in-depth"/>
      <sheetName val="Wildcard"/>
      <sheetName val="Capital Lookup"/>
      <sheetName val="Decimal-Extract"/>
      <sheetName val="Text Extract"/>
      <sheetName val="AccumConcat"/>
      <sheetName val="เรียน vlookup แบบเร็ว"/>
      <sheetName val="REF-clean"/>
      <sheetName val="MATCH"/>
      <sheetName val="INDEX"/>
      <sheetName val="INDEX-2"/>
      <sheetName val="Lookup Multiple Column"/>
      <sheetName val="Sales-info"/>
      <sheetName val="Tech-Loop"/>
      <sheetName val="Restructure-Data"/>
      <sheetName val="Extract Multiple Value"/>
      <sheetName val="INDIRECT"/>
      <sheetName val="Q1"/>
      <sheetName val="Q2"/>
      <sheetName val="Q3"/>
      <sheetName val="Q4"/>
      <sheetName val="Basic Array"/>
      <sheetName val="Top N"/>
      <sheetName val="ArrayCondition"/>
      <sheetName val="First Last Item"/>
      <sheetName val="Check ID"/>
      <sheetName val="Split Text Num"/>
      <sheetName val="CHOOSE"/>
      <sheetName val="CHOOSE array constant"/>
      <sheetName val="INDEX-indepth"/>
      <sheetName val="INDEX-indepth2"/>
      <sheetName val="INDEX-indepth3"/>
      <sheetName val="INDEX-dynamic-1"/>
      <sheetName val="INDEX-dynamic2"/>
      <sheetName val="Name"/>
      <sheetName val="Name2"/>
      <sheetName val="OFFSET"/>
      <sheetName val="Multi-Drop"/>
      <sheetName val="D-Function"/>
      <sheetName val="Data Table 1"/>
      <sheetName val="Data Table 2"/>
      <sheetName val="Question1"/>
      <sheetName val="Question2"/>
      <sheetName val="Question3"/>
      <sheetName val="Question4"/>
      <sheetName val="Fix-Cell-Ref-2"/>
      <sheetName val="Conditional Format"/>
      <sheetName val="IF-3"/>
      <sheetName val="IF-4"/>
      <sheetName val="VLOOKUP-Exact"/>
      <sheetName val="VLOOKUP MultiLookupValue"/>
      <sheetName val="VLOOKUP-Approx"/>
      <sheetName val="Text-Split Name-Formula"/>
      <sheetName val="Date-Cal"/>
      <sheetName val="Date-Function"/>
      <sheetName val="Find-Replace"/>
      <sheetName val="Table-ForPivot"/>
      <sheetName val="DATEDIF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D5-5%20UTCC_Excel_Basic_data_analytic_1_Excel%20Solver%20(Student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eeraphat" refreshedDate="45038.569450694442" createdVersion="8" refreshedVersion="8" minRefreshableVersion="3" recordCount="111" xr:uid="{2101993A-0D14-46F6-A17C-CE206AA6416A}">
  <cacheSource type="worksheet">
    <worksheetSource ref="A1:D112" sheet="C6.1" r:id="rId2"/>
  </cacheSource>
  <cacheFields count="6">
    <cacheField name="Date" numFmtId="191">
      <sharedItems containsSemiMixedTypes="0" containsNonDate="0" containsDate="1" containsString="0" minDate="2023-01-01T00:00:00" maxDate="2023-04-22T00:00:00" count="111"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</sharedItems>
      <fieldGroup par="5"/>
    </cacheField>
    <cacheField name="Weekday?" numFmtId="0">
      <sharedItems containsSemiMixedTypes="0" containsString="0" containsNumber="1" containsInteger="1" minValue="0" maxValue="1" count="2">
        <n v="0"/>
        <n v="1"/>
      </sharedItems>
    </cacheField>
    <cacheField name="Oil price" numFmtId="43">
      <sharedItems containsSemiMixedTypes="0" containsString="0" containsNumber="1" minValue="32.5" maxValue="43.75"/>
    </cacheField>
    <cacheField name="Demand (1000 ลิตร)" numFmtId="0">
      <sharedItems containsSemiMixedTypes="0" containsString="0" containsNumber="1" containsInteger="1" minValue="1525" maxValue="3505" count="109">
        <n v="2016"/>
        <n v="3075"/>
        <n v="3438"/>
        <n v="3505"/>
        <n v="2677"/>
        <n v="2248"/>
        <n v="2207"/>
        <n v="1713"/>
        <n v="3179"/>
        <n v="3139"/>
        <n v="2234"/>
        <n v="2333"/>
        <n v="2073"/>
        <n v="2083"/>
        <n v="2351"/>
        <n v="3403"/>
        <n v="2269"/>
        <n v="3200"/>
        <n v="3226"/>
        <n v="2519"/>
        <n v="2465"/>
        <n v="1717"/>
        <n v="3236"/>
        <n v="2958"/>
        <n v="2814"/>
        <n v="2369"/>
        <n v="2785"/>
        <n v="2540"/>
        <n v="2033"/>
        <n v="2957"/>
        <n v="3162"/>
        <n v="2246"/>
        <n v="2997"/>
        <n v="2426"/>
        <n v="1867"/>
        <n v="1974"/>
        <n v="3111"/>
        <n v="2590"/>
        <n v="2491"/>
        <n v="3247"/>
        <n v="3079"/>
        <n v="2671"/>
        <n v="1842"/>
        <n v="2404"/>
        <n v="3061"/>
        <n v="2380"/>
        <n v="2026"/>
        <n v="2178"/>
        <n v="2113"/>
        <n v="2300"/>
        <n v="2523"/>
        <n v="2309"/>
        <n v="3442"/>
        <n v="2794"/>
        <n v="2226"/>
        <n v="2423"/>
        <n v="1893"/>
        <n v="2391"/>
        <n v="3202"/>
        <n v="2568"/>
        <n v="3307"/>
        <n v="2025"/>
        <n v="1754"/>
        <n v="2130"/>
        <n v="2357"/>
        <n v="2235"/>
        <n v="3195"/>
        <n v="2457"/>
        <n v="3269"/>
        <n v="2129"/>
        <n v="1794"/>
        <n v="2951"/>
        <n v="2996"/>
        <n v="2323"/>
        <n v="3102"/>
        <n v="2261"/>
        <n v="1534"/>
        <n v="2079"/>
        <n v="2006"/>
        <n v="2368"/>
        <n v="2503"/>
        <n v="2354"/>
        <n v="2393"/>
        <n v="2510"/>
        <n v="2132"/>
        <n v="2942"/>
        <n v="2303"/>
        <n v="2536"/>
        <n v="2697"/>
        <n v="1525"/>
        <n v="1955"/>
        <n v="2433"/>
        <n v="2107"/>
        <n v="2448"/>
        <n v="2153"/>
        <n v="2909"/>
        <n v="2068"/>
        <n v="1734"/>
        <n v="2220"/>
        <n v="2414"/>
        <n v="2816"/>
        <n v="2589"/>
        <n v="2018"/>
        <n v="1543"/>
        <n v="2355"/>
        <n v="2630"/>
        <n v="2458"/>
        <n v="2961"/>
        <n v="2161"/>
      </sharedItems>
    </cacheField>
    <cacheField name="Days (Date)" numFmtId="0" databaseField="0">
      <fieldGroup base="0">
        <rangePr groupBy="days" startDate="2023-01-01T00:00:00" endDate="2023-04-22T00:00:00"/>
        <groupItems count="368">
          <s v="&lt;1/1/2023"/>
          <s v="1-ม.ค."/>
          <s v="2-ม.ค."/>
          <s v="3-ม.ค."/>
          <s v="4-ม.ค."/>
          <s v="5-ม.ค."/>
          <s v="6-ม.ค."/>
          <s v="7-ม.ค."/>
          <s v="8-ม.ค."/>
          <s v="9-ม.ค."/>
          <s v="10-ม.ค."/>
          <s v="11-ม.ค."/>
          <s v="12-ม.ค."/>
          <s v="13-ม.ค."/>
          <s v="14-ม.ค."/>
          <s v="15-ม.ค."/>
          <s v="16-ม.ค."/>
          <s v="17-ม.ค."/>
          <s v="18-ม.ค."/>
          <s v="19-ม.ค."/>
          <s v="20-ม.ค."/>
          <s v="21-ม.ค."/>
          <s v="22-ม.ค."/>
          <s v="23-ม.ค."/>
          <s v="24-ม.ค."/>
          <s v="25-ม.ค."/>
          <s v="26-ม.ค."/>
          <s v="27-ม.ค."/>
          <s v="28-ม.ค."/>
          <s v="29-ม.ค."/>
          <s v="30-ม.ค."/>
          <s v="31-ม.ค."/>
          <s v="1-ก.พ."/>
          <s v="2-ก.พ."/>
          <s v="3-ก.พ."/>
          <s v="4-ก.พ."/>
          <s v="5-ก.พ."/>
          <s v="6-ก.พ."/>
          <s v="7-ก.พ."/>
          <s v="8-ก.พ."/>
          <s v="9-ก.พ."/>
          <s v="10-ก.พ."/>
          <s v="11-ก.พ."/>
          <s v="12-ก.พ."/>
          <s v="13-ก.พ."/>
          <s v="14-ก.พ."/>
          <s v="15-ก.พ."/>
          <s v="16-ก.พ."/>
          <s v="17-ก.พ."/>
          <s v="18-ก.พ."/>
          <s v="19-ก.พ."/>
          <s v="20-ก.พ."/>
          <s v="21-ก.พ."/>
          <s v="22-ก.พ."/>
          <s v="23-ก.พ."/>
          <s v="24-ก.พ."/>
          <s v="25-ก.พ."/>
          <s v="26-ก.พ."/>
          <s v="27-ก.พ."/>
          <s v="28-ก.พ."/>
          <s v="29-ก.พ."/>
          <s v="1-มี.ค."/>
          <s v="2-มี.ค."/>
          <s v="3-มี.ค."/>
          <s v="4-มี.ค."/>
          <s v="5-มี.ค."/>
          <s v="6-มี.ค."/>
          <s v="7-มี.ค."/>
          <s v="8-มี.ค."/>
          <s v="9-มี.ค."/>
          <s v="10-มี.ค."/>
          <s v="11-มี.ค."/>
          <s v="12-มี.ค."/>
          <s v="13-มี.ค."/>
          <s v="14-มี.ค."/>
          <s v="15-มี.ค."/>
          <s v="16-มี.ค."/>
          <s v="17-มี.ค."/>
          <s v="18-มี.ค."/>
          <s v="19-มี.ค."/>
          <s v="20-มี.ค."/>
          <s v="21-มี.ค."/>
          <s v="22-มี.ค."/>
          <s v="23-มี.ค."/>
          <s v="24-มี.ค."/>
          <s v="25-มี.ค."/>
          <s v="26-มี.ค."/>
          <s v="27-มี.ค."/>
          <s v="28-มี.ค."/>
          <s v="29-มี.ค."/>
          <s v="30-มี.ค."/>
          <s v="31-มี.ค."/>
          <s v="1-เม.ย."/>
          <s v="2-เม.ย."/>
          <s v="3-เม.ย."/>
          <s v="4-เม.ย."/>
          <s v="5-เม.ย."/>
          <s v="6-เม.ย."/>
          <s v="7-เม.ย."/>
          <s v="8-เม.ย."/>
          <s v="9-เม.ย."/>
          <s v="10-เม.ย."/>
          <s v="11-เม.ย."/>
          <s v="12-เม.ย."/>
          <s v="13-เม.ย."/>
          <s v="14-เม.ย."/>
          <s v="15-เม.ย."/>
          <s v="16-เม.ย."/>
          <s v="17-เม.ย."/>
          <s v="18-เม.ย."/>
          <s v="19-เม.ย."/>
          <s v="20-เม.ย."/>
          <s v="21-เม.ย."/>
          <s v="22-เม.ย."/>
          <s v="23-เม.ย."/>
          <s v="24-เม.ย."/>
          <s v="25-เม.ย."/>
          <s v="26-เม.ย."/>
          <s v="27-เม.ย."/>
          <s v="28-เม.ย."/>
          <s v="29-เม.ย."/>
          <s v="30-เม.ย."/>
          <s v="1-พ.ค."/>
          <s v="2-พ.ค."/>
          <s v="3-พ.ค."/>
          <s v="4-พ.ค."/>
          <s v="5-พ.ค."/>
          <s v="6-พ.ค."/>
          <s v="7-พ.ค."/>
          <s v="8-พ.ค."/>
          <s v="9-พ.ค."/>
          <s v="10-พ.ค."/>
          <s v="11-พ.ค."/>
          <s v="12-พ.ค."/>
          <s v="13-พ.ค."/>
          <s v="14-พ.ค."/>
          <s v="15-พ.ค."/>
          <s v="16-พ.ค."/>
          <s v="17-พ.ค."/>
          <s v="18-พ.ค."/>
          <s v="19-พ.ค."/>
          <s v="20-พ.ค."/>
          <s v="21-พ.ค."/>
          <s v="22-พ.ค."/>
          <s v="23-พ.ค."/>
          <s v="24-พ.ค."/>
          <s v="25-พ.ค."/>
          <s v="26-พ.ค."/>
          <s v="27-พ.ค."/>
          <s v="28-พ.ค."/>
          <s v="29-พ.ค."/>
          <s v="30-พ.ค."/>
          <s v="31-พ.ค."/>
          <s v="1-มิ.ย."/>
          <s v="2-มิ.ย."/>
          <s v="3-มิ.ย."/>
          <s v="4-มิ.ย."/>
          <s v="5-มิ.ย."/>
          <s v="6-มิ.ย."/>
          <s v="7-มิ.ย."/>
          <s v="8-มิ.ย."/>
          <s v="9-มิ.ย."/>
          <s v="10-มิ.ย."/>
          <s v="11-มิ.ย."/>
          <s v="12-มิ.ย."/>
          <s v="13-มิ.ย."/>
          <s v="14-มิ.ย."/>
          <s v="15-มิ.ย."/>
          <s v="16-มิ.ย."/>
          <s v="17-มิ.ย."/>
          <s v="18-มิ.ย."/>
          <s v="19-มิ.ย."/>
          <s v="20-มิ.ย."/>
          <s v="21-มิ.ย."/>
          <s v="22-มิ.ย."/>
          <s v="23-มิ.ย."/>
          <s v="24-มิ.ย."/>
          <s v="25-มิ.ย."/>
          <s v="26-มิ.ย."/>
          <s v="27-มิ.ย."/>
          <s v="28-มิ.ย."/>
          <s v="29-มิ.ย."/>
          <s v="30-มิ.ย."/>
          <s v="1-ก.ค."/>
          <s v="2-ก.ค."/>
          <s v="3-ก.ค."/>
          <s v="4-ก.ค."/>
          <s v="5-ก.ค."/>
          <s v="6-ก.ค."/>
          <s v="7-ก.ค."/>
          <s v="8-ก.ค."/>
          <s v="9-ก.ค."/>
          <s v="10-ก.ค."/>
          <s v="11-ก.ค."/>
          <s v="12-ก.ค."/>
          <s v="13-ก.ค."/>
          <s v="14-ก.ค."/>
          <s v="15-ก.ค."/>
          <s v="16-ก.ค."/>
          <s v="17-ก.ค."/>
          <s v="18-ก.ค."/>
          <s v="19-ก.ค."/>
          <s v="20-ก.ค."/>
          <s v="21-ก.ค."/>
          <s v="22-ก.ค."/>
          <s v="23-ก.ค."/>
          <s v="24-ก.ค."/>
          <s v="25-ก.ค."/>
          <s v="26-ก.ค."/>
          <s v="27-ก.ค."/>
          <s v="28-ก.ค."/>
          <s v="29-ก.ค."/>
          <s v="30-ก.ค."/>
          <s v="31-ก.ค."/>
          <s v="1-ส.ค."/>
          <s v="2-ส.ค."/>
          <s v="3-ส.ค."/>
          <s v="4-ส.ค."/>
          <s v="5-ส.ค."/>
          <s v="6-ส.ค."/>
          <s v="7-ส.ค."/>
          <s v="8-ส.ค."/>
          <s v="9-ส.ค."/>
          <s v="10-ส.ค."/>
          <s v="11-ส.ค."/>
          <s v="12-ส.ค."/>
          <s v="13-ส.ค."/>
          <s v="14-ส.ค."/>
          <s v="15-ส.ค."/>
          <s v="16-ส.ค."/>
          <s v="17-ส.ค."/>
          <s v="18-ส.ค."/>
          <s v="19-ส.ค."/>
          <s v="20-ส.ค."/>
          <s v="21-ส.ค."/>
          <s v="22-ส.ค."/>
          <s v="23-ส.ค."/>
          <s v="24-ส.ค."/>
          <s v="25-ส.ค."/>
          <s v="26-ส.ค."/>
          <s v="27-ส.ค."/>
          <s v="28-ส.ค."/>
          <s v="29-ส.ค."/>
          <s v="30-ส.ค."/>
          <s v="31-ส.ค."/>
          <s v="1-ก.ย."/>
          <s v="2-ก.ย."/>
          <s v="3-ก.ย."/>
          <s v="4-ก.ย."/>
          <s v="5-ก.ย."/>
          <s v="6-ก.ย."/>
          <s v="7-ก.ย."/>
          <s v="8-ก.ย."/>
          <s v="9-ก.ย."/>
          <s v="10-ก.ย."/>
          <s v="11-ก.ย."/>
          <s v="12-ก.ย."/>
          <s v="13-ก.ย."/>
          <s v="14-ก.ย."/>
          <s v="15-ก.ย."/>
          <s v="16-ก.ย."/>
          <s v="17-ก.ย."/>
          <s v="18-ก.ย."/>
          <s v="19-ก.ย."/>
          <s v="20-ก.ย."/>
          <s v="21-ก.ย."/>
          <s v="22-ก.ย."/>
          <s v="23-ก.ย."/>
          <s v="24-ก.ย."/>
          <s v="25-ก.ย."/>
          <s v="26-ก.ย."/>
          <s v="27-ก.ย."/>
          <s v="28-ก.ย."/>
          <s v="29-ก.ย."/>
          <s v="30-ก.ย."/>
          <s v="1-ต.ค."/>
          <s v="2-ต.ค."/>
          <s v="3-ต.ค."/>
          <s v="4-ต.ค."/>
          <s v="5-ต.ค."/>
          <s v="6-ต.ค."/>
          <s v="7-ต.ค."/>
          <s v="8-ต.ค."/>
          <s v="9-ต.ค."/>
          <s v="10-ต.ค."/>
          <s v="11-ต.ค."/>
          <s v="12-ต.ค."/>
          <s v="13-ต.ค."/>
          <s v="14-ต.ค."/>
          <s v="15-ต.ค."/>
          <s v="16-ต.ค."/>
          <s v="17-ต.ค."/>
          <s v="18-ต.ค."/>
          <s v="19-ต.ค."/>
          <s v="20-ต.ค."/>
          <s v="21-ต.ค."/>
          <s v="22-ต.ค."/>
          <s v="23-ต.ค."/>
          <s v="24-ต.ค."/>
          <s v="25-ต.ค."/>
          <s v="26-ต.ค."/>
          <s v="27-ต.ค."/>
          <s v="28-ต.ค."/>
          <s v="29-ต.ค."/>
          <s v="30-ต.ค."/>
          <s v="31-ต.ค."/>
          <s v="1-พ.ย."/>
          <s v="2-พ.ย."/>
          <s v="3-พ.ย."/>
          <s v="4-พ.ย."/>
          <s v="5-พ.ย."/>
          <s v="6-พ.ย."/>
          <s v="7-พ.ย."/>
          <s v="8-พ.ย."/>
          <s v="9-พ.ย."/>
          <s v="10-พ.ย."/>
          <s v="11-พ.ย."/>
          <s v="12-พ.ย."/>
          <s v="13-พ.ย."/>
          <s v="14-พ.ย."/>
          <s v="15-พ.ย."/>
          <s v="16-พ.ย."/>
          <s v="17-พ.ย."/>
          <s v="18-พ.ย."/>
          <s v="19-พ.ย."/>
          <s v="20-พ.ย."/>
          <s v="21-พ.ย."/>
          <s v="22-พ.ย."/>
          <s v="23-พ.ย."/>
          <s v="24-พ.ย."/>
          <s v="25-พ.ย."/>
          <s v="26-พ.ย."/>
          <s v="27-พ.ย."/>
          <s v="28-พ.ย."/>
          <s v="29-พ.ย."/>
          <s v="30-พ.ย."/>
          <s v="1-ธ.ค."/>
          <s v="2-ธ.ค."/>
          <s v="3-ธ.ค."/>
          <s v="4-ธ.ค."/>
          <s v="5-ธ.ค."/>
          <s v="6-ธ.ค."/>
          <s v="7-ธ.ค."/>
          <s v="8-ธ.ค."/>
          <s v="9-ธ.ค."/>
          <s v="10-ธ.ค."/>
          <s v="11-ธ.ค."/>
          <s v="12-ธ.ค."/>
          <s v="13-ธ.ค."/>
          <s v="14-ธ.ค."/>
          <s v="15-ธ.ค."/>
          <s v="16-ธ.ค."/>
          <s v="17-ธ.ค."/>
          <s v="18-ธ.ค."/>
          <s v="19-ธ.ค."/>
          <s v="20-ธ.ค."/>
          <s v="21-ธ.ค."/>
          <s v="22-ธ.ค."/>
          <s v="23-ธ.ค."/>
          <s v="24-ธ.ค."/>
          <s v="25-ธ.ค."/>
          <s v="26-ธ.ค."/>
          <s v="27-ธ.ค."/>
          <s v="28-ธ.ค."/>
          <s v="29-ธ.ค."/>
          <s v="30-ธ.ค."/>
          <s v="31-ธ.ค."/>
          <s v="&gt;22/4/2023"/>
        </groupItems>
      </fieldGroup>
    </cacheField>
    <cacheField name="Months (Date)" numFmtId="0" databaseField="0">
      <fieldGroup base="0">
        <rangePr groupBy="months" startDate="2023-01-01T00:00:00" endDate="2023-04-22T00:00:00"/>
        <groupItems count="14">
          <s v="&lt;1/1/2023"/>
          <s v="ม.ค."/>
          <s v="ก.พ."/>
          <s v="มี.ค."/>
          <s v="เม.ย."/>
          <s v="พ.ค."/>
          <s v="มิ.ย."/>
          <s v="ก.ค."/>
          <s v="ส.ค."/>
          <s v="ก.ย."/>
          <s v="ต.ค."/>
          <s v="พ.ย."/>
          <s v="ธ.ค."/>
          <s v="&gt;22/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1">
  <r>
    <x v="0"/>
    <x v="0"/>
    <n v="35"/>
    <x v="0"/>
  </r>
  <r>
    <x v="1"/>
    <x v="1"/>
    <n v="34"/>
    <x v="1"/>
  </r>
  <r>
    <x v="2"/>
    <x v="1"/>
    <n v="33.5"/>
    <x v="2"/>
  </r>
  <r>
    <x v="3"/>
    <x v="1"/>
    <n v="32.5"/>
    <x v="3"/>
  </r>
  <r>
    <x v="4"/>
    <x v="1"/>
    <n v="33.5"/>
    <x v="4"/>
  </r>
  <r>
    <x v="5"/>
    <x v="1"/>
    <n v="34.5"/>
    <x v="5"/>
  </r>
  <r>
    <x v="6"/>
    <x v="0"/>
    <n v="35"/>
    <x v="6"/>
  </r>
  <r>
    <x v="7"/>
    <x v="0"/>
    <n v="35.5"/>
    <x v="7"/>
  </r>
  <r>
    <x v="8"/>
    <x v="1"/>
    <n v="35.75"/>
    <x v="8"/>
  </r>
  <r>
    <x v="9"/>
    <x v="1"/>
    <n v="35.5"/>
    <x v="9"/>
  </r>
  <r>
    <x v="10"/>
    <x v="1"/>
    <n v="34.75"/>
    <x v="10"/>
  </r>
  <r>
    <x v="11"/>
    <x v="1"/>
    <n v="35.75"/>
    <x v="11"/>
  </r>
  <r>
    <x v="12"/>
    <x v="1"/>
    <n v="35.75"/>
    <x v="12"/>
  </r>
  <r>
    <x v="13"/>
    <x v="0"/>
    <n v="35.25"/>
    <x v="13"/>
  </r>
  <r>
    <x v="14"/>
    <x v="0"/>
    <n v="34.25"/>
    <x v="14"/>
  </r>
  <r>
    <x v="15"/>
    <x v="1"/>
    <n v="34.75"/>
    <x v="15"/>
  </r>
  <r>
    <x v="16"/>
    <x v="1"/>
    <n v="35.5"/>
    <x v="16"/>
  </r>
  <r>
    <x v="17"/>
    <x v="1"/>
    <n v="35"/>
    <x v="17"/>
  </r>
  <r>
    <x v="18"/>
    <x v="1"/>
    <n v="36"/>
    <x v="18"/>
  </r>
  <r>
    <x v="19"/>
    <x v="1"/>
    <n v="36.5"/>
    <x v="19"/>
  </r>
  <r>
    <x v="20"/>
    <x v="0"/>
    <n v="35.75"/>
    <x v="20"/>
  </r>
  <r>
    <x v="21"/>
    <x v="0"/>
    <n v="35.5"/>
    <x v="21"/>
  </r>
  <r>
    <x v="22"/>
    <x v="1"/>
    <n v="35"/>
    <x v="22"/>
  </r>
  <r>
    <x v="23"/>
    <x v="1"/>
    <n v="35"/>
    <x v="23"/>
  </r>
  <r>
    <x v="24"/>
    <x v="1"/>
    <n v="35.25"/>
    <x v="24"/>
  </r>
  <r>
    <x v="25"/>
    <x v="1"/>
    <n v="35"/>
    <x v="25"/>
  </r>
  <r>
    <x v="26"/>
    <x v="1"/>
    <n v="35.25"/>
    <x v="26"/>
  </r>
  <r>
    <x v="27"/>
    <x v="0"/>
    <n v="35.5"/>
    <x v="27"/>
  </r>
  <r>
    <x v="28"/>
    <x v="0"/>
    <n v="36.25"/>
    <x v="28"/>
  </r>
  <r>
    <x v="29"/>
    <x v="1"/>
    <n v="35.75"/>
    <x v="29"/>
  </r>
  <r>
    <x v="30"/>
    <x v="1"/>
    <n v="35"/>
    <x v="30"/>
  </r>
  <r>
    <x v="31"/>
    <x v="1"/>
    <n v="35"/>
    <x v="31"/>
  </r>
  <r>
    <x v="32"/>
    <x v="1"/>
    <n v="35.5"/>
    <x v="32"/>
  </r>
  <r>
    <x v="33"/>
    <x v="1"/>
    <n v="36.5"/>
    <x v="33"/>
  </r>
  <r>
    <x v="34"/>
    <x v="0"/>
    <n v="36.25"/>
    <x v="34"/>
  </r>
  <r>
    <x v="35"/>
    <x v="0"/>
    <n v="37.25"/>
    <x v="35"/>
  </r>
  <r>
    <x v="36"/>
    <x v="1"/>
    <n v="37.25"/>
    <x v="36"/>
  </r>
  <r>
    <x v="37"/>
    <x v="1"/>
    <n v="36.75"/>
    <x v="37"/>
  </r>
  <r>
    <x v="38"/>
    <x v="1"/>
    <n v="37.25"/>
    <x v="38"/>
  </r>
  <r>
    <x v="39"/>
    <x v="1"/>
    <n v="36.75"/>
    <x v="39"/>
  </r>
  <r>
    <x v="40"/>
    <x v="1"/>
    <n v="37.5"/>
    <x v="40"/>
  </r>
  <r>
    <x v="41"/>
    <x v="0"/>
    <n v="36.5"/>
    <x v="41"/>
  </r>
  <r>
    <x v="42"/>
    <x v="0"/>
    <n v="37.25"/>
    <x v="42"/>
  </r>
  <r>
    <x v="43"/>
    <x v="1"/>
    <n v="38.25"/>
    <x v="43"/>
  </r>
  <r>
    <x v="44"/>
    <x v="1"/>
    <n v="37.5"/>
    <x v="44"/>
  </r>
  <r>
    <x v="45"/>
    <x v="1"/>
    <n v="38"/>
    <x v="45"/>
  </r>
  <r>
    <x v="46"/>
    <x v="1"/>
    <n v="38.25"/>
    <x v="46"/>
  </r>
  <r>
    <x v="47"/>
    <x v="1"/>
    <n v="37.25"/>
    <x v="47"/>
  </r>
  <r>
    <x v="48"/>
    <x v="0"/>
    <n v="38.25"/>
    <x v="48"/>
  </r>
  <r>
    <x v="49"/>
    <x v="0"/>
    <n v="37.5"/>
    <x v="49"/>
  </r>
  <r>
    <x v="50"/>
    <x v="1"/>
    <n v="37.25"/>
    <x v="50"/>
  </r>
  <r>
    <x v="51"/>
    <x v="1"/>
    <n v="36.75"/>
    <x v="51"/>
  </r>
  <r>
    <x v="52"/>
    <x v="1"/>
    <n v="35.75"/>
    <x v="52"/>
  </r>
  <r>
    <x v="53"/>
    <x v="1"/>
    <n v="35.5"/>
    <x v="53"/>
  </r>
  <r>
    <x v="54"/>
    <x v="1"/>
    <n v="35.75"/>
    <x v="54"/>
  </r>
  <r>
    <x v="55"/>
    <x v="0"/>
    <n v="35.75"/>
    <x v="55"/>
  </r>
  <r>
    <x v="56"/>
    <x v="0"/>
    <n v="36.75"/>
    <x v="56"/>
  </r>
  <r>
    <x v="57"/>
    <x v="1"/>
    <n v="36.75"/>
    <x v="57"/>
  </r>
  <r>
    <x v="58"/>
    <x v="1"/>
    <n v="37.25"/>
    <x v="58"/>
  </r>
  <r>
    <x v="59"/>
    <x v="1"/>
    <n v="38"/>
    <x v="59"/>
  </r>
  <r>
    <x v="60"/>
    <x v="1"/>
    <n v="38"/>
    <x v="60"/>
  </r>
  <r>
    <x v="61"/>
    <x v="1"/>
    <n v="39"/>
    <x v="61"/>
  </r>
  <r>
    <x v="62"/>
    <x v="0"/>
    <n v="39"/>
    <x v="62"/>
  </r>
  <r>
    <x v="63"/>
    <x v="0"/>
    <n v="38.5"/>
    <x v="63"/>
  </r>
  <r>
    <x v="64"/>
    <x v="1"/>
    <n v="37.5"/>
    <x v="64"/>
  </r>
  <r>
    <x v="65"/>
    <x v="1"/>
    <n v="38.25"/>
    <x v="65"/>
  </r>
  <r>
    <x v="66"/>
    <x v="1"/>
    <n v="39"/>
    <x v="66"/>
  </r>
  <r>
    <x v="67"/>
    <x v="1"/>
    <n v="39"/>
    <x v="67"/>
  </r>
  <r>
    <x v="68"/>
    <x v="1"/>
    <n v="38.5"/>
    <x v="68"/>
  </r>
  <r>
    <x v="69"/>
    <x v="0"/>
    <n v="38.25"/>
    <x v="69"/>
  </r>
  <r>
    <x v="70"/>
    <x v="0"/>
    <n v="39.25"/>
    <x v="70"/>
  </r>
  <r>
    <x v="71"/>
    <x v="1"/>
    <n v="40"/>
    <x v="71"/>
  </r>
  <r>
    <x v="72"/>
    <x v="1"/>
    <n v="40.5"/>
    <x v="72"/>
  </r>
  <r>
    <x v="73"/>
    <x v="1"/>
    <n v="41.5"/>
    <x v="73"/>
  </r>
  <r>
    <x v="74"/>
    <x v="1"/>
    <n v="41"/>
    <x v="74"/>
  </r>
  <r>
    <x v="75"/>
    <x v="1"/>
    <n v="40.75"/>
    <x v="75"/>
  </r>
  <r>
    <x v="76"/>
    <x v="0"/>
    <n v="41"/>
    <x v="10"/>
  </r>
  <r>
    <x v="77"/>
    <x v="0"/>
    <n v="40.5"/>
    <x v="76"/>
  </r>
  <r>
    <x v="78"/>
    <x v="1"/>
    <n v="41"/>
    <x v="77"/>
  </r>
  <r>
    <x v="79"/>
    <x v="1"/>
    <n v="40.25"/>
    <x v="78"/>
  </r>
  <r>
    <x v="80"/>
    <x v="1"/>
    <n v="40.5"/>
    <x v="79"/>
  </r>
  <r>
    <x v="81"/>
    <x v="1"/>
    <n v="39.5"/>
    <x v="80"/>
  </r>
  <r>
    <x v="82"/>
    <x v="1"/>
    <n v="40.25"/>
    <x v="81"/>
  </r>
  <r>
    <x v="83"/>
    <x v="0"/>
    <n v="39.5"/>
    <x v="82"/>
  </r>
  <r>
    <x v="84"/>
    <x v="0"/>
    <n v="38.75"/>
    <x v="83"/>
  </r>
  <r>
    <x v="85"/>
    <x v="1"/>
    <n v="39.25"/>
    <x v="84"/>
  </r>
  <r>
    <x v="86"/>
    <x v="1"/>
    <n v="40.25"/>
    <x v="85"/>
  </r>
  <r>
    <x v="87"/>
    <x v="1"/>
    <n v="40.75"/>
    <x v="86"/>
  </r>
  <r>
    <x v="88"/>
    <x v="1"/>
    <n v="41.5"/>
    <x v="87"/>
  </r>
  <r>
    <x v="89"/>
    <x v="1"/>
    <n v="42.25"/>
    <x v="88"/>
  </r>
  <r>
    <x v="90"/>
    <x v="0"/>
    <n v="42.5"/>
    <x v="89"/>
  </r>
  <r>
    <x v="91"/>
    <x v="0"/>
    <n v="43"/>
    <x v="90"/>
  </r>
  <r>
    <x v="92"/>
    <x v="1"/>
    <n v="42.75"/>
    <x v="91"/>
  </r>
  <r>
    <x v="93"/>
    <x v="1"/>
    <n v="42.5"/>
    <x v="92"/>
  </r>
  <r>
    <x v="94"/>
    <x v="1"/>
    <n v="43.5"/>
    <x v="93"/>
  </r>
  <r>
    <x v="95"/>
    <x v="1"/>
    <n v="43.75"/>
    <x v="94"/>
  </r>
  <r>
    <x v="96"/>
    <x v="1"/>
    <n v="43.5"/>
    <x v="95"/>
  </r>
  <r>
    <x v="97"/>
    <x v="0"/>
    <n v="42.75"/>
    <x v="96"/>
  </r>
  <r>
    <x v="98"/>
    <x v="0"/>
    <n v="43.75"/>
    <x v="97"/>
  </r>
  <r>
    <x v="99"/>
    <x v="1"/>
    <n v="43"/>
    <x v="98"/>
  </r>
  <r>
    <x v="100"/>
    <x v="1"/>
    <n v="42.75"/>
    <x v="99"/>
  </r>
  <r>
    <x v="101"/>
    <x v="1"/>
    <n v="42.25"/>
    <x v="100"/>
  </r>
  <r>
    <x v="102"/>
    <x v="1"/>
    <n v="42.5"/>
    <x v="101"/>
  </r>
  <r>
    <x v="103"/>
    <x v="1"/>
    <n v="43.5"/>
    <x v="102"/>
  </r>
  <r>
    <x v="104"/>
    <x v="0"/>
    <n v="43"/>
    <x v="103"/>
  </r>
  <r>
    <x v="105"/>
    <x v="0"/>
    <n v="42.25"/>
    <x v="104"/>
  </r>
  <r>
    <x v="106"/>
    <x v="1"/>
    <n v="41.75"/>
    <x v="105"/>
  </r>
  <r>
    <x v="107"/>
    <x v="1"/>
    <n v="41.75"/>
    <x v="50"/>
  </r>
  <r>
    <x v="108"/>
    <x v="1"/>
    <n v="41.5"/>
    <x v="106"/>
  </r>
  <r>
    <x v="109"/>
    <x v="1"/>
    <n v="40.75"/>
    <x v="107"/>
  </r>
  <r>
    <x v="110"/>
    <x v="1"/>
    <n v="39.75"/>
    <x v="10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D3E9B-765C-414F-824B-7EE2BE69DA98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A3:E116" firstHeaderRow="1" firstDataRow="3" firstDataCol="1"/>
  <pivotFields count="6">
    <pivotField axis="axisRow" numFmtId="191" showAll="0">
      <items count="11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t="default"/>
      </items>
    </pivotField>
    <pivotField axis="axisCol" showAll="0">
      <items count="3">
        <item x="0"/>
        <item x="1"/>
        <item t="default"/>
      </items>
    </pivotField>
    <pivotField dataField="1" numFmtId="43" showAll="0"/>
    <pivotField dataField="1" showAll="0">
      <items count="110">
        <item x="89"/>
        <item x="76"/>
        <item x="103"/>
        <item x="7"/>
        <item x="21"/>
        <item x="97"/>
        <item x="62"/>
        <item x="70"/>
        <item x="42"/>
        <item x="34"/>
        <item x="56"/>
        <item x="90"/>
        <item x="35"/>
        <item x="78"/>
        <item x="0"/>
        <item x="102"/>
        <item x="61"/>
        <item x="46"/>
        <item x="28"/>
        <item x="96"/>
        <item x="12"/>
        <item x="77"/>
        <item x="13"/>
        <item x="92"/>
        <item x="48"/>
        <item x="69"/>
        <item x="63"/>
        <item x="84"/>
        <item x="94"/>
        <item x="108"/>
        <item x="47"/>
        <item x="6"/>
        <item x="98"/>
        <item x="54"/>
        <item x="10"/>
        <item x="65"/>
        <item x="31"/>
        <item x="5"/>
        <item x="75"/>
        <item x="16"/>
        <item x="49"/>
        <item x="86"/>
        <item x="51"/>
        <item x="73"/>
        <item x="11"/>
        <item x="14"/>
        <item x="81"/>
        <item x="104"/>
        <item x="64"/>
        <item x="79"/>
        <item x="25"/>
        <item x="45"/>
        <item x="57"/>
        <item x="82"/>
        <item x="43"/>
        <item x="99"/>
        <item x="55"/>
        <item x="33"/>
        <item x="91"/>
        <item x="93"/>
        <item x="67"/>
        <item x="106"/>
        <item x="20"/>
        <item x="38"/>
        <item x="80"/>
        <item x="83"/>
        <item x="19"/>
        <item x="50"/>
        <item x="87"/>
        <item x="27"/>
        <item x="59"/>
        <item x="101"/>
        <item x="37"/>
        <item x="105"/>
        <item x="41"/>
        <item x="4"/>
        <item x="88"/>
        <item x="26"/>
        <item x="53"/>
        <item x="24"/>
        <item x="100"/>
        <item x="95"/>
        <item x="85"/>
        <item x="71"/>
        <item x="29"/>
        <item x="23"/>
        <item x="107"/>
        <item x="72"/>
        <item x="32"/>
        <item x="44"/>
        <item x="1"/>
        <item x="40"/>
        <item x="74"/>
        <item x="36"/>
        <item x="9"/>
        <item x="30"/>
        <item x="8"/>
        <item x="66"/>
        <item x="17"/>
        <item x="58"/>
        <item x="18"/>
        <item x="22"/>
        <item x="39"/>
        <item x="68"/>
        <item x="60"/>
        <item x="15"/>
        <item x="2"/>
        <item x="52"/>
        <item x="3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0"/>
  </rowFields>
  <rowItems count="1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</rowItems>
  <colFields count="2">
    <field x="1"/>
    <field x="-2"/>
  </colFields>
  <colItems count="4">
    <i>
      <x/>
      <x/>
    </i>
    <i r="1" i="1">
      <x v="1"/>
    </i>
    <i>
      <x v="1"/>
      <x/>
    </i>
    <i r="1" i="1">
      <x v="1"/>
    </i>
  </colItems>
  <dataFields count="2">
    <dataField name="Sum of Demand (1000 ลิตร)" fld="3" baseField="0" baseItem="0"/>
    <dataField name="Sum of Oil 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FDE919-9DA3-4B45-B0E3-1428B91F6C8F}" name="Table2" displayName="Table2" ref="A1:E34" totalsRowShown="0">
  <autoFilter ref="A1:E34" xr:uid="{3EFDE919-9DA3-4B45-B0E3-1428B91F6C8F}"/>
  <tableColumns count="5">
    <tableColumn id="1" xr3:uid="{0CB98B45-B59D-4F77-9A31-EC3FDEDAB18F}" name="Timeline" dataDxfId="4"/>
    <tableColumn id="2" xr3:uid="{EBE0D857-6AEE-45C2-B281-1169D1AE55FA}" name="Values"/>
    <tableColumn id="3" xr3:uid="{AF436351-483D-4396-A23D-C45BAB1402C9}" name="Forecast" dataDxfId="3">
      <calculatedColumnFormula>_xlfn.FORECAST.ETS(A2,$B$2:$B$28,$A$2:$A$28,5,1)</calculatedColumnFormula>
    </tableColumn>
    <tableColumn id="4" xr3:uid="{7EDF3C50-180C-4613-9CB6-3C667B0263EB}" name="Lower Confidence Bound" dataDxfId="2">
      <calculatedColumnFormula>C2-_xlfn.FORECAST.ETS.CONFINT(A2,$B$2:$B$28,$A$2:$A$28,0.95,5,1)</calculatedColumnFormula>
    </tableColumn>
    <tableColumn id="5" xr3:uid="{281D780B-C9A0-4B1E-93B3-9A2B8D3C31D0}" name="Upper Confidence Bound" dataDxfId="1">
      <calculatedColumnFormula>C2+_xlfn.FORECAST.ETS.CONFINT(A2,$B$2:$B$28,$A$2:$A$28,0.95,5,1)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29AB47-B648-4021-9194-392E4DBAA8A1}" name="Table3" displayName="Table3" ref="G1:H8" totalsRowShown="0">
  <autoFilter ref="G1:H8" xr:uid="{3229AB47-B648-4021-9194-392E4DBAA8A1}"/>
  <tableColumns count="2">
    <tableColumn id="1" xr3:uid="{DC587FC5-B182-4147-AF1C-3C0C00DB6911}" name="Statistic"/>
    <tableColumn id="2" xr3:uid="{9D6A5AA2-90D4-4750-9ACC-A81DA71E0B94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2.dede.go.th/webpage/tools.htm" TargetMode="External"/><Relationship Id="rId2" Type="http://schemas.openxmlformats.org/officeDocument/2006/relationships/hyperlink" Target="https://www.krungsri.com/th/personal/mutual-fund/knowledge/glossary/i/internal-rate-of-return" TargetMode="External"/><Relationship Id="rId1" Type="http://schemas.openxmlformats.org/officeDocument/2006/relationships/hyperlink" Target="https://corporatefinanceinstitute.com/resources/excel/irr-function/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hyperlink" Target="https://www.thepexcel.com/excel-forecast/" TargetMode="External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595D3-1744-44D9-B8E4-BA5AF582059F}">
  <dimension ref="A1:M32"/>
  <sheetViews>
    <sheetView tabSelected="1" workbookViewId="0">
      <selection activeCell="B36" sqref="B36"/>
    </sheetView>
  </sheetViews>
  <sheetFormatPr defaultRowHeight="14.25" x14ac:dyDescent="0.2"/>
  <cols>
    <col min="1" max="1" width="13" customWidth="1"/>
    <col min="2" max="2" width="18.875" customWidth="1"/>
    <col min="13" max="13" width="24.125" customWidth="1"/>
  </cols>
  <sheetData>
    <row r="1" spans="1:13" x14ac:dyDescent="0.2">
      <c r="A1" t="s">
        <v>124</v>
      </c>
    </row>
    <row r="2" spans="1:13" x14ac:dyDescent="0.2">
      <c r="A2" t="s">
        <v>126</v>
      </c>
    </row>
    <row r="3" spans="1:13" x14ac:dyDescent="0.2">
      <c r="A3" t="s">
        <v>125</v>
      </c>
    </row>
    <row r="5" spans="1:13" x14ac:dyDescent="0.2">
      <c r="A5" s="52" t="s">
        <v>135</v>
      </c>
      <c r="B5" s="52" t="s">
        <v>136</v>
      </c>
    </row>
    <row r="6" spans="1:13" x14ac:dyDescent="0.2">
      <c r="A6" s="53" t="s">
        <v>6</v>
      </c>
      <c r="B6" s="39" t="s">
        <v>5</v>
      </c>
    </row>
    <row r="7" spans="1:13" x14ac:dyDescent="0.2">
      <c r="A7" s="39" t="s">
        <v>7</v>
      </c>
      <c r="B7" s="39" t="s">
        <v>8</v>
      </c>
    </row>
    <row r="8" spans="1:13" ht="15" thickBot="1" x14ac:dyDescent="0.25">
      <c r="A8" s="39" t="s">
        <v>9</v>
      </c>
      <c r="B8" s="39" t="s">
        <v>10</v>
      </c>
    </row>
    <row r="9" spans="1:13" x14ac:dyDescent="0.2">
      <c r="A9" s="39" t="s">
        <v>12</v>
      </c>
      <c r="B9" s="39" t="s">
        <v>11</v>
      </c>
      <c r="E9" s="54" t="s">
        <v>128</v>
      </c>
      <c r="F9" s="56"/>
      <c r="H9" s="54" t="s">
        <v>127</v>
      </c>
      <c r="I9" s="55"/>
      <c r="J9" s="55"/>
      <c r="K9" s="55"/>
      <c r="L9" s="55"/>
      <c r="M9" s="56"/>
    </row>
    <row r="10" spans="1:13" ht="15" thickBot="1" x14ac:dyDescent="0.25">
      <c r="E10" s="57" t="s">
        <v>102</v>
      </c>
      <c r="F10" s="59"/>
      <c r="H10" s="57" t="s">
        <v>129</v>
      </c>
      <c r="I10" s="58"/>
      <c r="J10" s="58"/>
      <c r="K10" s="58"/>
      <c r="L10" s="58"/>
      <c r="M10" s="59"/>
    </row>
    <row r="11" spans="1:13" x14ac:dyDescent="0.2">
      <c r="A11" s="54" t="s">
        <v>3</v>
      </c>
      <c r="B11" s="64">
        <v>170</v>
      </c>
      <c r="C11" s="56" t="s">
        <v>15</v>
      </c>
      <c r="E11" s="60">
        <v>170</v>
      </c>
      <c r="F11" s="59" t="s">
        <v>15</v>
      </c>
      <c r="H11" s="60">
        <v>170</v>
      </c>
      <c r="I11" s="58" t="s">
        <v>15</v>
      </c>
      <c r="J11" s="58"/>
      <c r="K11" s="58"/>
      <c r="L11" s="58"/>
      <c r="M11" s="59"/>
    </row>
    <row r="12" spans="1:13" x14ac:dyDescent="0.2">
      <c r="A12" s="57" t="s">
        <v>2</v>
      </c>
      <c r="B12" s="65">
        <v>72.827999999999989</v>
      </c>
      <c r="C12" s="59" t="s">
        <v>4</v>
      </c>
      <c r="E12" s="60">
        <v>65</v>
      </c>
      <c r="F12" s="59" t="s">
        <v>4</v>
      </c>
      <c r="H12" s="60">
        <v>82.364999999999995</v>
      </c>
      <c r="I12" s="58" t="s">
        <v>4</v>
      </c>
      <c r="J12" s="58"/>
      <c r="K12" s="58"/>
      <c r="L12" s="58"/>
      <c r="M12" s="59"/>
    </row>
    <row r="13" spans="1:13" x14ac:dyDescent="0.2">
      <c r="A13" s="57"/>
      <c r="B13" s="58"/>
      <c r="C13" s="59"/>
      <c r="E13" s="57"/>
      <c r="F13" s="59"/>
      <c r="H13" s="57"/>
      <c r="I13" s="58"/>
      <c r="J13" s="58"/>
      <c r="K13" s="58"/>
      <c r="L13" s="58"/>
      <c r="M13" s="59"/>
    </row>
    <row r="14" spans="1:13" x14ac:dyDescent="0.2">
      <c r="A14" s="57" t="s">
        <v>14</v>
      </c>
      <c r="B14" s="65">
        <f>B12/(B11/100)^2</f>
        <v>25.2</v>
      </c>
      <c r="C14" s="59"/>
      <c r="E14" s="61">
        <f>E12/(E11/100)^2</f>
        <v>22.491349480968861</v>
      </c>
      <c r="F14" s="59"/>
      <c r="H14" s="61">
        <f>H12/(H11/100)^2</f>
        <v>28.5</v>
      </c>
      <c r="I14" s="66" t="str">
        <f ca="1">_xlfn.FORMULATEXT(H14)</f>
        <v>=H12/(H11/100)^2</v>
      </c>
      <c r="J14" s="58"/>
      <c r="K14" s="58"/>
      <c r="L14" s="58"/>
      <c r="M14" s="59"/>
    </row>
    <row r="15" spans="1:13" ht="15" thickBot="1" x14ac:dyDescent="0.25">
      <c r="A15" s="62"/>
      <c r="B15" s="16" t="str">
        <f>IF(B14&gt;=30,$B$9,IF(B14&gt;=25,$B$8,IF(B14&gt;=18.5,$B$7,$B$6)))</f>
        <v>น้ำหนักเกิน</v>
      </c>
      <c r="C15" s="63"/>
      <c r="E15" s="62" t="str">
        <f>IF(E14&gt;=30,$B$9,IF(E14&gt;=25,$B$8,IF(E14&gt;=18.5,$B$7,$B$6)))</f>
        <v>สมส่วน หรือ สุขภาพดี</v>
      </c>
      <c r="F15" s="63"/>
      <c r="H15" s="62" t="str">
        <f>IF(H14&gt;=30,$B$9,IF(H14&gt;=25,$B$8,IF(H14&gt;=18.5,$B$7,$B$6)))</f>
        <v>น้ำหนักเกิน</v>
      </c>
      <c r="I15" s="67" t="str">
        <f ca="1">_xlfn.FORMULATEXT(H15)</f>
        <v>=IF(H14&gt;=30,$B$9,IF(H14&gt;=25,$B$8,IF(H14&gt;=18.5,$B$7,$B$6)))</v>
      </c>
      <c r="J15" s="16"/>
      <c r="K15" s="16"/>
      <c r="L15" s="16"/>
      <c r="M15" s="63"/>
    </row>
    <row r="30" spans="12:12" x14ac:dyDescent="0.2">
      <c r="L30" t="s">
        <v>131</v>
      </c>
    </row>
    <row r="31" spans="12:12" x14ac:dyDescent="0.2">
      <c r="L31" t="s">
        <v>130</v>
      </c>
    </row>
    <row r="32" spans="12:12" x14ac:dyDescent="0.2">
      <c r="L32" t="s">
        <v>132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6193-CF32-492B-88C3-78FF6627D9F8}">
  <dimension ref="A1:K21"/>
  <sheetViews>
    <sheetView zoomScaleNormal="100" workbookViewId="0">
      <selection activeCell="I22" sqref="I22"/>
    </sheetView>
  </sheetViews>
  <sheetFormatPr defaultRowHeight="14.25" x14ac:dyDescent="0.2"/>
  <cols>
    <col min="1" max="1" width="27.75" customWidth="1"/>
    <col min="2" max="2" width="11.625" customWidth="1"/>
    <col min="3" max="3" width="13.375" customWidth="1"/>
    <col min="6" max="6" width="11.75" customWidth="1"/>
    <col min="8" max="8" width="10.75" customWidth="1"/>
    <col min="10" max="10" width="10.375" customWidth="1"/>
    <col min="11" max="11" width="12.25" bestFit="1" customWidth="1"/>
  </cols>
  <sheetData>
    <row r="1" spans="1:11" x14ac:dyDescent="0.2">
      <c r="A1" s="3" t="s">
        <v>17</v>
      </c>
    </row>
    <row r="3" spans="1:11" x14ac:dyDescent="0.2">
      <c r="A3" t="s">
        <v>105</v>
      </c>
      <c r="B3" s="7">
        <v>150000</v>
      </c>
      <c r="C3" s="5"/>
    </row>
    <row r="5" spans="1:11" x14ac:dyDescent="0.2">
      <c r="A5" t="s">
        <v>16</v>
      </c>
      <c r="B5" s="7">
        <v>-961831.18027493567</v>
      </c>
    </row>
    <row r="6" spans="1:11" x14ac:dyDescent="0.2">
      <c r="A6" t="s">
        <v>18</v>
      </c>
      <c r="B6" s="7">
        <f>$B$3</f>
        <v>150000</v>
      </c>
      <c r="C6" s="26" t="str">
        <f ca="1">_xlfn.FORMULATEXT(B6)</f>
        <v>=$B$3</v>
      </c>
      <c r="D6" t="s">
        <v>28</v>
      </c>
      <c r="E6" s="5">
        <f>IRR(B5:B15)</f>
        <v>9.0193054768975767E-2</v>
      </c>
      <c r="F6" t="str">
        <f ca="1">_xlfn.FORMULATEXT(E6)</f>
        <v>=IRR(B5:B15)</v>
      </c>
    </row>
    <row r="7" spans="1:11" x14ac:dyDescent="0.2">
      <c r="A7" t="s">
        <v>19</v>
      </c>
      <c r="B7" s="7">
        <f t="shared" ref="B7:B15" si="0">$B$3</f>
        <v>150000</v>
      </c>
      <c r="C7" s="26" t="str">
        <f t="shared" ref="C7:C15" ca="1" si="1">_xlfn.FORMULATEXT(B7)</f>
        <v>=$B$3</v>
      </c>
    </row>
    <row r="8" spans="1:11" x14ac:dyDescent="0.2">
      <c r="A8" t="s">
        <v>20</v>
      </c>
      <c r="B8" s="7">
        <f t="shared" si="0"/>
        <v>150000</v>
      </c>
      <c r="C8" s="26" t="str">
        <f t="shared" ca="1" si="1"/>
        <v>=$B$3</v>
      </c>
      <c r="D8" t="s">
        <v>106</v>
      </c>
    </row>
    <row r="9" spans="1:11" x14ac:dyDescent="0.2">
      <c r="A9" t="s">
        <v>21</v>
      </c>
      <c r="B9" s="7">
        <f t="shared" si="0"/>
        <v>150000</v>
      </c>
      <c r="C9" s="26" t="str">
        <f t="shared" ca="1" si="1"/>
        <v>=$B$3</v>
      </c>
      <c r="D9" t="s">
        <v>103</v>
      </c>
      <c r="K9" s="24">
        <v>-921941.06617759506</v>
      </c>
    </row>
    <row r="10" spans="1:11" x14ac:dyDescent="0.2">
      <c r="A10" t="s">
        <v>22</v>
      </c>
      <c r="B10" s="7">
        <f t="shared" si="0"/>
        <v>150000</v>
      </c>
      <c r="C10" s="26" t="str">
        <f t="shared" ca="1" si="1"/>
        <v>=$B$3</v>
      </c>
    </row>
    <row r="11" spans="1:11" x14ac:dyDescent="0.2">
      <c r="A11" t="s">
        <v>23</v>
      </c>
      <c r="B11" s="7">
        <f t="shared" si="0"/>
        <v>150000</v>
      </c>
      <c r="C11" s="26" t="str">
        <f t="shared" ca="1" si="1"/>
        <v>=$B$3</v>
      </c>
      <c r="D11" t="s">
        <v>107</v>
      </c>
    </row>
    <row r="12" spans="1:11" x14ac:dyDescent="0.2">
      <c r="A12" t="s">
        <v>24</v>
      </c>
      <c r="B12" s="7">
        <f t="shared" si="0"/>
        <v>150000</v>
      </c>
      <c r="C12" s="26" t="str">
        <f t="shared" ca="1" si="1"/>
        <v>=$B$3</v>
      </c>
      <c r="D12" t="s">
        <v>104</v>
      </c>
      <c r="K12" s="24">
        <v>162540.19834033301</v>
      </c>
    </row>
    <row r="13" spans="1:11" x14ac:dyDescent="0.2">
      <c r="A13" t="s">
        <v>25</v>
      </c>
      <c r="B13" s="7">
        <f t="shared" si="0"/>
        <v>150000</v>
      </c>
      <c r="C13" s="26" t="str">
        <f t="shared" ca="1" si="1"/>
        <v>=$B$3</v>
      </c>
    </row>
    <row r="14" spans="1:11" x14ac:dyDescent="0.2">
      <c r="A14" t="s">
        <v>26</v>
      </c>
      <c r="B14" s="7">
        <f t="shared" si="0"/>
        <v>150000</v>
      </c>
      <c r="C14" s="26" t="str">
        <f t="shared" ca="1" si="1"/>
        <v>=$B$3</v>
      </c>
    </row>
    <row r="15" spans="1:11" x14ac:dyDescent="0.2">
      <c r="A15" t="s">
        <v>27</v>
      </c>
      <c r="B15" s="7">
        <f t="shared" si="0"/>
        <v>150000</v>
      </c>
      <c r="C15" s="26" t="str">
        <f t="shared" ca="1" si="1"/>
        <v>=$B$3</v>
      </c>
    </row>
    <row r="18" spans="1:7" ht="86.25" customHeight="1" x14ac:dyDescent="0.2">
      <c r="A18" s="38" t="s">
        <v>29</v>
      </c>
      <c r="B18" s="38"/>
      <c r="C18" s="38"/>
      <c r="D18" s="38"/>
      <c r="E18" s="38"/>
      <c r="F18" s="38"/>
      <c r="G18" s="38"/>
    </row>
    <row r="19" spans="1:7" x14ac:dyDescent="0.2">
      <c r="A19" s="3" t="s">
        <v>30</v>
      </c>
    </row>
    <row r="21" spans="1:7" x14ac:dyDescent="0.2">
      <c r="A21" s="3" t="s">
        <v>31</v>
      </c>
    </row>
  </sheetData>
  <mergeCells count="1">
    <mergeCell ref="A18:G18"/>
  </mergeCells>
  <phoneticPr fontId="3" type="noConversion"/>
  <hyperlinks>
    <hyperlink ref="A1" r:id="rId1" xr:uid="{6F4E38AD-DC14-470C-A99E-1C7A565A50AE}"/>
    <hyperlink ref="A19" r:id="rId2" xr:uid="{9D360F3E-7DA7-4581-A275-E27D12D96ECA}"/>
    <hyperlink ref="A21" r:id="rId3" xr:uid="{29C09F8B-B971-4C83-AAD0-7DDE8DE2A81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C45F-BD63-489C-8DA4-D2A8FF33CAC4}">
  <dimension ref="B1:L28"/>
  <sheetViews>
    <sheetView showGridLines="0" workbookViewId="0">
      <selection activeCell="G2" sqref="G2"/>
    </sheetView>
  </sheetViews>
  <sheetFormatPr defaultRowHeight="14.25" x14ac:dyDescent="0.2"/>
  <cols>
    <col min="1" max="1" width="9" style="41"/>
    <col min="2" max="2" width="7" style="41" bestFit="1" customWidth="1"/>
    <col min="3" max="3" width="15.625" style="41" customWidth="1"/>
    <col min="4" max="4" width="14.25" style="41" bestFit="1" customWidth="1"/>
    <col min="5" max="7" width="9" style="41"/>
    <col min="8" max="8" width="21.375" style="41" customWidth="1"/>
    <col min="9" max="9" width="14.25" style="41" bestFit="1" customWidth="1"/>
    <col min="10" max="10" width="18.125" style="41" customWidth="1"/>
    <col min="11" max="11" width="23" style="41" bestFit="1" customWidth="1"/>
    <col min="12" max="12" width="17.375" style="41" bestFit="1" customWidth="1"/>
    <col min="13" max="16384" width="9" style="41"/>
  </cols>
  <sheetData>
    <row r="1" spans="2:12" ht="21.75" customHeight="1" x14ac:dyDescent="0.2">
      <c r="G1" s="40" t="s">
        <v>134</v>
      </c>
      <c r="H1" s="40"/>
      <c r="I1" s="40"/>
      <c r="J1" s="40"/>
      <c r="K1" s="40"/>
      <c r="L1" s="40"/>
    </row>
    <row r="2" spans="2:12" x14ac:dyDescent="0.2">
      <c r="B2" s="42" t="s">
        <v>32</v>
      </c>
      <c r="C2" s="42" t="s">
        <v>92</v>
      </c>
      <c r="D2" s="42" t="s">
        <v>93</v>
      </c>
      <c r="G2" s="41" t="s">
        <v>65</v>
      </c>
      <c r="H2" s="41" t="s">
        <v>94</v>
      </c>
      <c r="I2" s="41" t="s">
        <v>93</v>
      </c>
      <c r="K2" s="41" t="s">
        <v>97</v>
      </c>
    </row>
    <row r="3" spans="2:12" x14ac:dyDescent="0.2">
      <c r="B3" s="43">
        <v>44197</v>
      </c>
      <c r="C3" s="44">
        <v>20.2</v>
      </c>
      <c r="D3" s="45">
        <v>27</v>
      </c>
      <c r="G3" s="46">
        <v>44927</v>
      </c>
      <c r="H3" s="47">
        <v>15.5</v>
      </c>
      <c r="I3" s="48">
        <f t="shared" ref="I3:I14" si="0">$H$18*H3+$H$19</f>
        <v>57.591413674784064</v>
      </c>
      <c r="J3" s="49" t="str">
        <f ca="1">_xlfn.FORMULATEXT(I3)</f>
        <v>=$H$18*H3+$H$19</v>
      </c>
      <c r="K3" s="48">
        <f>IF(I3&lt;0,0,I3)</f>
        <v>57.591413674784064</v>
      </c>
      <c r="L3" s="49" t="str">
        <f ca="1">_xlfn.FORMULATEXT(K3)</f>
        <v>=IF(I3&lt;0,0,I3)</v>
      </c>
    </row>
    <row r="4" spans="2:12" x14ac:dyDescent="0.2">
      <c r="B4" s="43">
        <v>44228</v>
      </c>
      <c r="C4" s="44">
        <v>58.5</v>
      </c>
      <c r="D4" s="45">
        <v>70</v>
      </c>
      <c r="G4" s="46">
        <v>44958</v>
      </c>
      <c r="H4" s="47">
        <v>66.400000000000006</v>
      </c>
      <c r="I4" s="48">
        <f t="shared" si="0"/>
        <v>128.81033866031484</v>
      </c>
      <c r="J4" s="49" t="str">
        <f t="shared" ref="J4:L14" ca="1" si="1">_xlfn.FORMULATEXT(I4)</f>
        <v>=$H$18*H4+$H$19</v>
      </c>
      <c r="K4" s="48">
        <f t="shared" ref="K4:K14" si="2">IF(I4&lt;0,0,I4)</f>
        <v>128.81033866031484</v>
      </c>
      <c r="L4" s="49" t="str">
        <f t="shared" ca="1" si="1"/>
        <v>=IF(I4&lt;0,0,I4)</v>
      </c>
    </row>
    <row r="5" spans="2:12" x14ac:dyDescent="0.2">
      <c r="B5" s="43">
        <v>44256</v>
      </c>
      <c r="C5" s="44">
        <v>96.8</v>
      </c>
      <c r="D5" s="45">
        <v>123</v>
      </c>
      <c r="G5" s="46">
        <v>44986</v>
      </c>
      <c r="H5" s="47">
        <v>117.3</v>
      </c>
      <c r="I5" s="48">
        <f t="shared" si="0"/>
        <v>200.02926364584559</v>
      </c>
      <c r="J5" s="49" t="str">
        <f t="shared" ca="1" si="1"/>
        <v>=$H$18*H5+$H$19</v>
      </c>
      <c r="K5" s="48">
        <f t="shared" si="2"/>
        <v>200.02926364584559</v>
      </c>
      <c r="L5" s="49" t="str">
        <f t="shared" ca="1" si="1"/>
        <v>=IF(I5&lt;0,0,I5)</v>
      </c>
    </row>
    <row r="6" spans="2:12" x14ac:dyDescent="0.2">
      <c r="B6" s="43">
        <v>44287</v>
      </c>
      <c r="C6" s="44">
        <v>103.6</v>
      </c>
      <c r="D6" s="45">
        <v>193</v>
      </c>
      <c r="G6" s="46">
        <v>45017</v>
      </c>
      <c r="H6" s="47">
        <v>110.9</v>
      </c>
      <c r="I6" s="48">
        <f t="shared" si="0"/>
        <v>191.07442828420716</v>
      </c>
      <c r="J6" s="49" t="str">
        <f t="shared" ca="1" si="1"/>
        <v>=$H$18*H6+$H$19</v>
      </c>
      <c r="K6" s="48">
        <f t="shared" si="2"/>
        <v>191.07442828420716</v>
      </c>
      <c r="L6" s="49" t="str">
        <f t="shared" ca="1" si="1"/>
        <v>=IF(I6&lt;0,0,I6)</v>
      </c>
    </row>
    <row r="7" spans="2:12" x14ac:dyDescent="0.2">
      <c r="B7" s="43">
        <v>44317</v>
      </c>
      <c r="C7" s="44">
        <v>245.4</v>
      </c>
      <c r="D7" s="45">
        <v>305</v>
      </c>
      <c r="G7" s="46">
        <v>45047</v>
      </c>
      <c r="H7" s="47">
        <v>275.2</v>
      </c>
      <c r="I7" s="48">
        <f t="shared" si="0"/>
        <v>420.96184233376914</v>
      </c>
      <c r="J7" s="49" t="str">
        <f t="shared" ca="1" si="1"/>
        <v>=$H$18*H7+$H$19</v>
      </c>
      <c r="K7" s="48">
        <f t="shared" si="2"/>
        <v>420.96184233376914</v>
      </c>
      <c r="L7" s="49" t="str">
        <f t="shared" ca="1" si="1"/>
        <v>=IF(I7&lt;0,0,I7)</v>
      </c>
    </row>
    <row r="8" spans="2:12" x14ac:dyDescent="0.2">
      <c r="B8" s="43">
        <v>44348</v>
      </c>
      <c r="C8" s="44">
        <v>144.6</v>
      </c>
      <c r="D8" s="45">
        <v>233</v>
      </c>
      <c r="G8" s="46">
        <v>45078</v>
      </c>
      <c r="H8" s="47">
        <v>122.4</v>
      </c>
      <c r="I8" s="48">
        <f t="shared" si="0"/>
        <v>207.16514807465123</v>
      </c>
      <c r="J8" s="49" t="str">
        <f t="shared" ca="1" si="1"/>
        <v>=$H$18*H8+$H$19</v>
      </c>
      <c r="K8" s="48">
        <f t="shared" si="2"/>
        <v>207.16514807465123</v>
      </c>
      <c r="L8" s="49" t="str">
        <f t="shared" ca="1" si="1"/>
        <v>=IF(I8&lt;0,0,I8)</v>
      </c>
    </row>
    <row r="9" spans="2:12" x14ac:dyDescent="0.2">
      <c r="B9" s="43">
        <v>44378</v>
      </c>
      <c r="C9" s="44">
        <v>258.10000000000002</v>
      </c>
      <c r="D9" s="45">
        <v>442</v>
      </c>
      <c r="G9" s="46">
        <v>45108</v>
      </c>
      <c r="H9" s="47">
        <v>279.39999999999998</v>
      </c>
      <c r="I9" s="48">
        <f t="shared" si="0"/>
        <v>426.83845303984435</v>
      </c>
      <c r="J9" s="49" t="str">
        <f t="shared" ca="1" si="1"/>
        <v>=$H$18*H9+$H$19</v>
      </c>
      <c r="K9" s="48">
        <f t="shared" si="2"/>
        <v>426.83845303984435</v>
      </c>
      <c r="L9" s="49" t="str">
        <f t="shared" ca="1" si="1"/>
        <v>=IF(I9&lt;0,0,I9)</v>
      </c>
    </row>
    <row r="10" spans="2:12" x14ac:dyDescent="0.2">
      <c r="B10" s="43">
        <v>44409</v>
      </c>
      <c r="C10" s="44">
        <v>275.10000000000002</v>
      </c>
      <c r="D10" s="45">
        <v>522</v>
      </c>
      <c r="G10" s="46">
        <v>45139</v>
      </c>
      <c r="H10" s="47">
        <v>289.39999999999998</v>
      </c>
      <c r="I10" s="48">
        <f t="shared" si="0"/>
        <v>440.83038329240435</v>
      </c>
      <c r="J10" s="49" t="str">
        <f t="shared" ca="1" si="1"/>
        <v>=$H$18*H10+$H$19</v>
      </c>
      <c r="K10" s="48">
        <f t="shared" si="2"/>
        <v>440.83038329240435</v>
      </c>
      <c r="L10" s="49" t="str">
        <f t="shared" ca="1" si="1"/>
        <v>=IF(I10&lt;0,0,I10)</v>
      </c>
    </row>
    <row r="11" spans="2:12" x14ac:dyDescent="0.2">
      <c r="B11" s="43">
        <v>44440</v>
      </c>
      <c r="C11" s="44">
        <v>334.7</v>
      </c>
      <c r="D11" s="45">
        <v>405</v>
      </c>
      <c r="G11" s="46">
        <v>45170</v>
      </c>
      <c r="H11" s="47">
        <v>372.2</v>
      </c>
      <c r="I11" s="48">
        <f t="shared" si="0"/>
        <v>556.68356578360181</v>
      </c>
      <c r="J11" s="49" t="str">
        <f t="shared" ca="1" si="1"/>
        <v>=$H$18*H11+$H$19</v>
      </c>
      <c r="K11" s="48">
        <f t="shared" si="2"/>
        <v>556.68356578360181</v>
      </c>
      <c r="L11" s="49" t="str">
        <f t="shared" ca="1" si="1"/>
        <v>=IF(I11&lt;0,0,I11)</v>
      </c>
    </row>
    <row r="12" spans="2:12" x14ac:dyDescent="0.2">
      <c r="B12" s="43">
        <v>44470</v>
      </c>
      <c r="C12" s="44">
        <v>211.7</v>
      </c>
      <c r="D12" s="45">
        <v>267</v>
      </c>
      <c r="G12" s="46">
        <v>45200</v>
      </c>
      <c r="H12" s="47">
        <v>227</v>
      </c>
      <c r="I12" s="48">
        <f t="shared" si="0"/>
        <v>353.52073851642956</v>
      </c>
      <c r="J12" s="49" t="str">
        <f t="shared" ca="1" si="1"/>
        <v>=$H$18*H12+$H$19</v>
      </c>
      <c r="K12" s="48">
        <f t="shared" si="2"/>
        <v>353.52073851642956</v>
      </c>
      <c r="L12" s="49" t="str">
        <f t="shared" ca="1" si="1"/>
        <v>=IF(I12&lt;0,0,I12)</v>
      </c>
    </row>
    <row r="13" spans="2:12" x14ac:dyDescent="0.2">
      <c r="B13" s="43">
        <v>44501</v>
      </c>
      <c r="C13" s="44">
        <v>121.9</v>
      </c>
      <c r="D13" s="45">
        <v>263</v>
      </c>
      <c r="G13" s="46">
        <v>45231</v>
      </c>
      <c r="H13" s="47">
        <v>121</v>
      </c>
      <c r="I13" s="48">
        <f t="shared" si="0"/>
        <v>205.20627783929282</v>
      </c>
      <c r="J13" s="49" t="str">
        <f t="shared" ca="1" si="1"/>
        <v>=$H$18*H13+$H$19</v>
      </c>
      <c r="K13" s="48">
        <f t="shared" si="2"/>
        <v>205.20627783929282</v>
      </c>
      <c r="L13" s="49" t="str">
        <f t="shared" ca="1" si="1"/>
        <v>=IF(I13&lt;0,0,I13)</v>
      </c>
    </row>
    <row r="14" spans="2:12" x14ac:dyDescent="0.2">
      <c r="B14" s="43">
        <v>44531</v>
      </c>
      <c r="C14" s="44">
        <v>88.4</v>
      </c>
      <c r="D14" s="45">
        <v>156</v>
      </c>
      <c r="G14" s="46">
        <v>45261</v>
      </c>
      <c r="H14" s="47">
        <v>94.2</v>
      </c>
      <c r="I14" s="48">
        <f t="shared" si="0"/>
        <v>167.70790476243184</v>
      </c>
      <c r="J14" s="49" t="str">
        <f t="shared" ca="1" si="1"/>
        <v>=$H$18*H14+$H$19</v>
      </c>
      <c r="K14" s="48">
        <f t="shared" si="2"/>
        <v>167.70790476243184</v>
      </c>
      <c r="L14" s="49" t="str">
        <f t="shared" ca="1" si="1"/>
        <v>=IF(I14&lt;0,0,I14)</v>
      </c>
    </row>
    <row r="15" spans="2:12" x14ac:dyDescent="0.2">
      <c r="B15" s="43">
        <v>44562</v>
      </c>
      <c r="C15" s="44">
        <v>10.799999999999999</v>
      </c>
      <c r="D15" s="45">
        <v>20</v>
      </c>
    </row>
    <row r="16" spans="2:12" x14ac:dyDescent="0.2">
      <c r="B16" s="43">
        <v>44593</v>
      </c>
      <c r="C16" s="44">
        <v>74.3</v>
      </c>
      <c r="D16" s="45">
        <v>96</v>
      </c>
    </row>
    <row r="17" spans="2:9" x14ac:dyDescent="0.2">
      <c r="B17" s="43">
        <v>44621</v>
      </c>
      <c r="C17" s="44">
        <v>137.69999999999999</v>
      </c>
      <c r="D17" s="45">
        <v>208</v>
      </c>
      <c r="G17" s="41" t="s">
        <v>99</v>
      </c>
    </row>
    <row r="18" spans="2:9" x14ac:dyDescent="0.2">
      <c r="B18" s="43">
        <v>44652</v>
      </c>
      <c r="C18" s="44">
        <v>118.1</v>
      </c>
      <c r="D18" s="45">
        <v>285</v>
      </c>
      <c r="G18" s="41" t="s">
        <v>95</v>
      </c>
      <c r="H18" s="50">
        <f>SLOPE(D3:D26,C3:C26)</f>
        <v>1.3991930252560072</v>
      </c>
      <c r="I18" s="49" t="str">
        <f t="shared" ref="I18:I19" ca="1" si="3">_xlfn.FORMULATEXT(H18)</f>
        <v>=SLOPE(D3:D26,C3:C26)</v>
      </c>
    </row>
    <row r="19" spans="2:9" x14ac:dyDescent="0.2">
      <c r="B19" s="43">
        <v>44682</v>
      </c>
      <c r="C19" s="44">
        <v>305</v>
      </c>
      <c r="D19" s="45">
        <v>660</v>
      </c>
      <c r="G19" s="41" t="s">
        <v>96</v>
      </c>
      <c r="H19" s="50">
        <f>INTERCEPT(D3:D26,C3:C26)</f>
        <v>35.903921783315951</v>
      </c>
      <c r="I19" s="49" t="str">
        <f t="shared" ca="1" si="3"/>
        <v>=INTERCEPT(D3:D26,C3:C26)</v>
      </c>
    </row>
    <row r="20" spans="2:9" x14ac:dyDescent="0.2">
      <c r="B20" s="43">
        <v>44713</v>
      </c>
      <c r="C20" s="44">
        <v>100.19999999999999</v>
      </c>
      <c r="D20" s="45">
        <v>229</v>
      </c>
    </row>
    <row r="21" spans="2:9" x14ac:dyDescent="0.2">
      <c r="B21" s="43">
        <v>44743</v>
      </c>
      <c r="C21" s="44">
        <v>300.70000000000005</v>
      </c>
      <c r="D21" s="45">
        <v>519</v>
      </c>
      <c r="G21" s="41" t="s">
        <v>100</v>
      </c>
    </row>
    <row r="22" spans="2:9" x14ac:dyDescent="0.2">
      <c r="B22" s="43">
        <v>44774</v>
      </c>
      <c r="C22" s="44">
        <v>303.60000000000002</v>
      </c>
      <c r="D22" s="45">
        <v>426</v>
      </c>
      <c r="G22" s="41" cm="1">
        <f t="array" ref="G22:H22">LINEST(D3:D26,C3:C26)</f>
        <v>1.3991930252560072</v>
      </c>
      <c r="H22" s="41">
        <v>35.903921783315951</v>
      </c>
    </row>
    <row r="23" spans="2:9" x14ac:dyDescent="0.2">
      <c r="B23" s="43">
        <v>44805</v>
      </c>
      <c r="C23" s="44">
        <v>409.6</v>
      </c>
      <c r="D23" s="45">
        <v>488</v>
      </c>
      <c r="G23" s="49" t="str">
        <f ca="1">_xlfn.FORMULATEXT(G22)</f>
        <v>=LINEST(D3:D26,C3:C26)</v>
      </c>
    </row>
    <row r="24" spans="2:9" x14ac:dyDescent="0.2">
      <c r="B24" s="43">
        <v>44835</v>
      </c>
      <c r="C24" s="44">
        <v>242.2</v>
      </c>
      <c r="D24" s="45">
        <v>356</v>
      </c>
    </row>
    <row r="25" spans="2:9" x14ac:dyDescent="0.2">
      <c r="B25" s="43">
        <v>44866</v>
      </c>
      <c r="C25" s="44">
        <v>120</v>
      </c>
      <c r="D25" s="45">
        <v>200</v>
      </c>
    </row>
    <row r="26" spans="2:9" x14ac:dyDescent="0.2">
      <c r="B26" s="43">
        <v>44896</v>
      </c>
      <c r="C26" s="44">
        <v>100</v>
      </c>
      <c r="D26" s="45">
        <v>219</v>
      </c>
    </row>
    <row r="27" spans="2:9" x14ac:dyDescent="0.2">
      <c r="G27" s="41" t="s">
        <v>101</v>
      </c>
    </row>
    <row r="28" spans="2:9" x14ac:dyDescent="0.2">
      <c r="G28" s="41">
        <f>CORREL(C3:C26,D3:D26)</f>
        <v>0.90709231560680748</v>
      </c>
      <c r="H28" s="49" t="str">
        <f t="shared" ref="H28" ca="1" si="4">_xlfn.FORMULATEXT(G28)</f>
        <v>=CORREL(C3:C26,D3:D26)</v>
      </c>
    </row>
  </sheetData>
  <mergeCells count="1">
    <mergeCell ref="G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9E77-4EC5-4726-85F4-CE356F4A0DFA}">
  <dimension ref="A1:S26"/>
  <sheetViews>
    <sheetView topLeftCell="B1" workbookViewId="0">
      <selection activeCell="G18" sqref="G18"/>
    </sheetView>
  </sheetViews>
  <sheetFormatPr defaultRowHeight="14.25" x14ac:dyDescent="0.2"/>
  <cols>
    <col min="2" max="2" width="15.625" customWidth="1"/>
    <col min="3" max="3" width="14.25" bestFit="1" customWidth="1"/>
    <col min="15" max="15" width="21.375" bestFit="1" customWidth="1"/>
    <col min="16" max="16" width="14.25" bestFit="1" customWidth="1"/>
    <col min="17" max="17" width="18.125" customWidth="1"/>
    <col min="18" max="18" width="23" bestFit="1" customWidth="1"/>
    <col min="19" max="19" width="17.375" bestFit="1" customWidth="1"/>
  </cols>
  <sheetData>
    <row r="1" spans="1:19" x14ac:dyDescent="0.2">
      <c r="A1" t="s">
        <v>32</v>
      </c>
      <c r="B1" t="s">
        <v>92</v>
      </c>
      <c r="C1" t="s">
        <v>93</v>
      </c>
    </row>
    <row r="2" spans="1:19" x14ac:dyDescent="0.2">
      <c r="A2" s="12">
        <v>44197</v>
      </c>
      <c r="B2" s="6">
        <v>20.2</v>
      </c>
      <c r="C2">
        <v>27</v>
      </c>
      <c r="N2" t="s">
        <v>65</v>
      </c>
      <c r="O2" t="s">
        <v>94</v>
      </c>
      <c r="P2" t="s">
        <v>93</v>
      </c>
      <c r="R2" t="s">
        <v>97</v>
      </c>
    </row>
    <row r="3" spans="1:19" x14ac:dyDescent="0.2">
      <c r="A3" s="12">
        <v>44228</v>
      </c>
      <c r="B3" s="6">
        <v>58.5</v>
      </c>
      <c r="C3">
        <v>70</v>
      </c>
      <c r="N3" s="12">
        <v>44927</v>
      </c>
      <c r="O3" s="19">
        <v>15.5</v>
      </c>
      <c r="P3" s="14">
        <f>$F$18*O3+$F$19</f>
        <v>57.5976</v>
      </c>
      <c r="Q3" s="20" t="str">
        <f ca="1">_xlfn.FORMULATEXT(P3)</f>
        <v>=$F$18*O3+$F$19</v>
      </c>
      <c r="R3" s="14">
        <f>IF(P3&lt;0,0,P3)</f>
        <v>57.5976</v>
      </c>
      <c r="S3" s="20" t="str">
        <f ca="1">_xlfn.FORMULATEXT(R3)</f>
        <v>=IF(P3&lt;0,0,P3)</v>
      </c>
    </row>
    <row r="4" spans="1:19" x14ac:dyDescent="0.2">
      <c r="A4" s="12">
        <v>44256</v>
      </c>
      <c r="B4" s="6">
        <v>96.8</v>
      </c>
      <c r="C4">
        <v>123</v>
      </c>
      <c r="N4" s="12">
        <v>44958</v>
      </c>
      <c r="O4" s="19">
        <v>66.400000000000006</v>
      </c>
      <c r="P4" s="14">
        <f t="shared" ref="P4:P14" si="0">$F$18*O4+$F$19</f>
        <v>128.81688</v>
      </c>
      <c r="Q4" s="20" t="str">
        <f t="shared" ref="Q4:S14" ca="1" si="1">_xlfn.FORMULATEXT(P4)</f>
        <v>=$F$18*O4+$F$19</v>
      </c>
      <c r="R4" s="14">
        <f t="shared" ref="R4:R14" si="2">IF(P4&lt;0,0,P4)</f>
        <v>128.81688</v>
      </c>
      <c r="S4" s="20" t="str">
        <f t="shared" ca="1" si="1"/>
        <v>=IF(P4&lt;0,0,P4)</v>
      </c>
    </row>
    <row r="5" spans="1:19" x14ac:dyDescent="0.2">
      <c r="A5" s="12">
        <v>44287</v>
      </c>
      <c r="B5" s="6">
        <v>103.6</v>
      </c>
      <c r="C5">
        <v>193</v>
      </c>
      <c r="N5" s="12">
        <v>44986</v>
      </c>
      <c r="O5" s="19">
        <v>117.3</v>
      </c>
      <c r="P5" s="14">
        <f t="shared" si="0"/>
        <v>200.03616</v>
      </c>
      <c r="Q5" s="20" t="str">
        <f t="shared" ca="1" si="1"/>
        <v>=$F$18*O5+$F$19</v>
      </c>
      <c r="R5" s="14">
        <f t="shared" si="2"/>
        <v>200.03616</v>
      </c>
      <c r="S5" s="20" t="str">
        <f t="shared" ca="1" si="1"/>
        <v>=IF(P5&lt;0,0,P5)</v>
      </c>
    </row>
    <row r="6" spans="1:19" x14ac:dyDescent="0.2">
      <c r="A6" s="12">
        <v>44317</v>
      </c>
      <c r="B6" s="6">
        <v>245.4</v>
      </c>
      <c r="C6">
        <v>305</v>
      </c>
      <c r="N6" s="12">
        <v>45017</v>
      </c>
      <c r="O6" s="19">
        <v>110.9</v>
      </c>
      <c r="P6" s="14">
        <f t="shared" si="0"/>
        <v>191.08127999999999</v>
      </c>
      <c r="Q6" s="20" t="str">
        <f t="shared" ca="1" si="1"/>
        <v>=$F$18*O6+$F$19</v>
      </c>
      <c r="R6" s="14">
        <f t="shared" si="2"/>
        <v>191.08127999999999</v>
      </c>
      <c r="S6" s="20" t="str">
        <f t="shared" ca="1" si="1"/>
        <v>=IF(P6&lt;0,0,P6)</v>
      </c>
    </row>
    <row r="7" spans="1:19" x14ac:dyDescent="0.2">
      <c r="A7" s="12">
        <v>44348</v>
      </c>
      <c r="B7" s="6">
        <v>144.6</v>
      </c>
      <c r="C7">
        <v>233</v>
      </c>
      <c r="N7" s="12">
        <v>45047</v>
      </c>
      <c r="O7" s="19">
        <v>275.2</v>
      </c>
      <c r="P7" s="14">
        <f t="shared" si="0"/>
        <v>420.96983999999998</v>
      </c>
      <c r="Q7" s="20" t="str">
        <f t="shared" ca="1" si="1"/>
        <v>=$F$18*O7+$F$19</v>
      </c>
      <c r="R7" s="14">
        <f t="shared" si="2"/>
        <v>420.96983999999998</v>
      </c>
      <c r="S7" s="20" t="str">
        <f t="shared" ca="1" si="1"/>
        <v>=IF(P7&lt;0,0,P7)</v>
      </c>
    </row>
    <row r="8" spans="1:19" x14ac:dyDescent="0.2">
      <c r="A8" s="12">
        <v>44378</v>
      </c>
      <c r="B8" s="6">
        <v>258.10000000000002</v>
      </c>
      <c r="C8">
        <v>442</v>
      </c>
      <c r="N8" s="12">
        <v>45078</v>
      </c>
      <c r="O8" s="19">
        <v>122.4</v>
      </c>
      <c r="P8" s="14">
        <f t="shared" si="0"/>
        <v>207.17207999999999</v>
      </c>
      <c r="Q8" s="20" t="str">
        <f t="shared" ca="1" si="1"/>
        <v>=$F$18*O8+$F$19</v>
      </c>
      <c r="R8" s="14">
        <f t="shared" si="2"/>
        <v>207.17207999999999</v>
      </c>
      <c r="S8" s="20" t="str">
        <f t="shared" ca="1" si="1"/>
        <v>=IF(P8&lt;0,0,P8)</v>
      </c>
    </row>
    <row r="9" spans="1:19" x14ac:dyDescent="0.2">
      <c r="A9" s="12">
        <v>44409</v>
      </c>
      <c r="B9" s="6">
        <v>275.10000000000002</v>
      </c>
      <c r="C9">
        <v>522</v>
      </c>
      <c r="N9" s="12">
        <v>45108</v>
      </c>
      <c r="O9" s="19">
        <v>279.39999999999998</v>
      </c>
      <c r="P9" s="14">
        <f t="shared" si="0"/>
        <v>426.84647999999993</v>
      </c>
      <c r="Q9" s="20" t="str">
        <f t="shared" ca="1" si="1"/>
        <v>=$F$18*O9+$F$19</v>
      </c>
      <c r="R9" s="14">
        <f t="shared" si="2"/>
        <v>426.84647999999993</v>
      </c>
      <c r="S9" s="20" t="str">
        <f t="shared" ca="1" si="1"/>
        <v>=IF(P9&lt;0,0,P9)</v>
      </c>
    </row>
    <row r="10" spans="1:19" x14ac:dyDescent="0.2">
      <c r="A10" s="12">
        <v>44440</v>
      </c>
      <c r="B10" s="6">
        <v>334.7</v>
      </c>
      <c r="C10">
        <v>405</v>
      </c>
      <c r="N10" s="12">
        <v>45139</v>
      </c>
      <c r="O10" s="19">
        <v>289.39999999999998</v>
      </c>
      <c r="P10" s="14">
        <f t="shared" si="0"/>
        <v>440.83848</v>
      </c>
      <c r="Q10" s="20" t="str">
        <f t="shared" ca="1" si="1"/>
        <v>=$F$18*O10+$F$19</v>
      </c>
      <c r="R10" s="14">
        <f t="shared" si="2"/>
        <v>440.83848</v>
      </c>
      <c r="S10" s="20" t="str">
        <f t="shared" ca="1" si="1"/>
        <v>=IF(P10&lt;0,0,P10)</v>
      </c>
    </row>
    <row r="11" spans="1:19" x14ac:dyDescent="0.2">
      <c r="A11" s="12">
        <v>44470</v>
      </c>
      <c r="B11" s="6">
        <v>211.7</v>
      </c>
      <c r="C11">
        <v>267</v>
      </c>
      <c r="N11" s="12">
        <v>45170</v>
      </c>
      <c r="O11" s="19">
        <v>372.2</v>
      </c>
      <c r="P11" s="14">
        <f t="shared" si="0"/>
        <v>556.69223999999997</v>
      </c>
      <c r="Q11" s="20" t="str">
        <f t="shared" ca="1" si="1"/>
        <v>=$F$18*O11+$F$19</v>
      </c>
      <c r="R11" s="14">
        <f t="shared" si="2"/>
        <v>556.69223999999997</v>
      </c>
      <c r="S11" s="20" t="str">
        <f t="shared" ca="1" si="1"/>
        <v>=IF(P11&lt;0,0,P11)</v>
      </c>
    </row>
    <row r="12" spans="1:19" x14ac:dyDescent="0.2">
      <c r="A12" s="12">
        <v>44501</v>
      </c>
      <c r="B12" s="6">
        <v>121.9</v>
      </c>
      <c r="C12">
        <v>263</v>
      </c>
      <c r="N12" s="12">
        <v>45200</v>
      </c>
      <c r="O12" s="19">
        <v>227</v>
      </c>
      <c r="P12" s="14">
        <f t="shared" si="0"/>
        <v>353.52840000000003</v>
      </c>
      <c r="Q12" s="20" t="str">
        <f t="shared" ca="1" si="1"/>
        <v>=$F$18*O12+$F$19</v>
      </c>
      <c r="R12" s="14">
        <f t="shared" si="2"/>
        <v>353.52840000000003</v>
      </c>
      <c r="S12" s="20" t="str">
        <f t="shared" ca="1" si="1"/>
        <v>=IF(P12&lt;0,0,P12)</v>
      </c>
    </row>
    <row r="13" spans="1:19" x14ac:dyDescent="0.2">
      <c r="A13" s="12">
        <v>44531</v>
      </c>
      <c r="B13" s="6">
        <v>88.4</v>
      </c>
      <c r="C13">
        <v>156</v>
      </c>
      <c r="N13" s="12">
        <v>45231</v>
      </c>
      <c r="O13" s="19">
        <v>121</v>
      </c>
      <c r="P13" s="14">
        <f>$F$18*O13+$F$19</f>
        <v>205.2132</v>
      </c>
      <c r="Q13" s="20" t="str">
        <f t="shared" ca="1" si="1"/>
        <v>=$F$18*O13+$F$19</v>
      </c>
      <c r="R13" s="14">
        <f t="shared" si="2"/>
        <v>205.2132</v>
      </c>
      <c r="S13" s="20" t="str">
        <f t="shared" ca="1" si="1"/>
        <v>=IF(P13&lt;0,0,P13)</v>
      </c>
    </row>
    <row r="14" spans="1:19" x14ac:dyDescent="0.2">
      <c r="A14" s="12">
        <v>44562</v>
      </c>
      <c r="B14" s="6">
        <v>10.799999999999999</v>
      </c>
      <c r="C14">
        <v>20</v>
      </c>
      <c r="N14" s="12">
        <v>45261</v>
      </c>
      <c r="O14" s="19">
        <v>94.2</v>
      </c>
      <c r="P14" s="14">
        <f t="shared" si="0"/>
        <v>167.71464</v>
      </c>
      <c r="Q14" s="20" t="str">
        <f t="shared" ca="1" si="1"/>
        <v>=$F$18*O14+$F$19</v>
      </c>
      <c r="R14" s="14">
        <f t="shared" si="2"/>
        <v>167.71464</v>
      </c>
      <c r="S14" s="20" t="str">
        <f t="shared" ca="1" si="1"/>
        <v>=IF(P14&lt;0,0,P14)</v>
      </c>
    </row>
    <row r="15" spans="1:19" x14ac:dyDescent="0.2">
      <c r="A15" s="12">
        <v>44593</v>
      </c>
      <c r="B15" s="6">
        <v>74.25</v>
      </c>
      <c r="C15">
        <v>96</v>
      </c>
    </row>
    <row r="16" spans="1:19" x14ac:dyDescent="0.2">
      <c r="A16" s="12">
        <v>44621</v>
      </c>
      <c r="B16" s="6">
        <v>137.69999999999999</v>
      </c>
      <c r="C16">
        <v>208</v>
      </c>
    </row>
    <row r="17" spans="1:7" x14ac:dyDescent="0.2">
      <c r="A17" s="12">
        <v>44652</v>
      </c>
      <c r="B17" s="6">
        <v>118.1</v>
      </c>
      <c r="C17">
        <v>285</v>
      </c>
    </row>
    <row r="18" spans="1:7" x14ac:dyDescent="0.2">
      <c r="A18" s="12">
        <v>44682</v>
      </c>
      <c r="B18" s="6">
        <v>305</v>
      </c>
      <c r="C18">
        <v>660</v>
      </c>
      <c r="E18" t="s">
        <v>98</v>
      </c>
      <c r="F18">
        <v>1.3992</v>
      </c>
      <c r="G18" s="20"/>
    </row>
    <row r="19" spans="1:7" x14ac:dyDescent="0.2">
      <c r="A19" s="12">
        <v>44713</v>
      </c>
      <c r="B19" s="6">
        <v>100.19999999999999</v>
      </c>
      <c r="C19">
        <v>229</v>
      </c>
      <c r="E19" t="s">
        <v>64</v>
      </c>
      <c r="F19">
        <v>35.909999999999997</v>
      </c>
    </row>
    <row r="20" spans="1:7" x14ac:dyDescent="0.2">
      <c r="A20" s="12">
        <v>44743</v>
      </c>
      <c r="B20" s="6">
        <v>300.70000000000005</v>
      </c>
      <c r="C20">
        <v>519</v>
      </c>
    </row>
    <row r="21" spans="1:7" x14ac:dyDescent="0.2">
      <c r="A21" s="12">
        <v>44774</v>
      </c>
      <c r="B21" s="6">
        <v>303.60000000000002</v>
      </c>
      <c r="C21">
        <v>426</v>
      </c>
    </row>
    <row r="22" spans="1:7" x14ac:dyDescent="0.2">
      <c r="A22" s="12">
        <v>44805</v>
      </c>
      <c r="B22" s="6">
        <v>409.6</v>
      </c>
      <c r="C22">
        <v>488</v>
      </c>
    </row>
    <row r="23" spans="1:7" x14ac:dyDescent="0.2">
      <c r="A23" s="12">
        <v>44835</v>
      </c>
      <c r="B23" s="6">
        <v>242.2</v>
      </c>
      <c r="C23">
        <v>356</v>
      </c>
    </row>
    <row r="24" spans="1:7" x14ac:dyDescent="0.2">
      <c r="A24" s="12">
        <v>44866</v>
      </c>
      <c r="B24" s="6">
        <v>120</v>
      </c>
      <c r="C24">
        <v>200</v>
      </c>
    </row>
    <row r="25" spans="1:7" x14ac:dyDescent="0.2">
      <c r="A25" s="12">
        <v>44896</v>
      </c>
      <c r="B25" s="6">
        <v>100</v>
      </c>
      <c r="C25">
        <v>219</v>
      </c>
    </row>
    <row r="26" spans="1:7" x14ac:dyDescent="0.2">
      <c r="A26" s="1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ED02-6E40-4703-8258-DDB00782F98B}">
  <dimension ref="A1:M26"/>
  <sheetViews>
    <sheetView showGridLines="0" zoomScaleNormal="100" workbookViewId="0">
      <selection activeCell="J19" sqref="J19"/>
    </sheetView>
  </sheetViews>
  <sheetFormatPr defaultRowHeight="14.25" x14ac:dyDescent="0.2"/>
  <cols>
    <col min="2" max="2" width="15.625" customWidth="1"/>
    <col min="5" max="5" width="18" bestFit="1" customWidth="1"/>
    <col min="6" max="13" width="13" customWidth="1"/>
  </cols>
  <sheetData>
    <row r="1" spans="1:11" x14ac:dyDescent="0.2">
      <c r="A1" t="s">
        <v>32</v>
      </c>
      <c r="B1" t="s">
        <v>92</v>
      </c>
      <c r="C1" t="s">
        <v>93</v>
      </c>
    </row>
    <row r="2" spans="1:11" x14ac:dyDescent="0.2">
      <c r="A2" s="12">
        <v>44197</v>
      </c>
      <c r="B2" s="6">
        <v>20.2</v>
      </c>
      <c r="C2">
        <f ca="1">ROUND((RANDBETWEEN(50,100)/10*LOG(B2)*10+(B2^0.5)*B2)/10,0)</f>
        <v>16</v>
      </c>
      <c r="E2" t="s">
        <v>82</v>
      </c>
    </row>
    <row r="3" spans="1:11" ht="15" thickBot="1" x14ac:dyDescent="0.25">
      <c r="A3" s="12">
        <v>44228</v>
      </c>
      <c r="B3" s="6">
        <v>58.5</v>
      </c>
      <c r="C3">
        <f t="shared" ref="C3:C25" ca="1" si="0">ROUND((RANDBETWEEN(50,100)/10*LOG(B3)*10+(B3^0.5)*B3)/10,0)</f>
        <v>59</v>
      </c>
    </row>
    <row r="4" spans="1:11" x14ac:dyDescent="0.2">
      <c r="A4" s="12">
        <v>44256</v>
      </c>
      <c r="B4" s="6">
        <v>96.8</v>
      </c>
      <c r="C4">
        <f t="shared" ca="1" si="0"/>
        <v>105</v>
      </c>
      <c r="E4" s="18" t="s">
        <v>83</v>
      </c>
      <c r="F4" s="18"/>
    </row>
    <row r="5" spans="1:11" x14ac:dyDescent="0.2">
      <c r="A5" s="12">
        <v>44287</v>
      </c>
      <c r="B5" s="6">
        <v>103.6</v>
      </c>
      <c r="C5">
        <f t="shared" ca="1" si="0"/>
        <v>117</v>
      </c>
      <c r="E5" t="s">
        <v>46</v>
      </c>
      <c r="F5" s="21">
        <v>0.99051466721031767</v>
      </c>
    </row>
    <row r="6" spans="1:11" x14ac:dyDescent="0.2">
      <c r="A6" s="12">
        <v>44317</v>
      </c>
      <c r="B6" s="6">
        <v>245.4</v>
      </c>
      <c r="C6">
        <f t="shared" ca="1" si="0"/>
        <v>398</v>
      </c>
      <c r="E6" t="s">
        <v>47</v>
      </c>
      <c r="F6" s="22">
        <v>0.98111930595876629</v>
      </c>
    </row>
    <row r="7" spans="1:11" x14ac:dyDescent="0.2">
      <c r="A7" s="12">
        <v>44348</v>
      </c>
      <c r="B7" s="6">
        <v>144.6</v>
      </c>
      <c r="C7">
        <f t="shared" ca="1" si="0"/>
        <v>190</v>
      </c>
      <c r="E7" t="s">
        <v>48</v>
      </c>
      <c r="F7" s="22">
        <v>0.98026109259325578</v>
      </c>
    </row>
    <row r="8" spans="1:11" x14ac:dyDescent="0.2">
      <c r="A8" s="12">
        <v>44378</v>
      </c>
      <c r="B8" s="6">
        <v>258.10000000000002</v>
      </c>
      <c r="C8">
        <f t="shared" ca="1" si="0"/>
        <v>434</v>
      </c>
      <c r="E8" t="s">
        <v>49</v>
      </c>
      <c r="F8" s="21">
        <v>32.129963566931394</v>
      </c>
    </row>
    <row r="9" spans="1:11" ht="15" thickBot="1" x14ac:dyDescent="0.25">
      <c r="A9" s="12">
        <v>44409</v>
      </c>
      <c r="B9" s="6">
        <v>275.10000000000002</v>
      </c>
      <c r="C9">
        <f t="shared" ca="1" si="0"/>
        <v>476</v>
      </c>
      <c r="E9" s="16" t="s">
        <v>50</v>
      </c>
      <c r="F9" s="16">
        <v>24</v>
      </c>
    </row>
    <row r="10" spans="1:11" x14ac:dyDescent="0.2">
      <c r="A10" s="12">
        <v>44440</v>
      </c>
      <c r="B10" s="6">
        <v>334.7</v>
      </c>
      <c r="C10">
        <f t="shared" ca="1" si="0"/>
        <v>637</v>
      </c>
    </row>
    <row r="11" spans="1:11" ht="15" thickBot="1" x14ac:dyDescent="0.25">
      <c r="A11" s="12">
        <v>44470</v>
      </c>
      <c r="B11" s="6">
        <v>211.7</v>
      </c>
      <c r="C11">
        <f t="shared" ca="1" si="0"/>
        <v>320</v>
      </c>
      <c r="E11" t="s">
        <v>51</v>
      </c>
    </row>
    <row r="12" spans="1:11" x14ac:dyDescent="0.2">
      <c r="A12" s="12">
        <v>44501</v>
      </c>
      <c r="B12" s="6">
        <v>121.9</v>
      </c>
      <c r="C12">
        <f t="shared" ca="1" si="0"/>
        <v>155</v>
      </c>
      <c r="E12" s="17"/>
      <c r="F12" s="17" t="s">
        <v>53</v>
      </c>
      <c r="G12" s="17" t="s">
        <v>54</v>
      </c>
      <c r="H12" s="17" t="s">
        <v>55</v>
      </c>
      <c r="I12" s="17" t="s">
        <v>56</v>
      </c>
      <c r="J12" s="17" t="s">
        <v>84</v>
      </c>
    </row>
    <row r="13" spans="1:11" x14ac:dyDescent="0.2">
      <c r="A13" s="12">
        <v>44531</v>
      </c>
      <c r="B13" s="6">
        <v>88.4</v>
      </c>
      <c r="C13">
        <f t="shared" ca="1" si="0"/>
        <v>97</v>
      </c>
      <c r="E13" t="s">
        <v>57</v>
      </c>
      <c r="F13">
        <v>1</v>
      </c>
      <c r="G13">
        <v>1180176.6397061285</v>
      </c>
      <c r="H13">
        <v>1180176.6397061285</v>
      </c>
      <c r="I13">
        <v>1143.2114033495852</v>
      </c>
      <c r="J13" s="1">
        <v>1.8440990362219046E-20</v>
      </c>
      <c r="K13" t="s">
        <v>108</v>
      </c>
    </row>
    <row r="14" spans="1:11" x14ac:dyDescent="0.2">
      <c r="A14" s="12">
        <v>44562</v>
      </c>
      <c r="B14" s="6">
        <v>10.799999999999999</v>
      </c>
      <c r="C14">
        <f t="shared" ca="1" si="0"/>
        <v>11</v>
      </c>
      <c r="E14" t="s">
        <v>58</v>
      </c>
      <c r="F14">
        <v>22</v>
      </c>
      <c r="G14">
        <v>22711.36029387145</v>
      </c>
      <c r="H14">
        <v>1032.3345588123386</v>
      </c>
      <c r="K14" t="s">
        <v>137</v>
      </c>
    </row>
    <row r="15" spans="1:11" ht="15" thickBot="1" x14ac:dyDescent="0.25">
      <c r="A15" s="12">
        <v>44593</v>
      </c>
      <c r="B15" s="6">
        <v>74.25</v>
      </c>
      <c r="C15">
        <f t="shared" ca="1" si="0"/>
        <v>76</v>
      </c>
      <c r="E15" s="16" t="s">
        <v>1</v>
      </c>
      <c r="F15" s="16">
        <v>23</v>
      </c>
      <c r="G15" s="16">
        <v>1202888</v>
      </c>
      <c r="H15" s="16"/>
      <c r="I15" s="16"/>
      <c r="J15" s="16"/>
    </row>
    <row r="16" spans="1:11" ht="15" thickBot="1" x14ac:dyDescent="0.25">
      <c r="A16" s="12">
        <v>44621</v>
      </c>
      <c r="B16" s="6">
        <v>137.69999999999999</v>
      </c>
      <c r="C16">
        <f t="shared" ca="1" si="0"/>
        <v>181</v>
      </c>
    </row>
    <row r="17" spans="1:13" x14ac:dyDescent="0.2">
      <c r="A17" s="12">
        <v>44652</v>
      </c>
      <c r="B17" s="6">
        <v>118.1</v>
      </c>
      <c r="C17">
        <f t="shared" ca="1" si="0"/>
        <v>144</v>
      </c>
      <c r="E17" s="17"/>
      <c r="F17" s="17" t="s">
        <v>85</v>
      </c>
      <c r="G17" s="17" t="s">
        <v>49</v>
      </c>
      <c r="H17" s="17" t="s">
        <v>86</v>
      </c>
      <c r="I17" s="17" t="s">
        <v>87</v>
      </c>
      <c r="J17" s="17" t="s">
        <v>88</v>
      </c>
      <c r="K17" s="17" t="s">
        <v>89</v>
      </c>
      <c r="L17" s="17" t="s">
        <v>90</v>
      </c>
      <c r="M17" s="17" t="s">
        <v>91</v>
      </c>
    </row>
    <row r="18" spans="1:13" x14ac:dyDescent="0.2">
      <c r="A18" s="12">
        <v>44682</v>
      </c>
      <c r="B18" s="6">
        <v>305</v>
      </c>
      <c r="C18">
        <f t="shared" ca="1" si="0"/>
        <v>549</v>
      </c>
      <c r="E18" t="s">
        <v>59</v>
      </c>
      <c r="F18" s="1">
        <v>-82.900662561338663</v>
      </c>
      <c r="G18">
        <v>12.553047664831544</v>
      </c>
      <c r="H18">
        <v>-6.6040267491050866</v>
      </c>
      <c r="I18" s="27">
        <v>1.2175967498664873E-6</v>
      </c>
      <c r="J18">
        <v>-108.93409003354833</v>
      </c>
      <c r="K18">
        <v>-56.867235089129004</v>
      </c>
      <c r="L18">
        <v>-108.93409003354833</v>
      </c>
      <c r="M18">
        <v>-56.867235089129004</v>
      </c>
    </row>
    <row r="19" spans="1:13" ht="15" thickBot="1" x14ac:dyDescent="0.25">
      <c r="A19" s="12">
        <v>44713</v>
      </c>
      <c r="B19" s="6">
        <v>100.19999999999999</v>
      </c>
      <c r="C19">
        <f t="shared" ca="1" si="0"/>
        <v>117</v>
      </c>
      <c r="E19" s="16" t="s">
        <v>92</v>
      </c>
      <c r="F19" s="23">
        <v>2.0773270276053548</v>
      </c>
      <c r="G19" s="16">
        <v>6.1438640580982619E-2</v>
      </c>
      <c r="H19" s="16">
        <v>33.811409366508009</v>
      </c>
      <c r="I19" s="28">
        <v>1.8440990362219046E-20</v>
      </c>
      <c r="J19" s="16">
        <v>1.9499110855758195</v>
      </c>
      <c r="K19" s="16">
        <v>2.2047429696348901</v>
      </c>
      <c r="L19" s="16">
        <v>1.9499110855758195</v>
      </c>
      <c r="M19" s="16">
        <v>2.2047429696348901</v>
      </c>
    </row>
    <row r="20" spans="1:13" x14ac:dyDescent="0.2">
      <c r="A20" s="12">
        <v>44743</v>
      </c>
      <c r="B20" s="6">
        <v>300.70000000000005</v>
      </c>
      <c r="C20">
        <f t="shared" ca="1" si="0"/>
        <v>544</v>
      </c>
    </row>
    <row r="21" spans="1:13" x14ac:dyDescent="0.2">
      <c r="A21" s="12">
        <v>44774</v>
      </c>
      <c r="B21" s="6">
        <v>303.60000000000002</v>
      </c>
      <c r="C21">
        <f t="shared" ca="1" si="0"/>
        <v>542</v>
      </c>
    </row>
    <row r="22" spans="1:13" x14ac:dyDescent="0.2">
      <c r="A22" s="12">
        <v>44805</v>
      </c>
      <c r="B22" s="6">
        <v>409.6</v>
      </c>
      <c r="C22">
        <f t="shared" ca="1" si="0"/>
        <v>847</v>
      </c>
    </row>
    <row r="23" spans="1:13" x14ac:dyDescent="0.2">
      <c r="A23" s="12">
        <v>44835</v>
      </c>
      <c r="B23" s="6">
        <v>242.2</v>
      </c>
      <c r="C23">
        <f t="shared" ca="1" si="0"/>
        <v>397</v>
      </c>
    </row>
    <row r="24" spans="1:13" x14ac:dyDescent="0.2">
      <c r="A24" s="12">
        <v>44866</v>
      </c>
      <c r="B24" s="6">
        <v>120</v>
      </c>
      <c r="C24">
        <f t="shared" ca="1" si="0"/>
        <v>150</v>
      </c>
    </row>
    <row r="25" spans="1:13" x14ac:dyDescent="0.2">
      <c r="A25" s="12">
        <v>44896</v>
      </c>
      <c r="B25" s="6">
        <v>100</v>
      </c>
      <c r="C25">
        <f t="shared" ca="1" si="0"/>
        <v>114</v>
      </c>
    </row>
    <row r="26" spans="1:13" x14ac:dyDescent="0.2">
      <c r="A26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7839-C457-422E-BEF7-BDB0DAB13DA8}">
  <dimension ref="A1:O135"/>
  <sheetViews>
    <sheetView zoomScale="85" zoomScaleNormal="85" workbookViewId="0">
      <selection activeCell="F16" sqref="F16"/>
    </sheetView>
  </sheetViews>
  <sheetFormatPr defaultRowHeight="14.25" x14ac:dyDescent="0.2"/>
  <cols>
    <col min="1" max="1" width="15.625" customWidth="1"/>
    <col min="2" max="2" width="11.125" customWidth="1"/>
    <col min="4" max="4" width="17.625" bestFit="1" customWidth="1"/>
    <col min="6" max="6" width="10.625" customWidth="1"/>
    <col min="7" max="7" width="18" bestFit="1" customWidth="1"/>
    <col min="8" max="8" width="18.25" bestFit="1" customWidth="1"/>
    <col min="9" max="9" width="18.75" bestFit="1" customWidth="1"/>
    <col min="10" max="15" width="16.625" customWidth="1"/>
  </cols>
  <sheetData>
    <row r="1" spans="1:12" x14ac:dyDescent="0.2">
      <c r="A1" t="s">
        <v>32</v>
      </c>
      <c r="B1" t="s">
        <v>35</v>
      </c>
      <c r="C1" t="s">
        <v>33</v>
      </c>
      <c r="D1" t="s">
        <v>36</v>
      </c>
    </row>
    <row r="2" spans="1:12" x14ac:dyDescent="0.2">
      <c r="A2" s="9">
        <v>44927</v>
      </c>
      <c r="B2">
        <f t="shared" ref="B2:B33" si="0">IF(WEEKDAY(A2,2)&lt;6,1,0)</f>
        <v>0</v>
      </c>
      <c r="C2" s="4">
        <v>35</v>
      </c>
      <c r="D2">
        <v>2016</v>
      </c>
      <c r="G2" t="s">
        <v>82</v>
      </c>
    </row>
    <row r="3" spans="1:12" ht="15" thickBot="1" x14ac:dyDescent="0.25">
      <c r="A3" s="9">
        <v>44928</v>
      </c>
      <c r="B3">
        <f t="shared" si="0"/>
        <v>1</v>
      </c>
      <c r="C3" s="8">
        <v>34</v>
      </c>
      <c r="D3">
        <v>3075</v>
      </c>
    </row>
    <row r="4" spans="1:12" x14ac:dyDescent="0.2">
      <c r="A4" s="9">
        <v>44929</v>
      </c>
      <c r="B4">
        <f t="shared" si="0"/>
        <v>1</v>
      </c>
      <c r="C4" s="8">
        <v>33.5</v>
      </c>
      <c r="D4">
        <v>3438</v>
      </c>
      <c r="G4" s="18" t="s">
        <v>83</v>
      </c>
      <c r="H4" s="18"/>
    </row>
    <row r="5" spans="1:12" x14ac:dyDescent="0.2">
      <c r="A5" s="9">
        <v>44930</v>
      </c>
      <c r="B5">
        <f t="shared" si="0"/>
        <v>1</v>
      </c>
      <c r="C5" s="8">
        <v>32.5</v>
      </c>
      <c r="D5">
        <v>3505</v>
      </c>
      <c r="G5" t="s">
        <v>46</v>
      </c>
      <c r="H5">
        <v>0.63528506226674764</v>
      </c>
    </row>
    <row r="6" spans="1:12" x14ac:dyDescent="0.2">
      <c r="A6" s="9">
        <v>44931</v>
      </c>
      <c r="B6">
        <f t="shared" si="0"/>
        <v>1</v>
      </c>
      <c r="C6" s="8">
        <v>33.5</v>
      </c>
      <c r="D6">
        <v>2677</v>
      </c>
      <c r="G6" t="s">
        <v>47</v>
      </c>
      <c r="H6">
        <v>0.40358711033926536</v>
      </c>
    </row>
    <row r="7" spans="1:12" x14ac:dyDescent="0.2">
      <c r="A7" s="9">
        <v>44932</v>
      </c>
      <c r="B7">
        <f t="shared" si="0"/>
        <v>1</v>
      </c>
      <c r="C7" s="8">
        <v>34.5</v>
      </c>
      <c r="D7">
        <v>2248</v>
      </c>
      <c r="G7" t="s">
        <v>48</v>
      </c>
      <c r="H7">
        <v>0.3925424271973999</v>
      </c>
    </row>
    <row r="8" spans="1:12" x14ac:dyDescent="0.2">
      <c r="A8" s="9">
        <v>44933</v>
      </c>
      <c r="B8">
        <f t="shared" si="0"/>
        <v>0</v>
      </c>
      <c r="C8" s="8">
        <v>35</v>
      </c>
      <c r="D8">
        <v>2207</v>
      </c>
      <c r="G8" t="s">
        <v>49</v>
      </c>
      <c r="H8">
        <v>369.92462771794828</v>
      </c>
    </row>
    <row r="9" spans="1:12" ht="15" thickBot="1" x14ac:dyDescent="0.25">
      <c r="A9" s="9">
        <v>44934</v>
      </c>
      <c r="B9">
        <f t="shared" si="0"/>
        <v>0</v>
      </c>
      <c r="C9" s="8">
        <v>35.5</v>
      </c>
      <c r="D9">
        <v>1713</v>
      </c>
      <c r="G9" s="16" t="s">
        <v>50</v>
      </c>
      <c r="H9" s="16">
        <v>111</v>
      </c>
    </row>
    <row r="10" spans="1:12" x14ac:dyDescent="0.2">
      <c r="A10" s="9">
        <v>44935</v>
      </c>
      <c r="B10">
        <f t="shared" si="0"/>
        <v>1</v>
      </c>
      <c r="C10" s="8">
        <v>35.75</v>
      </c>
      <c r="D10">
        <v>3179</v>
      </c>
    </row>
    <row r="11" spans="1:12" ht="15" thickBot="1" x14ac:dyDescent="0.25">
      <c r="A11" s="9">
        <v>44936</v>
      </c>
      <c r="B11">
        <f t="shared" si="0"/>
        <v>1</v>
      </c>
      <c r="C11" s="8">
        <v>35.5</v>
      </c>
      <c r="D11">
        <v>3139</v>
      </c>
      <c r="G11" t="s">
        <v>51</v>
      </c>
    </row>
    <row r="12" spans="1:12" x14ac:dyDescent="0.2">
      <c r="A12" s="9">
        <v>44937</v>
      </c>
      <c r="B12">
        <f t="shared" si="0"/>
        <v>1</v>
      </c>
      <c r="C12" s="8">
        <v>34.75</v>
      </c>
      <c r="D12">
        <v>2234</v>
      </c>
      <c r="G12" s="17"/>
      <c r="H12" s="17" t="s">
        <v>53</v>
      </c>
      <c r="I12" s="17" t="s">
        <v>54</v>
      </c>
      <c r="J12" s="17" t="s">
        <v>55</v>
      </c>
      <c r="K12" s="17" t="s">
        <v>56</v>
      </c>
      <c r="L12" s="17" t="s">
        <v>84</v>
      </c>
    </row>
    <row r="13" spans="1:12" x14ac:dyDescent="0.2">
      <c r="A13" s="9">
        <v>44938</v>
      </c>
      <c r="B13">
        <f t="shared" si="0"/>
        <v>1</v>
      </c>
      <c r="C13" s="8">
        <v>35.75</v>
      </c>
      <c r="D13">
        <v>2333</v>
      </c>
      <c r="G13" t="s">
        <v>57</v>
      </c>
      <c r="H13">
        <v>2</v>
      </c>
      <c r="I13">
        <v>10000932.886983369</v>
      </c>
      <c r="J13">
        <v>5000466.4434916843</v>
      </c>
      <c r="K13">
        <v>36.541302738640553</v>
      </c>
      <c r="L13">
        <v>7.5777299754235868E-13</v>
      </c>
    </row>
    <row r="14" spans="1:12" x14ac:dyDescent="0.2">
      <c r="A14" s="9">
        <v>44939</v>
      </c>
      <c r="B14">
        <f t="shared" si="0"/>
        <v>1</v>
      </c>
      <c r="C14" s="8">
        <v>35.75</v>
      </c>
      <c r="D14">
        <v>2073</v>
      </c>
      <c r="G14" t="s">
        <v>58</v>
      </c>
      <c r="H14">
        <v>108</v>
      </c>
      <c r="I14">
        <v>14779176.860764362</v>
      </c>
      <c r="J14">
        <v>136844.23019226262</v>
      </c>
    </row>
    <row r="15" spans="1:12" ht="15" thickBot="1" x14ac:dyDescent="0.25">
      <c r="A15" s="9">
        <v>44940</v>
      </c>
      <c r="B15">
        <f t="shared" si="0"/>
        <v>0</v>
      </c>
      <c r="C15" s="8">
        <v>35.25</v>
      </c>
      <c r="D15">
        <v>2083</v>
      </c>
      <c r="G15" s="16" t="s">
        <v>1</v>
      </c>
      <c r="H15" s="16">
        <v>110</v>
      </c>
      <c r="I15" s="16">
        <v>24780109.74774773</v>
      </c>
      <c r="J15" s="16"/>
      <c r="K15" s="16"/>
      <c r="L15" s="16"/>
    </row>
    <row r="16" spans="1:12" ht="15" thickBot="1" x14ac:dyDescent="0.25">
      <c r="A16" s="9">
        <v>44941</v>
      </c>
      <c r="B16">
        <f t="shared" si="0"/>
        <v>0</v>
      </c>
      <c r="C16" s="8">
        <v>34.25</v>
      </c>
      <c r="D16">
        <v>2351</v>
      </c>
    </row>
    <row r="17" spans="1:15" x14ac:dyDescent="0.2">
      <c r="A17" s="9">
        <v>44942</v>
      </c>
      <c r="B17">
        <f t="shared" si="0"/>
        <v>1</v>
      </c>
      <c r="C17" s="8">
        <v>34.75</v>
      </c>
      <c r="D17">
        <v>3403</v>
      </c>
      <c r="G17" s="17"/>
      <c r="H17" s="17" t="s">
        <v>85</v>
      </c>
      <c r="I17" s="17" t="s">
        <v>49</v>
      </c>
      <c r="J17" s="17" t="s">
        <v>86</v>
      </c>
      <c r="K17" s="17" t="s">
        <v>87</v>
      </c>
      <c r="L17" s="17" t="s">
        <v>88</v>
      </c>
      <c r="M17" s="17" t="s">
        <v>89</v>
      </c>
      <c r="N17" s="17" t="s">
        <v>90</v>
      </c>
      <c r="O17" s="17" t="s">
        <v>91</v>
      </c>
    </row>
    <row r="18" spans="1:15" x14ac:dyDescent="0.2">
      <c r="A18" s="9">
        <v>44943</v>
      </c>
      <c r="B18">
        <f t="shared" si="0"/>
        <v>1</v>
      </c>
      <c r="C18" s="8">
        <v>35.5</v>
      </c>
      <c r="D18">
        <v>2269</v>
      </c>
      <c r="G18" t="s">
        <v>59</v>
      </c>
      <c r="H18">
        <v>3979.9366118687881</v>
      </c>
      <c r="I18">
        <v>471.15075764695388</v>
      </c>
      <c r="J18">
        <v>8.4472677742164706</v>
      </c>
      <c r="K18">
        <v>1.5232059620807272E-13</v>
      </c>
      <c r="L18">
        <v>3046.0340734206502</v>
      </c>
      <c r="M18">
        <v>4913.839150316926</v>
      </c>
      <c r="N18">
        <v>3046.0340734206502</v>
      </c>
      <c r="O18">
        <v>4913.839150316926</v>
      </c>
    </row>
    <row r="19" spans="1:15" x14ac:dyDescent="0.2">
      <c r="A19" s="9">
        <v>44944</v>
      </c>
      <c r="B19">
        <f t="shared" si="0"/>
        <v>1</v>
      </c>
      <c r="C19" s="8">
        <v>35</v>
      </c>
      <c r="D19">
        <v>3200</v>
      </c>
      <c r="G19" t="s">
        <v>35</v>
      </c>
      <c r="H19">
        <v>585.71316608017128</v>
      </c>
      <c r="I19">
        <v>78.261812261889048</v>
      </c>
      <c r="J19">
        <v>7.4840225283844406</v>
      </c>
      <c r="K19">
        <v>2.0512249866356825E-11</v>
      </c>
      <c r="L19">
        <v>430.58467705904718</v>
      </c>
      <c r="M19">
        <v>740.84165510129537</v>
      </c>
      <c r="N19">
        <v>430.58467705904718</v>
      </c>
      <c r="O19">
        <v>740.84165510129537</v>
      </c>
    </row>
    <row r="20" spans="1:15" ht="15" thickBot="1" x14ac:dyDescent="0.25">
      <c r="A20" s="9">
        <v>44945</v>
      </c>
      <c r="B20">
        <f t="shared" si="0"/>
        <v>1</v>
      </c>
      <c r="C20" s="8">
        <v>36</v>
      </c>
      <c r="D20">
        <v>3226</v>
      </c>
      <c r="G20" s="16" t="s">
        <v>33</v>
      </c>
      <c r="H20" s="16">
        <v>-50.199945143764161</v>
      </c>
      <c r="I20" s="16">
        <v>12.197149593917212</v>
      </c>
      <c r="J20" s="16">
        <v>-4.1157111960649528</v>
      </c>
      <c r="K20" s="16">
        <v>7.567975873672825E-5</v>
      </c>
      <c r="L20" s="16">
        <v>-74.376811640764487</v>
      </c>
      <c r="M20" s="16">
        <v>-26.023078646763842</v>
      </c>
      <c r="N20" s="16">
        <v>-74.376811640764487</v>
      </c>
      <c r="O20" s="16">
        <v>-26.023078646763842</v>
      </c>
    </row>
    <row r="21" spans="1:15" x14ac:dyDescent="0.2">
      <c r="A21" s="9">
        <v>44946</v>
      </c>
      <c r="B21">
        <f t="shared" si="0"/>
        <v>1</v>
      </c>
      <c r="C21" s="8">
        <v>36.5</v>
      </c>
      <c r="D21">
        <v>2519</v>
      </c>
    </row>
    <row r="22" spans="1:15" x14ac:dyDescent="0.2">
      <c r="A22" s="9">
        <v>44947</v>
      </c>
      <c r="B22">
        <f t="shared" si="0"/>
        <v>0</v>
      </c>
      <c r="C22" s="8">
        <v>35.75</v>
      </c>
      <c r="D22">
        <v>2465</v>
      </c>
      <c r="G22" t="s">
        <v>123</v>
      </c>
    </row>
    <row r="23" spans="1:15" x14ac:dyDescent="0.2">
      <c r="A23" s="9">
        <v>44948</v>
      </c>
      <c r="B23">
        <f t="shared" si="0"/>
        <v>0</v>
      </c>
      <c r="C23" s="8">
        <v>35.5</v>
      </c>
      <c r="D23">
        <v>1717</v>
      </c>
    </row>
    <row r="24" spans="1:15" x14ac:dyDescent="0.2">
      <c r="A24" s="9">
        <v>44949</v>
      </c>
      <c r="B24">
        <f t="shared" si="0"/>
        <v>1</v>
      </c>
      <c r="C24" s="8">
        <v>35</v>
      </c>
      <c r="D24">
        <v>3236</v>
      </c>
      <c r="G24" t="s">
        <v>122</v>
      </c>
      <c r="H24" t="s">
        <v>121</v>
      </c>
      <c r="I24" t="s">
        <v>120</v>
      </c>
    </row>
    <row r="25" spans="1:15" x14ac:dyDescent="0.2">
      <c r="A25" s="9">
        <v>44950</v>
      </c>
      <c r="B25">
        <f t="shared" si="0"/>
        <v>1</v>
      </c>
      <c r="C25" s="8">
        <v>35</v>
      </c>
      <c r="D25">
        <v>2958</v>
      </c>
      <c r="G25" s="4">
        <v>35</v>
      </c>
      <c r="H25" s="29">
        <f t="shared" ref="H25:H56" si="1">(-50.2*G25) + (585.71*1) + 3979.94</f>
        <v>2808.65</v>
      </c>
      <c r="I25" s="29">
        <f t="shared" ref="I25:I56" si="2">(-50.2*G25) + (585.71*0) + 3979.94</f>
        <v>2222.94</v>
      </c>
    </row>
    <row r="26" spans="1:15" x14ac:dyDescent="0.2">
      <c r="A26" s="9">
        <v>44951</v>
      </c>
      <c r="B26">
        <f t="shared" si="0"/>
        <v>1</v>
      </c>
      <c r="C26" s="8">
        <v>35.25</v>
      </c>
      <c r="D26">
        <v>2814</v>
      </c>
      <c r="G26" s="8">
        <v>34</v>
      </c>
      <c r="H26" s="29">
        <f t="shared" si="1"/>
        <v>2858.85</v>
      </c>
      <c r="I26" s="29">
        <f t="shared" si="2"/>
        <v>2273.14</v>
      </c>
    </row>
    <row r="27" spans="1:15" x14ac:dyDescent="0.2">
      <c r="A27" s="9">
        <v>44952</v>
      </c>
      <c r="B27">
        <f t="shared" si="0"/>
        <v>1</v>
      </c>
      <c r="C27" s="8">
        <v>35</v>
      </c>
      <c r="D27">
        <v>2369</v>
      </c>
      <c r="G27" s="8">
        <v>33.5</v>
      </c>
      <c r="H27" s="29">
        <f t="shared" si="1"/>
        <v>2883.95</v>
      </c>
      <c r="I27" s="29">
        <f t="shared" si="2"/>
        <v>2298.2399999999998</v>
      </c>
    </row>
    <row r="28" spans="1:15" x14ac:dyDescent="0.2">
      <c r="A28" s="9">
        <v>44953</v>
      </c>
      <c r="B28">
        <f t="shared" si="0"/>
        <v>1</v>
      </c>
      <c r="C28" s="8">
        <v>35.25</v>
      </c>
      <c r="D28">
        <v>2785</v>
      </c>
      <c r="G28" s="8">
        <v>32.5</v>
      </c>
      <c r="H28" s="29">
        <f t="shared" si="1"/>
        <v>2934.15</v>
      </c>
      <c r="I28" s="29">
        <f t="shared" si="2"/>
        <v>2348.44</v>
      </c>
    </row>
    <row r="29" spans="1:15" x14ac:dyDescent="0.2">
      <c r="A29" s="9">
        <v>44954</v>
      </c>
      <c r="B29">
        <f t="shared" si="0"/>
        <v>0</v>
      </c>
      <c r="C29" s="8">
        <v>35.5</v>
      </c>
      <c r="D29">
        <v>2540</v>
      </c>
      <c r="G29" s="8">
        <v>33.5</v>
      </c>
      <c r="H29" s="29">
        <f t="shared" si="1"/>
        <v>2883.95</v>
      </c>
      <c r="I29" s="29">
        <f t="shared" si="2"/>
        <v>2298.2399999999998</v>
      </c>
    </row>
    <row r="30" spans="1:15" x14ac:dyDescent="0.2">
      <c r="A30" s="9">
        <v>44955</v>
      </c>
      <c r="B30">
        <f t="shared" si="0"/>
        <v>0</v>
      </c>
      <c r="C30" s="8">
        <v>36.25</v>
      </c>
      <c r="D30">
        <v>2033</v>
      </c>
      <c r="G30" s="8">
        <v>34.5</v>
      </c>
      <c r="H30" s="29">
        <f t="shared" si="1"/>
        <v>2833.75</v>
      </c>
      <c r="I30" s="29">
        <f t="shared" si="2"/>
        <v>2248.04</v>
      </c>
    </row>
    <row r="31" spans="1:15" x14ac:dyDescent="0.2">
      <c r="A31" s="9">
        <v>44956</v>
      </c>
      <c r="B31">
        <f t="shared" si="0"/>
        <v>1</v>
      </c>
      <c r="C31" s="8">
        <v>35.75</v>
      </c>
      <c r="D31">
        <v>2957</v>
      </c>
      <c r="G31" s="8">
        <v>35</v>
      </c>
      <c r="H31" s="29">
        <f t="shared" si="1"/>
        <v>2808.65</v>
      </c>
      <c r="I31" s="29">
        <f t="shared" si="2"/>
        <v>2222.94</v>
      </c>
    </row>
    <row r="32" spans="1:15" x14ac:dyDescent="0.2">
      <c r="A32" s="9">
        <v>44957</v>
      </c>
      <c r="B32">
        <f t="shared" si="0"/>
        <v>1</v>
      </c>
      <c r="C32" s="8">
        <v>35</v>
      </c>
      <c r="D32">
        <v>3162</v>
      </c>
      <c r="G32" s="8">
        <v>35.5</v>
      </c>
      <c r="H32" s="29">
        <f t="shared" si="1"/>
        <v>2783.55</v>
      </c>
      <c r="I32" s="29">
        <f t="shared" si="2"/>
        <v>2197.84</v>
      </c>
    </row>
    <row r="33" spans="1:9" x14ac:dyDescent="0.2">
      <c r="A33" s="9">
        <v>44958</v>
      </c>
      <c r="B33">
        <f t="shared" si="0"/>
        <v>1</v>
      </c>
      <c r="C33" s="8">
        <v>35</v>
      </c>
      <c r="D33">
        <v>2246</v>
      </c>
      <c r="G33" s="8">
        <v>35.75</v>
      </c>
      <c r="H33" s="29">
        <f t="shared" si="1"/>
        <v>2771</v>
      </c>
      <c r="I33" s="29">
        <f t="shared" si="2"/>
        <v>2185.29</v>
      </c>
    </row>
    <row r="34" spans="1:9" x14ac:dyDescent="0.2">
      <c r="A34" s="9">
        <v>44959</v>
      </c>
      <c r="B34">
        <f t="shared" ref="B34:B65" si="3">IF(WEEKDAY(A34,2)&lt;6,1,0)</f>
        <v>1</v>
      </c>
      <c r="C34" s="8">
        <v>35.5</v>
      </c>
      <c r="D34">
        <v>2997</v>
      </c>
      <c r="G34" s="8">
        <v>35.5</v>
      </c>
      <c r="H34" s="29">
        <f t="shared" si="1"/>
        <v>2783.55</v>
      </c>
      <c r="I34" s="29">
        <f t="shared" si="2"/>
        <v>2197.84</v>
      </c>
    </row>
    <row r="35" spans="1:9" x14ac:dyDescent="0.2">
      <c r="A35" s="9">
        <v>44960</v>
      </c>
      <c r="B35">
        <f t="shared" si="3"/>
        <v>1</v>
      </c>
      <c r="C35" s="8">
        <v>36.5</v>
      </c>
      <c r="D35">
        <v>2426</v>
      </c>
      <c r="G35" s="8">
        <v>34.75</v>
      </c>
      <c r="H35" s="29">
        <f t="shared" si="1"/>
        <v>2821.2</v>
      </c>
      <c r="I35" s="29">
        <f t="shared" si="2"/>
        <v>2235.4899999999998</v>
      </c>
    </row>
    <row r="36" spans="1:9" x14ac:dyDescent="0.2">
      <c r="A36" s="9">
        <v>44961</v>
      </c>
      <c r="B36">
        <f t="shared" si="3"/>
        <v>0</v>
      </c>
      <c r="C36" s="8">
        <v>36.25</v>
      </c>
      <c r="D36">
        <v>1867</v>
      </c>
      <c r="G36" s="8">
        <v>35.75</v>
      </c>
      <c r="H36" s="29">
        <f t="shared" si="1"/>
        <v>2771</v>
      </c>
      <c r="I36" s="29">
        <f t="shared" si="2"/>
        <v>2185.29</v>
      </c>
    </row>
    <row r="37" spans="1:9" x14ac:dyDescent="0.2">
      <c r="A37" s="9">
        <v>44962</v>
      </c>
      <c r="B37">
        <f t="shared" si="3"/>
        <v>0</v>
      </c>
      <c r="C37" s="8">
        <v>37.25</v>
      </c>
      <c r="D37">
        <v>1974</v>
      </c>
      <c r="G37" s="8">
        <v>35.75</v>
      </c>
      <c r="H37" s="29">
        <f t="shared" si="1"/>
        <v>2771</v>
      </c>
      <c r="I37" s="29">
        <f t="shared" si="2"/>
        <v>2185.29</v>
      </c>
    </row>
    <row r="38" spans="1:9" x14ac:dyDescent="0.2">
      <c r="A38" s="9">
        <v>44963</v>
      </c>
      <c r="B38">
        <f t="shared" si="3"/>
        <v>1</v>
      </c>
      <c r="C38" s="8">
        <v>37.25</v>
      </c>
      <c r="D38">
        <v>3111</v>
      </c>
      <c r="G38" s="8">
        <v>35.25</v>
      </c>
      <c r="H38" s="29">
        <f t="shared" si="1"/>
        <v>2796.1</v>
      </c>
      <c r="I38" s="29">
        <f t="shared" si="2"/>
        <v>2210.39</v>
      </c>
    </row>
    <row r="39" spans="1:9" x14ac:dyDescent="0.2">
      <c r="A39" s="9">
        <v>44964</v>
      </c>
      <c r="B39">
        <f t="shared" si="3"/>
        <v>1</v>
      </c>
      <c r="C39" s="8">
        <v>36.75</v>
      </c>
      <c r="D39">
        <v>2590</v>
      </c>
      <c r="G39" s="8">
        <v>34.25</v>
      </c>
      <c r="H39" s="29">
        <f t="shared" si="1"/>
        <v>2846.3</v>
      </c>
      <c r="I39" s="29">
        <f t="shared" si="2"/>
        <v>2260.59</v>
      </c>
    </row>
    <row r="40" spans="1:9" x14ac:dyDescent="0.2">
      <c r="A40" s="9">
        <v>44965</v>
      </c>
      <c r="B40">
        <f t="shared" si="3"/>
        <v>1</v>
      </c>
      <c r="C40" s="8">
        <v>37.25</v>
      </c>
      <c r="D40">
        <v>2491</v>
      </c>
      <c r="G40" s="8">
        <v>34.75</v>
      </c>
      <c r="H40" s="29">
        <f t="shared" si="1"/>
        <v>2821.2</v>
      </c>
      <c r="I40" s="29">
        <f t="shared" si="2"/>
        <v>2235.4899999999998</v>
      </c>
    </row>
    <row r="41" spans="1:9" x14ac:dyDescent="0.2">
      <c r="A41" s="9">
        <v>44966</v>
      </c>
      <c r="B41">
        <f t="shared" si="3"/>
        <v>1</v>
      </c>
      <c r="C41" s="8">
        <v>36.75</v>
      </c>
      <c r="D41">
        <v>3247</v>
      </c>
      <c r="G41" s="8">
        <v>35.5</v>
      </c>
      <c r="H41" s="29">
        <f t="shared" si="1"/>
        <v>2783.55</v>
      </c>
      <c r="I41" s="29">
        <f t="shared" si="2"/>
        <v>2197.84</v>
      </c>
    </row>
    <row r="42" spans="1:9" x14ac:dyDescent="0.2">
      <c r="A42" s="9">
        <v>44967</v>
      </c>
      <c r="B42">
        <f t="shared" si="3"/>
        <v>1</v>
      </c>
      <c r="C42" s="8">
        <v>37.5</v>
      </c>
      <c r="D42">
        <v>3079</v>
      </c>
      <c r="G42" s="8">
        <v>35</v>
      </c>
      <c r="H42" s="29">
        <f t="shared" si="1"/>
        <v>2808.65</v>
      </c>
      <c r="I42" s="29">
        <f t="shared" si="2"/>
        <v>2222.94</v>
      </c>
    </row>
    <row r="43" spans="1:9" x14ac:dyDescent="0.2">
      <c r="A43" s="9">
        <v>44968</v>
      </c>
      <c r="B43">
        <f t="shared" si="3"/>
        <v>0</v>
      </c>
      <c r="C43" s="8">
        <v>36.5</v>
      </c>
      <c r="D43">
        <v>2671</v>
      </c>
      <c r="G43" s="8">
        <v>36</v>
      </c>
      <c r="H43" s="29">
        <f t="shared" si="1"/>
        <v>2758.45</v>
      </c>
      <c r="I43" s="29">
        <f t="shared" si="2"/>
        <v>2172.7399999999998</v>
      </c>
    </row>
    <row r="44" spans="1:9" x14ac:dyDescent="0.2">
      <c r="A44" s="9">
        <v>44969</v>
      </c>
      <c r="B44">
        <f t="shared" si="3"/>
        <v>0</v>
      </c>
      <c r="C44" s="8">
        <v>37.25</v>
      </c>
      <c r="D44">
        <v>1842</v>
      </c>
      <c r="G44" s="8">
        <v>36.5</v>
      </c>
      <c r="H44" s="29">
        <f t="shared" si="1"/>
        <v>2733.35</v>
      </c>
      <c r="I44" s="29">
        <f t="shared" si="2"/>
        <v>2147.64</v>
      </c>
    </row>
    <row r="45" spans="1:9" x14ac:dyDescent="0.2">
      <c r="A45" s="9">
        <v>44970</v>
      </c>
      <c r="B45">
        <f t="shared" si="3"/>
        <v>1</v>
      </c>
      <c r="C45" s="8">
        <v>38.25</v>
      </c>
      <c r="D45">
        <v>2404</v>
      </c>
      <c r="G45" s="8">
        <v>35.75</v>
      </c>
      <c r="H45" s="29">
        <f t="shared" si="1"/>
        <v>2771</v>
      </c>
      <c r="I45" s="29">
        <f t="shared" si="2"/>
        <v>2185.29</v>
      </c>
    </row>
    <row r="46" spans="1:9" x14ac:dyDescent="0.2">
      <c r="A46" s="9">
        <v>44971</v>
      </c>
      <c r="B46">
        <f t="shared" si="3"/>
        <v>1</v>
      </c>
      <c r="C46" s="8">
        <v>37.5</v>
      </c>
      <c r="D46">
        <v>3061</v>
      </c>
      <c r="G46" s="8">
        <v>35.5</v>
      </c>
      <c r="H46" s="29">
        <f t="shared" si="1"/>
        <v>2783.55</v>
      </c>
      <c r="I46" s="29">
        <f t="shared" si="2"/>
        <v>2197.84</v>
      </c>
    </row>
    <row r="47" spans="1:9" x14ac:dyDescent="0.2">
      <c r="A47" s="9">
        <v>44972</v>
      </c>
      <c r="B47">
        <f t="shared" si="3"/>
        <v>1</v>
      </c>
      <c r="C47" s="8">
        <v>38</v>
      </c>
      <c r="D47">
        <v>2380</v>
      </c>
      <c r="G47" s="8">
        <v>35</v>
      </c>
      <c r="H47" s="29">
        <f t="shared" si="1"/>
        <v>2808.65</v>
      </c>
      <c r="I47" s="29">
        <f t="shared" si="2"/>
        <v>2222.94</v>
      </c>
    </row>
    <row r="48" spans="1:9" x14ac:dyDescent="0.2">
      <c r="A48" s="9">
        <v>44973</v>
      </c>
      <c r="B48">
        <f t="shared" si="3"/>
        <v>1</v>
      </c>
      <c r="C48" s="8">
        <v>38.25</v>
      </c>
      <c r="D48">
        <v>2026</v>
      </c>
      <c r="G48" s="8">
        <v>35</v>
      </c>
      <c r="H48" s="29">
        <f t="shared" si="1"/>
        <v>2808.65</v>
      </c>
      <c r="I48" s="29">
        <f t="shared" si="2"/>
        <v>2222.94</v>
      </c>
    </row>
    <row r="49" spans="1:9" x14ac:dyDescent="0.2">
      <c r="A49" s="9">
        <v>44974</v>
      </c>
      <c r="B49">
        <f t="shared" si="3"/>
        <v>1</v>
      </c>
      <c r="C49" s="8">
        <v>37.25</v>
      </c>
      <c r="D49">
        <v>2178</v>
      </c>
      <c r="G49" s="8">
        <v>35.25</v>
      </c>
      <c r="H49" s="29">
        <f t="shared" si="1"/>
        <v>2796.1</v>
      </c>
      <c r="I49" s="29">
        <f t="shared" si="2"/>
        <v>2210.39</v>
      </c>
    </row>
    <row r="50" spans="1:9" x14ac:dyDescent="0.2">
      <c r="A50" s="9">
        <v>44975</v>
      </c>
      <c r="B50">
        <f t="shared" si="3"/>
        <v>0</v>
      </c>
      <c r="C50" s="8">
        <v>38.25</v>
      </c>
      <c r="D50">
        <v>2113</v>
      </c>
      <c r="G50" s="8">
        <v>35</v>
      </c>
      <c r="H50" s="29">
        <f t="shared" si="1"/>
        <v>2808.65</v>
      </c>
      <c r="I50" s="29">
        <f t="shared" si="2"/>
        <v>2222.94</v>
      </c>
    </row>
    <row r="51" spans="1:9" x14ac:dyDescent="0.2">
      <c r="A51" s="9">
        <v>44976</v>
      </c>
      <c r="B51">
        <f t="shared" si="3"/>
        <v>0</v>
      </c>
      <c r="C51" s="8">
        <v>37.5</v>
      </c>
      <c r="D51">
        <v>2300</v>
      </c>
      <c r="G51" s="8">
        <v>35.25</v>
      </c>
      <c r="H51" s="29">
        <f t="shared" si="1"/>
        <v>2796.1</v>
      </c>
      <c r="I51" s="29">
        <f t="shared" si="2"/>
        <v>2210.39</v>
      </c>
    </row>
    <row r="52" spans="1:9" x14ac:dyDescent="0.2">
      <c r="A52" s="9">
        <v>44977</v>
      </c>
      <c r="B52">
        <f t="shared" si="3"/>
        <v>1</v>
      </c>
      <c r="C52" s="8">
        <v>37.25</v>
      </c>
      <c r="D52">
        <v>2523</v>
      </c>
      <c r="G52" s="8">
        <v>35.5</v>
      </c>
      <c r="H52" s="29">
        <f t="shared" si="1"/>
        <v>2783.55</v>
      </c>
      <c r="I52" s="29">
        <f t="shared" si="2"/>
        <v>2197.84</v>
      </c>
    </row>
    <row r="53" spans="1:9" x14ac:dyDescent="0.2">
      <c r="A53" s="9">
        <v>44978</v>
      </c>
      <c r="B53">
        <f t="shared" si="3"/>
        <v>1</v>
      </c>
      <c r="C53" s="8">
        <v>36.75</v>
      </c>
      <c r="D53">
        <v>2309</v>
      </c>
      <c r="G53" s="8">
        <v>36.25</v>
      </c>
      <c r="H53" s="29">
        <f t="shared" si="1"/>
        <v>2745.9</v>
      </c>
      <c r="I53" s="29">
        <f t="shared" si="2"/>
        <v>2160.19</v>
      </c>
    </row>
    <row r="54" spans="1:9" x14ac:dyDescent="0.2">
      <c r="A54" s="9">
        <v>44979</v>
      </c>
      <c r="B54">
        <f t="shared" si="3"/>
        <v>1</v>
      </c>
      <c r="C54" s="8">
        <v>35.75</v>
      </c>
      <c r="D54">
        <v>3442</v>
      </c>
      <c r="G54" s="8">
        <v>35.75</v>
      </c>
      <c r="H54" s="29">
        <f t="shared" si="1"/>
        <v>2771</v>
      </c>
      <c r="I54" s="29">
        <f t="shared" si="2"/>
        <v>2185.29</v>
      </c>
    </row>
    <row r="55" spans="1:9" x14ac:dyDescent="0.2">
      <c r="A55" s="9">
        <v>44980</v>
      </c>
      <c r="B55">
        <f t="shared" si="3"/>
        <v>1</v>
      </c>
      <c r="C55" s="8">
        <v>35.5</v>
      </c>
      <c r="D55">
        <v>2794</v>
      </c>
      <c r="G55" s="8">
        <v>35</v>
      </c>
      <c r="H55" s="29">
        <f t="shared" si="1"/>
        <v>2808.65</v>
      </c>
      <c r="I55" s="29">
        <f t="shared" si="2"/>
        <v>2222.94</v>
      </c>
    </row>
    <row r="56" spans="1:9" x14ac:dyDescent="0.2">
      <c r="A56" s="9">
        <v>44981</v>
      </c>
      <c r="B56">
        <f t="shared" si="3"/>
        <v>1</v>
      </c>
      <c r="C56" s="8">
        <v>35.75</v>
      </c>
      <c r="D56">
        <v>2226</v>
      </c>
      <c r="G56" s="8">
        <v>35</v>
      </c>
      <c r="H56" s="29">
        <f t="shared" si="1"/>
        <v>2808.65</v>
      </c>
      <c r="I56" s="29">
        <f t="shared" si="2"/>
        <v>2222.94</v>
      </c>
    </row>
    <row r="57" spans="1:9" x14ac:dyDescent="0.2">
      <c r="A57" s="9">
        <v>44982</v>
      </c>
      <c r="B57">
        <f t="shared" si="3"/>
        <v>0</v>
      </c>
      <c r="C57" s="8">
        <v>35.75</v>
      </c>
      <c r="D57">
        <v>2423</v>
      </c>
      <c r="G57" s="8">
        <v>35.5</v>
      </c>
      <c r="H57" s="29">
        <f t="shared" ref="H57:H88" si="4">(-50.2*G57) + (585.71*1) + 3979.94</f>
        <v>2783.55</v>
      </c>
      <c r="I57" s="29">
        <f t="shared" ref="I57:I88" si="5">(-50.2*G57) + (585.71*0) + 3979.94</f>
        <v>2197.84</v>
      </c>
    </row>
    <row r="58" spans="1:9" x14ac:dyDescent="0.2">
      <c r="A58" s="9">
        <v>44983</v>
      </c>
      <c r="B58">
        <f t="shared" si="3"/>
        <v>0</v>
      </c>
      <c r="C58" s="8">
        <v>36.75</v>
      </c>
      <c r="D58">
        <v>1893</v>
      </c>
      <c r="G58" s="8">
        <v>36.5</v>
      </c>
      <c r="H58" s="29">
        <f t="shared" si="4"/>
        <v>2733.35</v>
      </c>
      <c r="I58" s="29">
        <f t="shared" si="5"/>
        <v>2147.64</v>
      </c>
    </row>
    <row r="59" spans="1:9" x14ac:dyDescent="0.2">
      <c r="A59" s="9">
        <v>44984</v>
      </c>
      <c r="B59">
        <f t="shared" si="3"/>
        <v>1</v>
      </c>
      <c r="C59" s="8">
        <v>36.75</v>
      </c>
      <c r="D59">
        <v>2391</v>
      </c>
      <c r="G59" s="8">
        <v>36.25</v>
      </c>
      <c r="H59" s="29">
        <f t="shared" si="4"/>
        <v>2745.9</v>
      </c>
      <c r="I59" s="29">
        <f t="shared" si="5"/>
        <v>2160.19</v>
      </c>
    </row>
    <row r="60" spans="1:9" x14ac:dyDescent="0.2">
      <c r="A60" s="9">
        <v>44985</v>
      </c>
      <c r="B60">
        <f t="shared" si="3"/>
        <v>1</v>
      </c>
      <c r="C60" s="8">
        <v>37.25</v>
      </c>
      <c r="D60">
        <v>3202</v>
      </c>
      <c r="G60" s="8">
        <v>37.25</v>
      </c>
      <c r="H60" s="29">
        <f t="shared" si="4"/>
        <v>2695.7</v>
      </c>
      <c r="I60" s="29">
        <f t="shared" si="5"/>
        <v>2109.9899999999998</v>
      </c>
    </row>
    <row r="61" spans="1:9" x14ac:dyDescent="0.2">
      <c r="A61" s="9">
        <v>44986</v>
      </c>
      <c r="B61">
        <f t="shared" si="3"/>
        <v>1</v>
      </c>
      <c r="C61" s="8">
        <v>38</v>
      </c>
      <c r="D61">
        <v>2568</v>
      </c>
      <c r="G61" s="8">
        <v>37.25</v>
      </c>
      <c r="H61" s="29">
        <f t="shared" si="4"/>
        <v>2695.7</v>
      </c>
      <c r="I61" s="29">
        <f t="shared" si="5"/>
        <v>2109.9899999999998</v>
      </c>
    </row>
    <row r="62" spans="1:9" x14ac:dyDescent="0.2">
      <c r="A62" s="9">
        <v>44987</v>
      </c>
      <c r="B62">
        <f t="shared" si="3"/>
        <v>1</v>
      </c>
      <c r="C62" s="8">
        <v>38</v>
      </c>
      <c r="D62">
        <v>3307</v>
      </c>
      <c r="G62" s="8">
        <v>36.75</v>
      </c>
      <c r="H62" s="29">
        <f t="shared" si="4"/>
        <v>2720.8</v>
      </c>
      <c r="I62" s="29">
        <f t="shared" si="5"/>
        <v>2135.09</v>
      </c>
    </row>
    <row r="63" spans="1:9" x14ac:dyDescent="0.2">
      <c r="A63" s="9">
        <v>44988</v>
      </c>
      <c r="B63">
        <f t="shared" si="3"/>
        <v>1</v>
      </c>
      <c r="C63" s="8">
        <v>39</v>
      </c>
      <c r="D63">
        <v>2025</v>
      </c>
      <c r="G63" s="8">
        <v>37.25</v>
      </c>
      <c r="H63" s="29">
        <f t="shared" si="4"/>
        <v>2695.7</v>
      </c>
      <c r="I63" s="29">
        <f t="shared" si="5"/>
        <v>2109.9899999999998</v>
      </c>
    </row>
    <row r="64" spans="1:9" x14ac:dyDescent="0.2">
      <c r="A64" s="9">
        <v>44989</v>
      </c>
      <c r="B64">
        <f t="shared" si="3"/>
        <v>0</v>
      </c>
      <c r="C64" s="8">
        <v>39</v>
      </c>
      <c r="D64">
        <v>1754</v>
      </c>
      <c r="G64" s="8">
        <v>36.75</v>
      </c>
      <c r="H64" s="29">
        <f t="shared" si="4"/>
        <v>2720.8</v>
      </c>
      <c r="I64" s="29">
        <f t="shared" si="5"/>
        <v>2135.09</v>
      </c>
    </row>
    <row r="65" spans="1:9" x14ac:dyDescent="0.2">
      <c r="A65" s="9">
        <v>44990</v>
      </c>
      <c r="B65">
        <f t="shared" si="3"/>
        <v>0</v>
      </c>
      <c r="C65" s="8">
        <v>38.5</v>
      </c>
      <c r="D65">
        <v>2130</v>
      </c>
      <c r="G65" s="8">
        <v>37.5</v>
      </c>
      <c r="H65" s="29">
        <f t="shared" si="4"/>
        <v>2683.15</v>
      </c>
      <c r="I65" s="29">
        <f t="shared" si="5"/>
        <v>2097.44</v>
      </c>
    </row>
    <row r="66" spans="1:9" x14ac:dyDescent="0.2">
      <c r="A66" s="9">
        <v>44991</v>
      </c>
      <c r="B66">
        <f t="shared" ref="B66:B97" si="6">IF(WEEKDAY(A66,2)&lt;6,1,0)</f>
        <v>1</v>
      </c>
      <c r="C66" s="8">
        <v>37.5</v>
      </c>
      <c r="D66">
        <v>2357</v>
      </c>
      <c r="G66" s="8">
        <v>36.5</v>
      </c>
      <c r="H66" s="29">
        <f t="shared" si="4"/>
        <v>2733.35</v>
      </c>
      <c r="I66" s="29">
        <f t="shared" si="5"/>
        <v>2147.64</v>
      </c>
    </row>
    <row r="67" spans="1:9" x14ac:dyDescent="0.2">
      <c r="A67" s="9">
        <v>44992</v>
      </c>
      <c r="B67">
        <f t="shared" si="6"/>
        <v>1</v>
      </c>
      <c r="C67" s="8">
        <v>38.25</v>
      </c>
      <c r="D67">
        <v>2235</v>
      </c>
      <c r="G67" s="8">
        <v>37.25</v>
      </c>
      <c r="H67" s="29">
        <f t="shared" si="4"/>
        <v>2695.7</v>
      </c>
      <c r="I67" s="29">
        <f t="shared" si="5"/>
        <v>2109.9899999999998</v>
      </c>
    </row>
    <row r="68" spans="1:9" x14ac:dyDescent="0.2">
      <c r="A68" s="9">
        <v>44993</v>
      </c>
      <c r="B68">
        <f t="shared" si="6"/>
        <v>1</v>
      </c>
      <c r="C68" s="8">
        <v>39</v>
      </c>
      <c r="D68">
        <v>3195</v>
      </c>
      <c r="G68" s="8">
        <v>38.25</v>
      </c>
      <c r="H68" s="29">
        <f t="shared" si="4"/>
        <v>2645.5</v>
      </c>
      <c r="I68" s="29">
        <f t="shared" si="5"/>
        <v>2059.79</v>
      </c>
    </row>
    <row r="69" spans="1:9" x14ac:dyDescent="0.2">
      <c r="A69" s="9">
        <v>44994</v>
      </c>
      <c r="B69">
        <f t="shared" si="6"/>
        <v>1</v>
      </c>
      <c r="C69" s="8">
        <v>39</v>
      </c>
      <c r="D69">
        <v>2457</v>
      </c>
      <c r="G69" s="8">
        <v>37.5</v>
      </c>
      <c r="H69" s="29">
        <f t="shared" si="4"/>
        <v>2683.15</v>
      </c>
      <c r="I69" s="29">
        <f t="shared" si="5"/>
        <v>2097.44</v>
      </c>
    </row>
    <row r="70" spans="1:9" x14ac:dyDescent="0.2">
      <c r="A70" s="9">
        <v>44995</v>
      </c>
      <c r="B70">
        <f t="shared" si="6"/>
        <v>1</v>
      </c>
      <c r="C70" s="8">
        <v>38.5</v>
      </c>
      <c r="D70">
        <v>3269</v>
      </c>
      <c r="G70" s="8">
        <v>38</v>
      </c>
      <c r="H70" s="29">
        <f t="shared" si="4"/>
        <v>2658.05</v>
      </c>
      <c r="I70" s="29">
        <f t="shared" si="5"/>
        <v>2072.34</v>
      </c>
    </row>
    <row r="71" spans="1:9" x14ac:dyDescent="0.2">
      <c r="A71" s="9">
        <v>44996</v>
      </c>
      <c r="B71">
        <f t="shared" si="6"/>
        <v>0</v>
      </c>
      <c r="C71" s="8">
        <v>38.25</v>
      </c>
      <c r="D71">
        <v>2129</v>
      </c>
      <c r="G71" s="8">
        <v>38.25</v>
      </c>
      <c r="H71" s="29">
        <f t="shared" si="4"/>
        <v>2645.5</v>
      </c>
      <c r="I71" s="29">
        <f t="shared" si="5"/>
        <v>2059.79</v>
      </c>
    </row>
    <row r="72" spans="1:9" x14ac:dyDescent="0.2">
      <c r="A72" s="9">
        <v>44997</v>
      </c>
      <c r="B72">
        <f t="shared" si="6"/>
        <v>0</v>
      </c>
      <c r="C72" s="8">
        <v>39.25</v>
      </c>
      <c r="D72">
        <v>1794</v>
      </c>
      <c r="G72" s="8">
        <v>37.25</v>
      </c>
      <c r="H72" s="29">
        <f t="shared" si="4"/>
        <v>2695.7</v>
      </c>
      <c r="I72" s="29">
        <f t="shared" si="5"/>
        <v>2109.9899999999998</v>
      </c>
    </row>
    <row r="73" spans="1:9" x14ac:dyDescent="0.2">
      <c r="A73" s="9">
        <v>44998</v>
      </c>
      <c r="B73">
        <f t="shared" si="6"/>
        <v>1</v>
      </c>
      <c r="C73" s="8">
        <v>40</v>
      </c>
      <c r="D73">
        <v>2951</v>
      </c>
      <c r="G73" s="8">
        <v>38.25</v>
      </c>
      <c r="H73" s="29">
        <f t="shared" si="4"/>
        <v>2645.5</v>
      </c>
      <c r="I73" s="29">
        <f t="shared" si="5"/>
        <v>2059.79</v>
      </c>
    </row>
    <row r="74" spans="1:9" x14ac:dyDescent="0.2">
      <c r="A74" s="9">
        <v>44999</v>
      </c>
      <c r="B74">
        <f t="shared" si="6"/>
        <v>1</v>
      </c>
      <c r="C74" s="8">
        <v>40.5</v>
      </c>
      <c r="D74">
        <v>2996</v>
      </c>
      <c r="G74" s="8">
        <v>37.5</v>
      </c>
      <c r="H74" s="29">
        <f t="shared" si="4"/>
        <v>2683.15</v>
      </c>
      <c r="I74" s="29">
        <f t="shared" si="5"/>
        <v>2097.44</v>
      </c>
    </row>
    <row r="75" spans="1:9" x14ac:dyDescent="0.2">
      <c r="A75" s="9">
        <v>45000</v>
      </c>
      <c r="B75">
        <f t="shared" si="6"/>
        <v>1</v>
      </c>
      <c r="C75" s="8">
        <v>41.5</v>
      </c>
      <c r="D75">
        <v>2323</v>
      </c>
      <c r="G75" s="8">
        <v>37.25</v>
      </c>
      <c r="H75" s="29">
        <f t="shared" si="4"/>
        <v>2695.7</v>
      </c>
      <c r="I75" s="29">
        <f t="shared" si="5"/>
        <v>2109.9899999999998</v>
      </c>
    </row>
    <row r="76" spans="1:9" x14ac:dyDescent="0.2">
      <c r="A76" s="9">
        <v>45001</v>
      </c>
      <c r="B76">
        <f t="shared" si="6"/>
        <v>1</v>
      </c>
      <c r="C76" s="8">
        <v>41</v>
      </c>
      <c r="D76">
        <v>3102</v>
      </c>
      <c r="G76" s="8">
        <v>36.75</v>
      </c>
      <c r="H76" s="29">
        <f t="shared" si="4"/>
        <v>2720.8</v>
      </c>
      <c r="I76" s="29">
        <f t="shared" si="5"/>
        <v>2135.09</v>
      </c>
    </row>
    <row r="77" spans="1:9" x14ac:dyDescent="0.2">
      <c r="A77" s="9">
        <v>45002</v>
      </c>
      <c r="B77">
        <f t="shared" si="6"/>
        <v>1</v>
      </c>
      <c r="C77" s="8">
        <v>40.75</v>
      </c>
      <c r="D77">
        <v>2261</v>
      </c>
      <c r="G77" s="8">
        <v>35.75</v>
      </c>
      <c r="H77" s="29">
        <f t="shared" si="4"/>
        <v>2771</v>
      </c>
      <c r="I77" s="29">
        <f t="shared" si="5"/>
        <v>2185.29</v>
      </c>
    </row>
    <row r="78" spans="1:9" x14ac:dyDescent="0.2">
      <c r="A78" s="9">
        <v>45003</v>
      </c>
      <c r="B78">
        <f t="shared" si="6"/>
        <v>0</v>
      </c>
      <c r="C78" s="8">
        <v>41</v>
      </c>
      <c r="D78">
        <v>2234</v>
      </c>
      <c r="G78" s="8">
        <v>35.5</v>
      </c>
      <c r="H78" s="29">
        <f t="shared" si="4"/>
        <v>2783.55</v>
      </c>
      <c r="I78" s="29">
        <f t="shared" si="5"/>
        <v>2197.84</v>
      </c>
    </row>
    <row r="79" spans="1:9" x14ac:dyDescent="0.2">
      <c r="A79" s="9">
        <v>45004</v>
      </c>
      <c r="B79">
        <f t="shared" si="6"/>
        <v>0</v>
      </c>
      <c r="C79" s="8">
        <v>40.5</v>
      </c>
      <c r="D79">
        <v>1534</v>
      </c>
      <c r="G79" s="8">
        <v>35.75</v>
      </c>
      <c r="H79" s="29">
        <f t="shared" si="4"/>
        <v>2771</v>
      </c>
      <c r="I79" s="29">
        <f t="shared" si="5"/>
        <v>2185.29</v>
      </c>
    </row>
    <row r="80" spans="1:9" x14ac:dyDescent="0.2">
      <c r="A80" s="9">
        <v>45005</v>
      </c>
      <c r="B80">
        <f t="shared" si="6"/>
        <v>1</v>
      </c>
      <c r="C80" s="8">
        <v>41</v>
      </c>
      <c r="D80">
        <v>2079</v>
      </c>
      <c r="G80" s="8">
        <v>35.75</v>
      </c>
      <c r="H80" s="29">
        <f t="shared" si="4"/>
        <v>2771</v>
      </c>
      <c r="I80" s="29">
        <f t="shared" si="5"/>
        <v>2185.29</v>
      </c>
    </row>
    <row r="81" spans="1:9" x14ac:dyDescent="0.2">
      <c r="A81" s="9">
        <v>45006</v>
      </c>
      <c r="B81">
        <f t="shared" si="6"/>
        <v>1</v>
      </c>
      <c r="C81" s="8">
        <v>40.25</v>
      </c>
      <c r="D81">
        <v>2006</v>
      </c>
      <c r="G81" s="8">
        <v>36.75</v>
      </c>
      <c r="H81" s="29">
        <f t="shared" si="4"/>
        <v>2720.8</v>
      </c>
      <c r="I81" s="29">
        <f t="shared" si="5"/>
        <v>2135.09</v>
      </c>
    </row>
    <row r="82" spans="1:9" x14ac:dyDescent="0.2">
      <c r="A82" s="9">
        <v>45007</v>
      </c>
      <c r="B82">
        <f t="shared" si="6"/>
        <v>1</v>
      </c>
      <c r="C82" s="8">
        <v>40.5</v>
      </c>
      <c r="D82">
        <v>2368</v>
      </c>
      <c r="G82" s="8">
        <v>36.75</v>
      </c>
      <c r="H82" s="29">
        <f t="shared" si="4"/>
        <v>2720.8</v>
      </c>
      <c r="I82" s="29">
        <f t="shared" si="5"/>
        <v>2135.09</v>
      </c>
    </row>
    <row r="83" spans="1:9" x14ac:dyDescent="0.2">
      <c r="A83" s="9">
        <v>45008</v>
      </c>
      <c r="B83">
        <f t="shared" si="6"/>
        <v>1</v>
      </c>
      <c r="C83" s="8">
        <v>39.5</v>
      </c>
      <c r="D83">
        <v>2503</v>
      </c>
      <c r="G83" s="8">
        <v>37.25</v>
      </c>
      <c r="H83" s="29">
        <f t="shared" si="4"/>
        <v>2695.7</v>
      </c>
      <c r="I83" s="29">
        <f t="shared" si="5"/>
        <v>2109.9899999999998</v>
      </c>
    </row>
    <row r="84" spans="1:9" x14ac:dyDescent="0.2">
      <c r="A84" s="9">
        <v>45009</v>
      </c>
      <c r="B84">
        <f t="shared" si="6"/>
        <v>1</v>
      </c>
      <c r="C84" s="8">
        <v>40.25</v>
      </c>
      <c r="D84">
        <v>2354</v>
      </c>
      <c r="G84" s="8">
        <v>38</v>
      </c>
      <c r="H84" s="29">
        <f t="shared" si="4"/>
        <v>2658.05</v>
      </c>
      <c r="I84" s="29">
        <f t="shared" si="5"/>
        <v>2072.34</v>
      </c>
    </row>
    <row r="85" spans="1:9" x14ac:dyDescent="0.2">
      <c r="A85" s="9">
        <v>45010</v>
      </c>
      <c r="B85">
        <f t="shared" si="6"/>
        <v>0</v>
      </c>
      <c r="C85" s="8">
        <v>39.5</v>
      </c>
      <c r="D85">
        <v>2393</v>
      </c>
      <c r="G85" s="8">
        <v>38</v>
      </c>
      <c r="H85" s="29">
        <f t="shared" si="4"/>
        <v>2658.05</v>
      </c>
      <c r="I85" s="29">
        <f t="shared" si="5"/>
        <v>2072.34</v>
      </c>
    </row>
    <row r="86" spans="1:9" x14ac:dyDescent="0.2">
      <c r="A86" s="9">
        <v>45011</v>
      </c>
      <c r="B86">
        <f t="shared" si="6"/>
        <v>0</v>
      </c>
      <c r="C86" s="8">
        <v>38.75</v>
      </c>
      <c r="D86">
        <v>2510</v>
      </c>
      <c r="G86" s="8">
        <v>39</v>
      </c>
      <c r="H86" s="29">
        <f t="shared" si="4"/>
        <v>2607.85</v>
      </c>
      <c r="I86" s="29">
        <f t="shared" si="5"/>
        <v>2022.1399999999999</v>
      </c>
    </row>
    <row r="87" spans="1:9" x14ac:dyDescent="0.2">
      <c r="A87" s="9">
        <v>45012</v>
      </c>
      <c r="B87">
        <f t="shared" si="6"/>
        <v>1</v>
      </c>
      <c r="C87" s="8">
        <v>39.25</v>
      </c>
      <c r="D87">
        <v>2132</v>
      </c>
      <c r="G87" s="8">
        <v>39</v>
      </c>
      <c r="H87" s="29">
        <f t="shared" si="4"/>
        <v>2607.85</v>
      </c>
      <c r="I87" s="29">
        <f t="shared" si="5"/>
        <v>2022.1399999999999</v>
      </c>
    </row>
    <row r="88" spans="1:9" x14ac:dyDescent="0.2">
      <c r="A88" s="9">
        <v>45013</v>
      </c>
      <c r="B88">
        <f t="shared" si="6"/>
        <v>1</v>
      </c>
      <c r="C88" s="8">
        <v>40.25</v>
      </c>
      <c r="D88">
        <v>2942</v>
      </c>
      <c r="G88" s="8">
        <v>38.5</v>
      </c>
      <c r="H88" s="29">
        <f t="shared" si="4"/>
        <v>2632.95</v>
      </c>
      <c r="I88" s="29">
        <f t="shared" si="5"/>
        <v>2047.24</v>
      </c>
    </row>
    <row r="89" spans="1:9" x14ac:dyDescent="0.2">
      <c r="A89" s="9">
        <v>45014</v>
      </c>
      <c r="B89">
        <f t="shared" si="6"/>
        <v>1</v>
      </c>
      <c r="C89" s="8">
        <v>40.75</v>
      </c>
      <c r="D89">
        <v>2303</v>
      </c>
      <c r="G89" s="8">
        <v>37.5</v>
      </c>
      <c r="H89" s="29">
        <f t="shared" ref="H89:H120" si="7">(-50.2*G89) + (585.71*1) + 3979.94</f>
        <v>2683.15</v>
      </c>
      <c r="I89" s="29">
        <f t="shared" ref="I89:I120" si="8">(-50.2*G89) + (585.71*0) + 3979.94</f>
        <v>2097.44</v>
      </c>
    </row>
    <row r="90" spans="1:9" x14ac:dyDescent="0.2">
      <c r="A90" s="9">
        <v>45015</v>
      </c>
      <c r="B90">
        <f t="shared" si="6"/>
        <v>1</v>
      </c>
      <c r="C90" s="8">
        <v>41.5</v>
      </c>
      <c r="D90">
        <v>2536</v>
      </c>
      <c r="G90" s="8">
        <v>38.25</v>
      </c>
      <c r="H90" s="29">
        <f t="shared" si="7"/>
        <v>2645.5</v>
      </c>
      <c r="I90" s="29">
        <f t="shared" si="8"/>
        <v>2059.79</v>
      </c>
    </row>
    <row r="91" spans="1:9" x14ac:dyDescent="0.2">
      <c r="A91" s="9">
        <v>45016</v>
      </c>
      <c r="B91">
        <f t="shared" si="6"/>
        <v>1</v>
      </c>
      <c r="C91" s="8">
        <v>42.25</v>
      </c>
      <c r="D91">
        <v>2697</v>
      </c>
      <c r="G91" s="8">
        <v>39</v>
      </c>
      <c r="H91" s="29">
        <f t="shared" si="7"/>
        <v>2607.85</v>
      </c>
      <c r="I91" s="29">
        <f t="shared" si="8"/>
        <v>2022.1399999999999</v>
      </c>
    </row>
    <row r="92" spans="1:9" x14ac:dyDescent="0.2">
      <c r="A92" s="9">
        <v>45017</v>
      </c>
      <c r="B92">
        <f t="shared" si="6"/>
        <v>0</v>
      </c>
      <c r="C92" s="8">
        <v>42.5</v>
      </c>
      <c r="D92">
        <v>1525</v>
      </c>
      <c r="G92" s="8">
        <v>39</v>
      </c>
      <c r="H92" s="29">
        <f t="shared" si="7"/>
        <v>2607.85</v>
      </c>
      <c r="I92" s="29">
        <f t="shared" si="8"/>
        <v>2022.1399999999999</v>
      </c>
    </row>
    <row r="93" spans="1:9" x14ac:dyDescent="0.2">
      <c r="A93" s="9">
        <v>45018</v>
      </c>
      <c r="B93">
        <f t="shared" si="6"/>
        <v>0</v>
      </c>
      <c r="C93" s="8">
        <v>43</v>
      </c>
      <c r="D93">
        <v>1955</v>
      </c>
      <c r="G93" s="8">
        <v>38.5</v>
      </c>
      <c r="H93" s="29">
        <f t="shared" si="7"/>
        <v>2632.95</v>
      </c>
      <c r="I93" s="29">
        <f t="shared" si="8"/>
        <v>2047.24</v>
      </c>
    </row>
    <row r="94" spans="1:9" x14ac:dyDescent="0.2">
      <c r="A94" s="9">
        <v>45019</v>
      </c>
      <c r="B94">
        <f t="shared" si="6"/>
        <v>1</v>
      </c>
      <c r="C94" s="8">
        <v>42.75</v>
      </c>
      <c r="D94">
        <v>2433</v>
      </c>
      <c r="G94" s="8">
        <v>38.25</v>
      </c>
      <c r="H94" s="29">
        <f t="shared" si="7"/>
        <v>2645.5</v>
      </c>
      <c r="I94" s="29">
        <f t="shared" si="8"/>
        <v>2059.79</v>
      </c>
    </row>
    <row r="95" spans="1:9" x14ac:dyDescent="0.2">
      <c r="A95" s="9">
        <v>45020</v>
      </c>
      <c r="B95">
        <f t="shared" si="6"/>
        <v>1</v>
      </c>
      <c r="C95" s="8">
        <v>42.5</v>
      </c>
      <c r="D95">
        <v>2107</v>
      </c>
      <c r="G95" s="8">
        <v>39.25</v>
      </c>
      <c r="H95" s="29">
        <f t="shared" si="7"/>
        <v>2595.3000000000002</v>
      </c>
      <c r="I95" s="29">
        <f t="shared" si="8"/>
        <v>2009.59</v>
      </c>
    </row>
    <row r="96" spans="1:9" x14ac:dyDescent="0.2">
      <c r="A96" s="9">
        <v>45021</v>
      </c>
      <c r="B96">
        <f t="shared" si="6"/>
        <v>1</v>
      </c>
      <c r="C96" s="8">
        <v>43.5</v>
      </c>
      <c r="D96">
        <v>2448</v>
      </c>
      <c r="G96" s="8">
        <v>40</v>
      </c>
      <c r="H96" s="29">
        <f t="shared" si="7"/>
        <v>2557.65</v>
      </c>
      <c r="I96" s="29">
        <f t="shared" si="8"/>
        <v>1971.94</v>
      </c>
    </row>
    <row r="97" spans="1:9" x14ac:dyDescent="0.2">
      <c r="A97" s="9">
        <v>45022</v>
      </c>
      <c r="B97">
        <f t="shared" si="6"/>
        <v>1</v>
      </c>
      <c r="C97" s="8">
        <v>43.75</v>
      </c>
      <c r="D97">
        <v>2153</v>
      </c>
      <c r="G97" s="8">
        <v>40.5</v>
      </c>
      <c r="H97" s="29">
        <f t="shared" si="7"/>
        <v>2532.5500000000002</v>
      </c>
      <c r="I97" s="29">
        <f t="shared" si="8"/>
        <v>1946.84</v>
      </c>
    </row>
    <row r="98" spans="1:9" x14ac:dyDescent="0.2">
      <c r="A98" s="9">
        <v>45023</v>
      </c>
      <c r="B98">
        <f t="shared" ref="B98:B112" si="9">IF(WEEKDAY(A98,2)&lt;6,1,0)</f>
        <v>1</v>
      </c>
      <c r="C98" s="8">
        <v>43.5</v>
      </c>
      <c r="D98">
        <v>2909</v>
      </c>
      <c r="G98" s="8">
        <v>41.5</v>
      </c>
      <c r="H98" s="29">
        <f t="shared" si="7"/>
        <v>2482.35</v>
      </c>
      <c r="I98" s="29">
        <f t="shared" si="8"/>
        <v>1896.6399999999999</v>
      </c>
    </row>
    <row r="99" spans="1:9" x14ac:dyDescent="0.2">
      <c r="A99" s="9">
        <v>45024</v>
      </c>
      <c r="B99">
        <f t="shared" si="9"/>
        <v>0</v>
      </c>
      <c r="C99" s="8">
        <v>42.75</v>
      </c>
      <c r="D99">
        <v>2068</v>
      </c>
      <c r="G99" s="8">
        <v>41</v>
      </c>
      <c r="H99" s="29">
        <f t="shared" si="7"/>
        <v>2507.4499999999998</v>
      </c>
      <c r="I99" s="29">
        <f t="shared" si="8"/>
        <v>1921.7399999999998</v>
      </c>
    </row>
    <row r="100" spans="1:9" x14ac:dyDescent="0.2">
      <c r="A100" s="9">
        <v>45025</v>
      </c>
      <c r="B100">
        <f t="shared" si="9"/>
        <v>0</v>
      </c>
      <c r="C100" s="8">
        <v>43.75</v>
      </c>
      <c r="D100">
        <v>1734</v>
      </c>
      <c r="G100" s="8">
        <v>40.75</v>
      </c>
      <c r="H100" s="29">
        <f t="shared" si="7"/>
        <v>2520</v>
      </c>
      <c r="I100" s="29">
        <f t="shared" si="8"/>
        <v>1934.29</v>
      </c>
    </row>
    <row r="101" spans="1:9" x14ac:dyDescent="0.2">
      <c r="A101" s="9">
        <v>45026</v>
      </c>
      <c r="B101">
        <f t="shared" si="9"/>
        <v>1</v>
      </c>
      <c r="C101" s="8">
        <v>43</v>
      </c>
      <c r="D101">
        <v>2220</v>
      </c>
      <c r="G101" s="8">
        <v>41</v>
      </c>
      <c r="H101" s="29">
        <f t="shared" si="7"/>
        <v>2507.4499999999998</v>
      </c>
      <c r="I101" s="29">
        <f t="shared" si="8"/>
        <v>1921.7399999999998</v>
      </c>
    </row>
    <row r="102" spans="1:9" x14ac:dyDescent="0.2">
      <c r="A102" s="9">
        <v>45027</v>
      </c>
      <c r="B102">
        <f t="shared" si="9"/>
        <v>1</v>
      </c>
      <c r="C102" s="8">
        <v>42.75</v>
      </c>
      <c r="D102">
        <v>2414</v>
      </c>
      <c r="G102" s="8">
        <v>40.5</v>
      </c>
      <c r="H102" s="29">
        <f t="shared" si="7"/>
        <v>2532.5500000000002</v>
      </c>
      <c r="I102" s="29">
        <f t="shared" si="8"/>
        <v>1946.84</v>
      </c>
    </row>
    <row r="103" spans="1:9" x14ac:dyDescent="0.2">
      <c r="A103" s="9">
        <v>45028</v>
      </c>
      <c r="B103">
        <f t="shared" si="9"/>
        <v>1</v>
      </c>
      <c r="C103" s="8">
        <v>42.25</v>
      </c>
      <c r="D103">
        <v>2816</v>
      </c>
      <c r="G103" s="8">
        <v>41</v>
      </c>
      <c r="H103" s="29">
        <f t="shared" si="7"/>
        <v>2507.4499999999998</v>
      </c>
      <c r="I103" s="29">
        <f t="shared" si="8"/>
        <v>1921.7399999999998</v>
      </c>
    </row>
    <row r="104" spans="1:9" x14ac:dyDescent="0.2">
      <c r="A104" s="9">
        <v>45029</v>
      </c>
      <c r="B104">
        <f t="shared" si="9"/>
        <v>1</v>
      </c>
      <c r="C104" s="8">
        <v>42.5</v>
      </c>
      <c r="D104">
        <v>2589</v>
      </c>
      <c r="G104" s="8">
        <v>40.25</v>
      </c>
      <c r="H104" s="29">
        <f t="shared" si="7"/>
        <v>2545.1</v>
      </c>
      <c r="I104" s="29">
        <f t="shared" si="8"/>
        <v>1959.3899999999999</v>
      </c>
    </row>
    <row r="105" spans="1:9" x14ac:dyDescent="0.2">
      <c r="A105" s="9">
        <v>45030</v>
      </c>
      <c r="B105">
        <f t="shared" si="9"/>
        <v>1</v>
      </c>
      <c r="C105" s="8">
        <v>43.5</v>
      </c>
      <c r="D105">
        <v>2018</v>
      </c>
      <c r="G105" s="8">
        <v>40.5</v>
      </c>
      <c r="H105" s="29">
        <f t="shared" si="7"/>
        <v>2532.5500000000002</v>
      </c>
      <c r="I105" s="29">
        <f t="shared" si="8"/>
        <v>1946.84</v>
      </c>
    </row>
    <row r="106" spans="1:9" x14ac:dyDescent="0.2">
      <c r="A106" s="9">
        <v>45031</v>
      </c>
      <c r="B106">
        <f t="shared" si="9"/>
        <v>0</v>
      </c>
      <c r="C106" s="8">
        <v>43</v>
      </c>
      <c r="D106">
        <v>1543</v>
      </c>
      <c r="G106" s="8">
        <v>39.5</v>
      </c>
      <c r="H106" s="29">
        <f t="shared" si="7"/>
        <v>2582.75</v>
      </c>
      <c r="I106" s="29">
        <f t="shared" si="8"/>
        <v>1997.04</v>
      </c>
    </row>
    <row r="107" spans="1:9" x14ac:dyDescent="0.2">
      <c r="A107" s="9">
        <v>45032</v>
      </c>
      <c r="B107">
        <f t="shared" si="9"/>
        <v>0</v>
      </c>
      <c r="C107" s="8">
        <v>42.25</v>
      </c>
      <c r="D107">
        <v>2355</v>
      </c>
      <c r="G107" s="8">
        <v>40.25</v>
      </c>
      <c r="H107" s="29">
        <f t="shared" si="7"/>
        <v>2545.1</v>
      </c>
      <c r="I107" s="29">
        <f t="shared" si="8"/>
        <v>1959.3899999999999</v>
      </c>
    </row>
    <row r="108" spans="1:9" x14ac:dyDescent="0.2">
      <c r="A108" s="9">
        <v>45033</v>
      </c>
      <c r="B108">
        <f t="shared" si="9"/>
        <v>1</v>
      </c>
      <c r="C108" s="8">
        <v>41.75</v>
      </c>
      <c r="D108">
        <v>2630</v>
      </c>
      <c r="G108" s="8">
        <v>39.5</v>
      </c>
      <c r="H108" s="29">
        <f t="shared" si="7"/>
        <v>2582.75</v>
      </c>
      <c r="I108" s="29">
        <f t="shared" si="8"/>
        <v>1997.04</v>
      </c>
    </row>
    <row r="109" spans="1:9" x14ac:dyDescent="0.2">
      <c r="A109" s="9">
        <v>45034</v>
      </c>
      <c r="B109">
        <f t="shared" si="9"/>
        <v>1</v>
      </c>
      <c r="C109" s="8">
        <v>41.75</v>
      </c>
      <c r="D109">
        <v>2523</v>
      </c>
      <c r="G109" s="8">
        <v>38.75</v>
      </c>
      <c r="H109" s="29">
        <f t="shared" si="7"/>
        <v>2620.4</v>
      </c>
      <c r="I109" s="29">
        <f t="shared" si="8"/>
        <v>2034.69</v>
      </c>
    </row>
    <row r="110" spans="1:9" x14ac:dyDescent="0.2">
      <c r="A110" s="9">
        <v>45035</v>
      </c>
      <c r="B110">
        <f t="shared" si="9"/>
        <v>1</v>
      </c>
      <c r="C110" s="8">
        <v>41.5</v>
      </c>
      <c r="D110">
        <v>2458</v>
      </c>
      <c r="G110" s="8">
        <v>39.25</v>
      </c>
      <c r="H110" s="29">
        <f t="shared" si="7"/>
        <v>2595.3000000000002</v>
      </c>
      <c r="I110" s="29">
        <f t="shared" si="8"/>
        <v>2009.59</v>
      </c>
    </row>
    <row r="111" spans="1:9" x14ac:dyDescent="0.2">
      <c r="A111" s="9">
        <v>45036</v>
      </c>
      <c r="B111">
        <f t="shared" si="9"/>
        <v>1</v>
      </c>
      <c r="C111" s="8">
        <v>40.75</v>
      </c>
      <c r="D111">
        <v>2961</v>
      </c>
      <c r="G111" s="8">
        <v>40.25</v>
      </c>
      <c r="H111" s="29">
        <f t="shared" si="7"/>
        <v>2545.1</v>
      </c>
      <c r="I111" s="29">
        <f t="shared" si="8"/>
        <v>1959.3899999999999</v>
      </c>
    </row>
    <row r="112" spans="1:9" x14ac:dyDescent="0.2">
      <c r="A112" s="9">
        <v>45037</v>
      </c>
      <c r="B112">
        <f t="shared" si="9"/>
        <v>1</v>
      </c>
      <c r="C112" s="8">
        <v>39.75</v>
      </c>
      <c r="D112">
        <v>2161</v>
      </c>
      <c r="G112" s="8">
        <v>40.75</v>
      </c>
      <c r="H112" s="29">
        <f t="shared" si="7"/>
        <v>2520</v>
      </c>
      <c r="I112" s="29">
        <f t="shared" si="8"/>
        <v>1934.29</v>
      </c>
    </row>
    <row r="113" spans="1:9" x14ac:dyDescent="0.2">
      <c r="A113" s="9"/>
      <c r="G113" s="8">
        <v>41.5</v>
      </c>
      <c r="H113" s="29">
        <f t="shared" si="7"/>
        <v>2482.35</v>
      </c>
      <c r="I113" s="29">
        <f t="shared" si="8"/>
        <v>1896.6399999999999</v>
      </c>
    </row>
    <row r="114" spans="1:9" x14ac:dyDescent="0.2">
      <c r="A114" s="9"/>
      <c r="G114" s="8">
        <v>42.25</v>
      </c>
      <c r="H114" s="29">
        <f t="shared" si="7"/>
        <v>2444.6999999999998</v>
      </c>
      <c r="I114" s="29">
        <f t="shared" si="8"/>
        <v>1858.9899999999998</v>
      </c>
    </row>
    <row r="115" spans="1:9" x14ac:dyDescent="0.2">
      <c r="A115" s="9"/>
      <c r="G115" s="8">
        <v>42.5</v>
      </c>
      <c r="H115" s="29">
        <f t="shared" si="7"/>
        <v>2432.15</v>
      </c>
      <c r="I115" s="29">
        <f t="shared" si="8"/>
        <v>1846.44</v>
      </c>
    </row>
    <row r="116" spans="1:9" x14ac:dyDescent="0.2">
      <c r="A116" s="9"/>
      <c r="G116" s="8">
        <v>43</v>
      </c>
      <c r="H116" s="29">
        <f t="shared" si="7"/>
        <v>2407.0500000000002</v>
      </c>
      <c r="I116" s="29">
        <f t="shared" si="8"/>
        <v>1821.3400000000001</v>
      </c>
    </row>
    <row r="117" spans="1:9" x14ac:dyDescent="0.2">
      <c r="A117" s="9"/>
      <c r="G117" s="8">
        <v>42.75</v>
      </c>
      <c r="H117" s="29">
        <f t="shared" si="7"/>
        <v>2419.6</v>
      </c>
      <c r="I117" s="29">
        <f t="shared" si="8"/>
        <v>1833.8899999999999</v>
      </c>
    </row>
    <row r="118" spans="1:9" x14ac:dyDescent="0.2">
      <c r="A118" s="9"/>
      <c r="G118" s="8">
        <v>42.5</v>
      </c>
      <c r="H118" s="29">
        <f t="shared" si="7"/>
        <v>2432.15</v>
      </c>
      <c r="I118" s="29">
        <f t="shared" si="8"/>
        <v>1846.44</v>
      </c>
    </row>
    <row r="119" spans="1:9" x14ac:dyDescent="0.2">
      <c r="A119" s="9"/>
      <c r="G119" s="8">
        <v>43.5</v>
      </c>
      <c r="H119" s="29">
        <f t="shared" si="7"/>
        <v>2381.9499999999998</v>
      </c>
      <c r="I119" s="29">
        <f t="shared" si="8"/>
        <v>1796.2399999999998</v>
      </c>
    </row>
    <row r="120" spans="1:9" x14ac:dyDescent="0.2">
      <c r="A120" s="9"/>
      <c r="G120" s="8">
        <v>43.75</v>
      </c>
      <c r="H120" s="29">
        <f t="shared" si="7"/>
        <v>2369.4</v>
      </c>
      <c r="I120" s="29">
        <f t="shared" si="8"/>
        <v>1783.69</v>
      </c>
    </row>
    <row r="121" spans="1:9" x14ac:dyDescent="0.2">
      <c r="A121" s="9"/>
      <c r="G121" s="8">
        <v>43.5</v>
      </c>
      <c r="H121" s="29">
        <f t="shared" ref="H121:H135" si="10">(-50.2*G121) + (585.71*1) + 3979.94</f>
        <v>2381.9499999999998</v>
      </c>
      <c r="I121" s="29">
        <f t="shared" ref="I121:I135" si="11">(-50.2*G121) + (585.71*0) + 3979.94</f>
        <v>1796.2399999999998</v>
      </c>
    </row>
    <row r="122" spans="1:9" x14ac:dyDescent="0.2">
      <c r="G122" s="8">
        <v>42.75</v>
      </c>
      <c r="H122" s="29">
        <f t="shared" si="10"/>
        <v>2419.6</v>
      </c>
      <c r="I122" s="29">
        <f t="shared" si="11"/>
        <v>1833.8899999999999</v>
      </c>
    </row>
    <row r="123" spans="1:9" x14ac:dyDescent="0.2">
      <c r="G123" s="8">
        <v>43.75</v>
      </c>
      <c r="H123" s="29">
        <f t="shared" si="10"/>
        <v>2369.4</v>
      </c>
      <c r="I123" s="29">
        <f t="shared" si="11"/>
        <v>1783.69</v>
      </c>
    </row>
    <row r="124" spans="1:9" x14ac:dyDescent="0.2">
      <c r="G124" s="8">
        <v>43</v>
      </c>
      <c r="H124" s="29">
        <f t="shared" si="10"/>
        <v>2407.0500000000002</v>
      </c>
      <c r="I124" s="29">
        <f t="shared" si="11"/>
        <v>1821.3400000000001</v>
      </c>
    </row>
    <row r="125" spans="1:9" x14ac:dyDescent="0.2">
      <c r="G125" s="8">
        <v>42.75</v>
      </c>
      <c r="H125" s="29">
        <f t="shared" si="10"/>
        <v>2419.6</v>
      </c>
      <c r="I125" s="29">
        <f t="shared" si="11"/>
        <v>1833.8899999999999</v>
      </c>
    </row>
    <row r="126" spans="1:9" x14ac:dyDescent="0.2">
      <c r="G126" s="8">
        <v>42.25</v>
      </c>
      <c r="H126" s="29">
        <f t="shared" si="10"/>
        <v>2444.6999999999998</v>
      </c>
      <c r="I126" s="29">
        <f t="shared" si="11"/>
        <v>1858.9899999999998</v>
      </c>
    </row>
    <row r="127" spans="1:9" x14ac:dyDescent="0.2">
      <c r="G127" s="8">
        <v>42.5</v>
      </c>
      <c r="H127" s="29">
        <f t="shared" si="10"/>
        <v>2432.15</v>
      </c>
      <c r="I127" s="29">
        <f t="shared" si="11"/>
        <v>1846.44</v>
      </c>
    </row>
    <row r="128" spans="1:9" x14ac:dyDescent="0.2">
      <c r="G128" s="8">
        <v>43.5</v>
      </c>
      <c r="H128" s="29">
        <f t="shared" si="10"/>
        <v>2381.9499999999998</v>
      </c>
      <c r="I128" s="29">
        <f t="shared" si="11"/>
        <v>1796.2399999999998</v>
      </c>
    </row>
    <row r="129" spans="7:9" x14ac:dyDescent="0.2">
      <c r="G129" s="8">
        <v>43</v>
      </c>
      <c r="H129" s="29">
        <f t="shared" si="10"/>
        <v>2407.0500000000002</v>
      </c>
      <c r="I129" s="29">
        <f t="shared" si="11"/>
        <v>1821.3400000000001</v>
      </c>
    </row>
    <row r="130" spans="7:9" x14ac:dyDescent="0.2">
      <c r="G130" s="8">
        <v>42.25</v>
      </c>
      <c r="H130" s="29">
        <f t="shared" si="10"/>
        <v>2444.6999999999998</v>
      </c>
      <c r="I130" s="29">
        <f t="shared" si="11"/>
        <v>1858.9899999999998</v>
      </c>
    </row>
    <row r="131" spans="7:9" x14ac:dyDescent="0.2">
      <c r="G131" s="8">
        <v>41.75</v>
      </c>
      <c r="H131" s="29">
        <f t="shared" si="10"/>
        <v>2469.8000000000002</v>
      </c>
      <c r="I131" s="29">
        <f t="shared" si="11"/>
        <v>1884.0900000000001</v>
      </c>
    </row>
    <row r="132" spans="7:9" x14ac:dyDescent="0.2">
      <c r="G132" s="8">
        <v>41.75</v>
      </c>
      <c r="H132" s="29">
        <f t="shared" si="10"/>
        <v>2469.8000000000002</v>
      </c>
      <c r="I132" s="29">
        <f t="shared" si="11"/>
        <v>1884.0900000000001</v>
      </c>
    </row>
    <row r="133" spans="7:9" x14ac:dyDescent="0.2">
      <c r="G133" s="8">
        <v>41.5</v>
      </c>
      <c r="H133" s="29">
        <f t="shared" si="10"/>
        <v>2482.35</v>
      </c>
      <c r="I133" s="29">
        <f t="shared" si="11"/>
        <v>1896.6399999999999</v>
      </c>
    </row>
    <row r="134" spans="7:9" x14ac:dyDescent="0.2">
      <c r="G134" s="8">
        <v>40.75</v>
      </c>
      <c r="H134" s="29">
        <f t="shared" si="10"/>
        <v>2520</v>
      </c>
      <c r="I134" s="29">
        <f t="shared" si="11"/>
        <v>1934.29</v>
      </c>
    </row>
    <row r="135" spans="7:9" x14ac:dyDescent="0.2">
      <c r="G135" s="8">
        <v>39.75</v>
      </c>
      <c r="H135" s="29">
        <f t="shared" si="10"/>
        <v>2570.1999999999998</v>
      </c>
      <c r="I135" s="29">
        <f t="shared" si="11"/>
        <v>1984.49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D8CE-50D7-4515-A6AC-CDB275BC7FDB}">
  <dimension ref="A1:P41"/>
  <sheetViews>
    <sheetView workbookViewId="0">
      <selection activeCell="G32" sqref="G32"/>
    </sheetView>
  </sheetViews>
  <sheetFormatPr defaultRowHeight="14.25" x14ac:dyDescent="0.2"/>
  <cols>
    <col min="2" max="2" width="12" customWidth="1"/>
    <col min="3" max="3" width="9.625" bestFit="1" customWidth="1"/>
    <col min="4" max="8" width="21.125" customWidth="1"/>
    <col min="9" max="9" width="10.25" bestFit="1" customWidth="1"/>
    <col min="10" max="10" width="14.25" bestFit="1" customWidth="1"/>
  </cols>
  <sheetData>
    <row r="1" spans="1:16" x14ac:dyDescent="0.2">
      <c r="A1" s="3" t="s">
        <v>60</v>
      </c>
      <c r="B1" s="3"/>
    </row>
    <row r="2" spans="1:16" x14ac:dyDescent="0.2">
      <c r="D2" t="s">
        <v>112</v>
      </c>
      <c r="H2" t="s">
        <v>112</v>
      </c>
    </row>
    <row r="3" spans="1:16" x14ac:dyDescent="0.2">
      <c r="D3" s="8">
        <f>(AVERAGE(F5:F31))^0.5</f>
        <v>176.68593471126337</v>
      </c>
      <c r="H3" s="34">
        <f>(AVERAGE(J5:J31))^0.5</f>
        <v>145.81471124509216</v>
      </c>
      <c r="I3" t="s">
        <v>113</v>
      </c>
    </row>
    <row r="4" spans="1:16" x14ac:dyDescent="0.2">
      <c r="A4" t="s">
        <v>61</v>
      </c>
      <c r="B4" t="s">
        <v>62</v>
      </c>
      <c r="C4" t="s">
        <v>34</v>
      </c>
      <c r="D4" t="s">
        <v>66</v>
      </c>
      <c r="E4" t="s">
        <v>110</v>
      </c>
      <c r="F4" t="s">
        <v>111</v>
      </c>
      <c r="G4" t="s">
        <v>69</v>
      </c>
      <c r="H4" t="s">
        <v>68</v>
      </c>
      <c r="I4" t="s">
        <v>110</v>
      </c>
      <c r="J4" t="s">
        <v>111</v>
      </c>
    </row>
    <row r="5" spans="1:16" x14ac:dyDescent="0.2">
      <c r="A5" s="12">
        <v>44197</v>
      </c>
      <c r="B5" s="7">
        <v>1</v>
      </c>
      <c r="C5" s="8">
        <v>3110.3788536403831</v>
      </c>
      <c r="D5" s="32">
        <f t="shared" ref="D5:D31" si="0">$N$6+($N$5*B5)</f>
        <v>3047.2402743266448</v>
      </c>
      <c r="E5" s="31">
        <f>C5-D5</f>
        <v>63.138579313738319</v>
      </c>
      <c r="F5" s="31">
        <f>E5^2</f>
        <v>3986.4801977572242</v>
      </c>
      <c r="H5" s="33">
        <f>_xlfn.FORECAST.ETS(A5,$C$5:$C$31,$A$5:$A$31,4)</f>
        <v>3081.611145294215</v>
      </c>
      <c r="I5" s="31">
        <f>C5-H5</f>
        <v>28.767708346168092</v>
      </c>
      <c r="J5" s="31">
        <f>I5^2</f>
        <v>827.58104349018936</v>
      </c>
      <c r="M5" t="s">
        <v>63</v>
      </c>
      <c r="N5" s="1">
        <f>SLOPE(C5:C31,B5:B31)</f>
        <v>16.084851455496977</v>
      </c>
      <c r="O5" s="2" t="str">
        <f ca="1">_xlfn.FORMULATEXT(N5)</f>
        <v>=SLOPE(C5:C31,B5:B31)</v>
      </c>
    </row>
    <row r="6" spans="1:16" x14ac:dyDescent="0.2">
      <c r="A6" s="12">
        <v>44228</v>
      </c>
      <c r="B6" s="7">
        <v>2</v>
      </c>
      <c r="C6" s="8">
        <v>3196.7782219489995</v>
      </c>
      <c r="D6" s="32">
        <f t="shared" si="0"/>
        <v>3063.3251257821421</v>
      </c>
      <c r="E6" s="31">
        <f t="shared" ref="E6:E31" si="1">C6-D6</f>
        <v>133.45309616685745</v>
      </c>
      <c r="F6" s="31">
        <f t="shared" ref="F6:F31" si="2">E6^2</f>
        <v>17809.728876520501</v>
      </c>
      <c r="H6" s="33">
        <f t="shared" ref="H5:H31" si="3">_xlfn.FORECAST.ETS(A6,$C$5:$C$31,$A$5:$A$31,4)</f>
        <v>3151.2273944105996</v>
      </c>
      <c r="I6" s="31">
        <f t="shared" ref="I6:I31" si="4">C6-H6</f>
        <v>45.550827538399972</v>
      </c>
      <c r="J6" s="31">
        <f t="shared" ref="J6:J31" si="5">I6^2</f>
        <v>2074.8778894330571</v>
      </c>
      <c r="M6" t="s">
        <v>64</v>
      </c>
      <c r="N6" s="1">
        <f>INTERCEPT(C5:C31,B5:B31)</f>
        <v>3031.1554228711479</v>
      </c>
      <c r="O6" s="2" t="str">
        <f ca="1">_xlfn.FORMULATEXT(N6)</f>
        <v>=INTERCEPT(C5:C31,B5:B31)</v>
      </c>
    </row>
    <row r="7" spans="1:16" x14ac:dyDescent="0.2">
      <c r="A7" s="12">
        <v>44256</v>
      </c>
      <c r="B7" s="7">
        <v>3</v>
      </c>
      <c r="C7" s="8">
        <v>2899.6507620954199</v>
      </c>
      <c r="D7" s="32">
        <f t="shared" si="0"/>
        <v>3079.4099772376389</v>
      </c>
      <c r="E7" s="31">
        <f t="shared" si="1"/>
        <v>-179.75921514221909</v>
      </c>
      <c r="F7" s="31">
        <f t="shared" si="2"/>
        <v>32313.375428546609</v>
      </c>
      <c r="H7" s="33">
        <f t="shared" si="3"/>
        <v>2921.2107295856667</v>
      </c>
      <c r="I7" s="31">
        <f t="shared" si="4"/>
        <v>-21.559967490246891</v>
      </c>
      <c r="J7" s="31">
        <f t="shared" si="5"/>
        <v>464.83219818050281</v>
      </c>
    </row>
    <row r="8" spans="1:16" x14ac:dyDescent="0.2">
      <c r="A8" s="12">
        <v>44287</v>
      </c>
      <c r="B8" s="7">
        <v>4</v>
      </c>
      <c r="C8" s="8">
        <v>3094.310208457036</v>
      </c>
      <c r="D8" s="32">
        <f t="shared" si="0"/>
        <v>3095.4948286931358</v>
      </c>
      <c r="E8" s="31">
        <f t="shared" si="1"/>
        <v>-1.1846202360998177</v>
      </c>
      <c r="F8" s="31">
        <f t="shared" si="2"/>
        <v>1.4033251037771879</v>
      </c>
      <c r="H8" s="33">
        <f t="shared" si="3"/>
        <v>3136.0365121092004</v>
      </c>
      <c r="I8" s="31">
        <f t="shared" si="4"/>
        <v>-41.726303652164461</v>
      </c>
      <c r="J8" s="31">
        <f t="shared" si="5"/>
        <v>1741.0844164726332</v>
      </c>
    </row>
    <row r="9" spans="1:16" x14ac:dyDescent="0.2">
      <c r="A9" s="12">
        <v>44317</v>
      </c>
      <c r="B9" s="7">
        <v>5</v>
      </c>
      <c r="C9" s="8">
        <v>2931.4775027589635</v>
      </c>
      <c r="D9" s="32">
        <f t="shared" si="0"/>
        <v>3111.5796801486326</v>
      </c>
      <c r="E9" s="31">
        <f t="shared" si="1"/>
        <v>-180.10217738966912</v>
      </c>
      <c r="F9" s="31">
        <f t="shared" si="2"/>
        <v>32436.794300499845</v>
      </c>
      <c r="H9" s="33">
        <f t="shared" si="3"/>
        <v>3148.3481418211918</v>
      </c>
      <c r="I9" s="31">
        <f t="shared" si="4"/>
        <v>-216.87063906222829</v>
      </c>
      <c r="J9" s="31">
        <f t="shared" si="5"/>
        <v>47032.874087259297</v>
      </c>
      <c r="M9" t="s">
        <v>67</v>
      </c>
      <c r="O9" s="1"/>
      <c r="P9" s="2" t="e">
        <f ca="1">_xlfn.FORMULATEXT(O9)</f>
        <v>#N/A</v>
      </c>
    </row>
    <row r="10" spans="1:16" x14ac:dyDescent="0.2">
      <c r="A10" s="12">
        <v>44348</v>
      </c>
      <c r="B10" s="7">
        <v>6</v>
      </c>
      <c r="C10" s="8">
        <v>3016.3501591359313</v>
      </c>
      <c r="D10" s="32">
        <f t="shared" si="0"/>
        <v>3127.6645316041299</v>
      </c>
      <c r="E10" s="31">
        <f t="shared" si="1"/>
        <v>-111.3143724681986</v>
      </c>
      <c r="F10" s="31">
        <f t="shared" si="2"/>
        <v>12390.88951798885</v>
      </c>
      <c r="H10" s="33">
        <f t="shared" si="3"/>
        <v>3217.9643909375764</v>
      </c>
      <c r="I10" s="31">
        <f t="shared" si="4"/>
        <v>-201.61423180164502</v>
      </c>
      <c r="J10" s="31">
        <f t="shared" si="5"/>
        <v>40648.298464967447</v>
      </c>
    </row>
    <row r="11" spans="1:16" x14ac:dyDescent="0.2">
      <c r="A11" s="12">
        <v>44378</v>
      </c>
      <c r="B11" s="7">
        <v>7</v>
      </c>
      <c r="C11" s="8">
        <v>3038.3169325533122</v>
      </c>
      <c r="D11" s="32">
        <f t="shared" si="0"/>
        <v>3143.7493830596268</v>
      </c>
      <c r="E11" s="31">
        <f t="shared" si="1"/>
        <v>-105.43245050631458</v>
      </c>
      <c r="F11" s="31">
        <f t="shared" si="2"/>
        <v>11116.001619766474</v>
      </c>
      <c r="H11" s="33">
        <f t="shared" si="3"/>
        <v>2987.9477261126435</v>
      </c>
      <c r="I11" s="31">
        <f t="shared" si="4"/>
        <v>50.369206440668677</v>
      </c>
      <c r="J11" s="31">
        <f t="shared" si="5"/>
        <v>2537.0569574626988</v>
      </c>
    </row>
    <row r="12" spans="1:16" x14ac:dyDescent="0.2">
      <c r="A12" s="12">
        <v>44409</v>
      </c>
      <c r="B12" s="7">
        <v>8</v>
      </c>
      <c r="C12" s="8">
        <v>3044.4829895746311</v>
      </c>
      <c r="D12" s="32">
        <f t="shared" si="0"/>
        <v>3159.8342345151236</v>
      </c>
      <c r="E12" s="31">
        <f t="shared" si="1"/>
        <v>-115.35124494049251</v>
      </c>
      <c r="F12" s="31">
        <f t="shared" si="2"/>
        <v>13305.909709321499</v>
      </c>
      <c r="H12" s="33">
        <f t="shared" si="3"/>
        <v>3202.7735086361768</v>
      </c>
      <c r="I12" s="31">
        <f t="shared" si="4"/>
        <v>-158.29051906154564</v>
      </c>
      <c r="J12" s="31">
        <f t="shared" si="5"/>
        <v>25055.888424773544</v>
      </c>
    </row>
    <row r="13" spans="1:16" x14ac:dyDescent="0.2">
      <c r="A13" s="12">
        <v>44440</v>
      </c>
      <c r="B13" s="7">
        <v>9</v>
      </c>
      <c r="C13" s="8">
        <v>3441.9424510773456</v>
      </c>
      <c r="D13" s="32">
        <f t="shared" si="0"/>
        <v>3175.9190859706209</v>
      </c>
      <c r="E13" s="31">
        <f t="shared" si="1"/>
        <v>266.02336510672467</v>
      </c>
      <c r="F13" s="31">
        <f t="shared" si="2"/>
        <v>70768.430782705735</v>
      </c>
      <c r="H13" s="33">
        <f t="shared" si="3"/>
        <v>3215.0851383481686</v>
      </c>
      <c r="I13" s="31">
        <f t="shared" si="4"/>
        <v>226.85731272917701</v>
      </c>
      <c r="J13" s="31">
        <f t="shared" si="5"/>
        <v>51464.240338703617</v>
      </c>
    </row>
    <row r="14" spans="1:16" x14ac:dyDescent="0.2">
      <c r="A14" s="12">
        <v>44470</v>
      </c>
      <c r="B14" s="7">
        <v>10</v>
      </c>
      <c r="C14" s="8">
        <v>3525.0339304707713</v>
      </c>
      <c r="D14" s="32">
        <f t="shared" si="0"/>
        <v>3192.0039374261178</v>
      </c>
      <c r="E14" s="31">
        <f t="shared" si="1"/>
        <v>333.02999304465357</v>
      </c>
      <c r="F14" s="31">
        <f t="shared" si="2"/>
        <v>110908.976267322</v>
      </c>
      <c r="H14" s="33">
        <f t="shared" si="3"/>
        <v>3284.7013874645531</v>
      </c>
      <c r="I14" s="31">
        <f t="shared" si="4"/>
        <v>240.3325430062182</v>
      </c>
      <c r="J14" s="31">
        <f t="shared" si="5"/>
        <v>57759.73122783572</v>
      </c>
    </row>
    <row r="15" spans="1:16" x14ac:dyDescent="0.2">
      <c r="A15" s="12">
        <v>44501</v>
      </c>
      <c r="B15" s="7">
        <v>11</v>
      </c>
      <c r="C15" s="8">
        <v>3108.3521602549827</v>
      </c>
      <c r="D15" s="32">
        <f t="shared" si="0"/>
        <v>3208.0887888816146</v>
      </c>
      <c r="E15" s="31">
        <f t="shared" si="1"/>
        <v>-99.736628626631955</v>
      </c>
      <c r="F15" s="31">
        <f t="shared" si="2"/>
        <v>9947.3950898067014</v>
      </c>
      <c r="H15" s="33">
        <f t="shared" si="3"/>
        <v>3054.6847226396198</v>
      </c>
      <c r="I15" s="31">
        <f t="shared" si="4"/>
        <v>53.667437615362815</v>
      </c>
      <c r="J15" s="31">
        <f t="shared" si="5"/>
        <v>2880.1938601988595</v>
      </c>
    </row>
    <row r="16" spans="1:16" x14ac:dyDescent="0.2">
      <c r="A16" s="12">
        <v>44531</v>
      </c>
      <c r="B16" s="7">
        <v>12</v>
      </c>
      <c r="C16" s="8">
        <v>3545.592524277507</v>
      </c>
      <c r="D16" s="32">
        <f t="shared" si="0"/>
        <v>3224.1736403371115</v>
      </c>
      <c r="E16" s="31">
        <f t="shared" si="1"/>
        <v>321.41888394039552</v>
      </c>
      <c r="F16" s="31">
        <f t="shared" si="2"/>
        <v>103310.09895348945</v>
      </c>
      <c r="H16" s="33">
        <f t="shared" si="3"/>
        <v>3269.5105051631535</v>
      </c>
      <c r="I16" s="31">
        <f t="shared" si="4"/>
        <v>276.08201911435344</v>
      </c>
      <c r="J16" s="31">
        <f t="shared" si="5"/>
        <v>76221.281278258219</v>
      </c>
    </row>
    <row r="17" spans="1:10" x14ac:dyDescent="0.2">
      <c r="A17" s="12">
        <v>44562</v>
      </c>
      <c r="B17" s="7">
        <v>13</v>
      </c>
      <c r="C17">
        <v>3336.6612940197924</v>
      </c>
      <c r="D17" s="32">
        <f t="shared" si="0"/>
        <v>3240.2584917926088</v>
      </c>
      <c r="E17" s="31">
        <f t="shared" si="1"/>
        <v>96.402802227183656</v>
      </c>
      <c r="F17" s="31">
        <f t="shared" si="2"/>
        <v>9293.5002772534863</v>
      </c>
      <c r="H17" s="33">
        <f t="shared" si="3"/>
        <v>3281.8221348751454</v>
      </c>
      <c r="I17" s="31">
        <f t="shared" si="4"/>
        <v>54.839159144647056</v>
      </c>
      <c r="J17" s="31">
        <f t="shared" si="5"/>
        <v>3007.3333756919269</v>
      </c>
    </row>
    <row r="18" spans="1:10" x14ac:dyDescent="0.2">
      <c r="A18" s="12">
        <v>44593</v>
      </c>
      <c r="B18" s="7">
        <v>14</v>
      </c>
      <c r="C18">
        <v>3405.6543207607619</v>
      </c>
      <c r="D18" s="32">
        <f t="shared" si="0"/>
        <v>3256.3433432481056</v>
      </c>
      <c r="E18" s="31">
        <f t="shared" si="1"/>
        <v>149.31097751265634</v>
      </c>
      <c r="F18" s="31">
        <f t="shared" si="2"/>
        <v>22293.768005784965</v>
      </c>
      <c r="H18" s="33">
        <f t="shared" si="3"/>
        <v>3351.4383839915299</v>
      </c>
      <c r="I18" s="31">
        <f t="shared" si="4"/>
        <v>54.21593676923203</v>
      </c>
      <c r="J18" s="31">
        <f t="shared" si="5"/>
        <v>2939.3677997653658</v>
      </c>
    </row>
    <row r="19" spans="1:10" x14ac:dyDescent="0.2">
      <c r="A19" s="12">
        <v>44621</v>
      </c>
      <c r="B19" s="7">
        <v>15</v>
      </c>
      <c r="C19">
        <v>3091.1205193395353</v>
      </c>
      <c r="D19" s="32">
        <f t="shared" si="0"/>
        <v>3272.4281947036025</v>
      </c>
      <c r="E19" s="31">
        <f t="shared" si="1"/>
        <v>-181.30767536406711</v>
      </c>
      <c r="F19" s="31">
        <f t="shared" si="2"/>
        <v>32872.473145921947</v>
      </c>
      <c r="H19" s="33">
        <f t="shared" si="3"/>
        <v>3121.4217191665966</v>
      </c>
      <c r="I19" s="31">
        <f t="shared" si="4"/>
        <v>-30.301199827061282</v>
      </c>
      <c r="J19" s="31">
        <f t="shared" si="5"/>
        <v>918.16271095949867</v>
      </c>
    </row>
    <row r="20" spans="1:10" x14ac:dyDescent="0.2">
      <c r="A20" s="12">
        <v>44652</v>
      </c>
      <c r="B20" s="7">
        <v>16</v>
      </c>
      <c r="C20">
        <v>3268.3736241335046</v>
      </c>
      <c r="D20" s="32">
        <f t="shared" si="0"/>
        <v>3288.5130461590998</v>
      </c>
      <c r="E20" s="31">
        <f t="shared" si="1"/>
        <v>-20.139422025595195</v>
      </c>
      <c r="F20" s="31">
        <f t="shared" si="2"/>
        <v>405.59631952502889</v>
      </c>
      <c r="H20" s="33">
        <f t="shared" si="3"/>
        <v>3336.2475016901303</v>
      </c>
      <c r="I20" s="31">
        <f t="shared" si="4"/>
        <v>-67.873877556625757</v>
      </c>
      <c r="J20" s="31">
        <f t="shared" si="5"/>
        <v>4606.8632545718256</v>
      </c>
    </row>
    <row r="21" spans="1:10" x14ac:dyDescent="0.2">
      <c r="A21" s="12">
        <v>44682</v>
      </c>
      <c r="B21" s="7">
        <v>17</v>
      </c>
      <c r="C21">
        <v>3088.1345768677852</v>
      </c>
      <c r="D21" s="32">
        <f t="shared" si="0"/>
        <v>3304.5978976145966</v>
      </c>
      <c r="E21" s="31">
        <f t="shared" si="1"/>
        <v>-216.46332074681141</v>
      </c>
      <c r="F21" s="31">
        <f t="shared" si="2"/>
        <v>46856.369228736956</v>
      </c>
      <c r="H21" s="33">
        <f t="shared" si="3"/>
        <v>3348.5591314021221</v>
      </c>
      <c r="I21" s="31">
        <f t="shared" si="4"/>
        <v>-260.42455453433695</v>
      </c>
      <c r="J21" s="31">
        <f t="shared" si="5"/>
        <v>67820.948604407837</v>
      </c>
    </row>
    <row r="22" spans="1:10" x14ac:dyDescent="0.2">
      <c r="A22" s="12">
        <v>44713</v>
      </c>
      <c r="B22" s="7">
        <v>18</v>
      </c>
      <c r="C22">
        <v>3155.6008916771061</v>
      </c>
      <c r="D22" s="32">
        <f t="shared" si="0"/>
        <v>3320.6827490700935</v>
      </c>
      <c r="E22" s="31">
        <f t="shared" si="1"/>
        <v>-165.08185739298733</v>
      </c>
      <c r="F22" s="31">
        <f t="shared" si="2"/>
        <v>27252.019640318606</v>
      </c>
      <c r="H22" s="33">
        <f t="shared" si="3"/>
        <v>3418.1753805185067</v>
      </c>
      <c r="I22" s="31">
        <f t="shared" si="4"/>
        <v>-262.57448884140058</v>
      </c>
      <c r="J22" s="31">
        <f t="shared" si="5"/>
        <v>68945.362190322805</v>
      </c>
    </row>
    <row r="23" spans="1:10" x14ac:dyDescent="0.2">
      <c r="A23" s="12">
        <v>44743</v>
      </c>
      <c r="B23" s="7">
        <v>19</v>
      </c>
      <c r="C23">
        <v>3160.1613235268401</v>
      </c>
      <c r="D23" s="32">
        <f t="shared" si="0"/>
        <v>3336.7676005255908</v>
      </c>
      <c r="E23" s="31">
        <f t="shared" si="1"/>
        <v>-176.60627699875067</v>
      </c>
      <c r="F23" s="31">
        <f t="shared" si="2"/>
        <v>31189.777075359452</v>
      </c>
      <c r="H23" s="33">
        <f t="shared" si="3"/>
        <v>3188.1587156935734</v>
      </c>
      <c r="I23" s="31">
        <f t="shared" si="4"/>
        <v>-27.997392166733334</v>
      </c>
      <c r="J23" s="31">
        <f t="shared" si="5"/>
        <v>783.8539681378611</v>
      </c>
    </row>
    <row r="24" spans="1:10" x14ac:dyDescent="0.2">
      <c r="A24" s="12">
        <v>44774</v>
      </c>
      <c r="B24" s="7">
        <v>20</v>
      </c>
      <c r="C24">
        <v>3148.9210389805121</v>
      </c>
      <c r="D24" s="32">
        <f t="shared" si="0"/>
        <v>3352.8524519810876</v>
      </c>
      <c r="E24" s="31">
        <f t="shared" si="1"/>
        <v>-203.9314130005755</v>
      </c>
      <c r="F24" s="31">
        <f t="shared" si="2"/>
        <v>41588.021208411294</v>
      </c>
      <c r="H24" s="33">
        <f t="shared" si="3"/>
        <v>3402.9844982171071</v>
      </c>
      <c r="I24" s="31">
        <f t="shared" si="4"/>
        <v>-254.06345923659501</v>
      </c>
      <c r="J24" s="31">
        <f t="shared" si="5"/>
        <v>64548.241319264976</v>
      </c>
    </row>
    <row r="25" spans="1:10" x14ac:dyDescent="0.2">
      <c r="A25" s="12">
        <v>44805</v>
      </c>
      <c r="B25" s="7">
        <v>21</v>
      </c>
      <c r="C25">
        <v>3528.9741589155801</v>
      </c>
      <c r="D25" s="32">
        <f t="shared" si="0"/>
        <v>3368.9373034365844</v>
      </c>
      <c r="E25" s="31">
        <f t="shared" si="1"/>
        <v>160.03685547899568</v>
      </c>
      <c r="F25" s="31">
        <f t="shared" si="2"/>
        <v>25611.795111604948</v>
      </c>
      <c r="H25" s="33">
        <f t="shared" si="3"/>
        <v>3415.2961279290989</v>
      </c>
      <c r="I25" s="31">
        <f t="shared" si="4"/>
        <v>113.67803098648119</v>
      </c>
      <c r="J25" s="31">
        <f t="shared" si="5"/>
        <v>12922.694728963377</v>
      </c>
    </row>
    <row r="26" spans="1:10" x14ac:dyDescent="0.2">
      <c r="A26" s="12">
        <v>44835</v>
      </c>
      <c r="B26" s="7">
        <v>22</v>
      </c>
      <c r="C26">
        <v>3594.659296741359</v>
      </c>
      <c r="D26" s="32">
        <f t="shared" si="0"/>
        <v>3385.0221548920813</v>
      </c>
      <c r="E26" s="31">
        <f t="shared" si="1"/>
        <v>209.63714184927767</v>
      </c>
      <c r="F26" s="31">
        <f t="shared" si="2"/>
        <v>43947.731242734168</v>
      </c>
      <c r="H26" s="33">
        <f t="shared" si="3"/>
        <v>3484.912377045483</v>
      </c>
      <c r="I26" s="31">
        <f t="shared" si="4"/>
        <v>109.74691969587593</v>
      </c>
      <c r="J26" s="31">
        <f t="shared" si="5"/>
        <v>12044.386382733041</v>
      </c>
    </row>
    <row r="27" spans="1:10" x14ac:dyDescent="0.2">
      <c r="A27" s="12">
        <v>44866</v>
      </c>
      <c r="B27" s="7">
        <v>23</v>
      </c>
      <c r="C27">
        <v>3160.5711849579234</v>
      </c>
      <c r="D27" s="32">
        <f t="shared" si="0"/>
        <v>3401.1070063475786</v>
      </c>
      <c r="E27" s="31">
        <f t="shared" si="1"/>
        <v>-240.53582138965521</v>
      </c>
      <c r="F27" s="31">
        <f t="shared" si="2"/>
        <v>57857.481371596114</v>
      </c>
      <c r="H27" s="33">
        <f t="shared" si="3"/>
        <v>3254.8957122205502</v>
      </c>
      <c r="I27" s="31">
        <f t="shared" si="4"/>
        <v>-94.324527262626816</v>
      </c>
      <c r="J27" s="31">
        <f t="shared" si="5"/>
        <v>8897.1164433180293</v>
      </c>
    </row>
    <row r="28" spans="1:10" x14ac:dyDescent="0.2">
      <c r="A28" s="12">
        <v>44896</v>
      </c>
      <c r="B28" s="7">
        <v>24</v>
      </c>
      <c r="C28">
        <v>3580.4052074128008</v>
      </c>
      <c r="D28" s="32">
        <f t="shared" si="0"/>
        <v>3417.1918578030754</v>
      </c>
      <c r="E28" s="31">
        <f t="shared" si="1"/>
        <v>163.21334960972536</v>
      </c>
      <c r="F28" s="31">
        <f t="shared" si="2"/>
        <v>26638.597490826436</v>
      </c>
      <c r="H28" s="33">
        <f t="shared" si="3"/>
        <v>3469.7214947440839</v>
      </c>
      <c r="I28" s="31">
        <f t="shared" si="4"/>
        <v>110.68371266871691</v>
      </c>
      <c r="J28" s="31">
        <f t="shared" si="5"/>
        <v>12250.884250131083</v>
      </c>
    </row>
    <row r="29" spans="1:10" x14ac:dyDescent="0.2">
      <c r="A29" s="12">
        <v>44927</v>
      </c>
      <c r="B29" s="7">
        <v>25</v>
      </c>
      <c r="C29">
        <v>3527.3062940197924</v>
      </c>
      <c r="D29" s="32">
        <f t="shared" si="0"/>
        <v>3433.2767092585723</v>
      </c>
      <c r="E29" s="31">
        <f t="shared" si="1"/>
        <v>94.029584761220121</v>
      </c>
      <c r="F29" s="31">
        <f t="shared" si="2"/>
        <v>8841.562810367479</v>
      </c>
      <c r="H29" s="33">
        <f t="shared" si="3"/>
        <v>3482.0331244560757</v>
      </c>
      <c r="I29" s="31">
        <f t="shared" si="4"/>
        <v>45.273169563716692</v>
      </c>
      <c r="J29" s="31">
        <f t="shared" si="5"/>
        <v>2049.6598823450436</v>
      </c>
    </row>
    <row r="30" spans="1:10" x14ac:dyDescent="0.2">
      <c r="A30" s="12">
        <v>44958</v>
      </c>
      <c r="B30" s="7">
        <v>26</v>
      </c>
      <c r="C30">
        <v>3610.9643207607619</v>
      </c>
      <c r="D30" s="32">
        <f t="shared" si="0"/>
        <v>3449.3615607140691</v>
      </c>
      <c r="E30" s="31">
        <f t="shared" si="1"/>
        <v>161.60276004669277</v>
      </c>
      <c r="F30" s="31">
        <f t="shared" si="2"/>
        <v>26115.45205470896</v>
      </c>
      <c r="H30" s="33">
        <f t="shared" si="3"/>
        <v>3551.6493735724598</v>
      </c>
      <c r="I30" s="31">
        <f t="shared" si="4"/>
        <v>59.314947188302085</v>
      </c>
      <c r="J30" s="31">
        <f t="shared" si="5"/>
        <v>3518.2629599510656</v>
      </c>
    </row>
    <row r="31" spans="1:10" x14ac:dyDescent="0.2">
      <c r="A31" s="12">
        <v>44986</v>
      </c>
      <c r="B31" s="7">
        <v>27</v>
      </c>
      <c r="C31">
        <v>3311.0955193395353</v>
      </c>
      <c r="D31" s="32">
        <f t="shared" si="0"/>
        <v>3465.4464121695664</v>
      </c>
      <c r="E31" s="31">
        <f t="shared" si="1"/>
        <v>-154.35089283003117</v>
      </c>
      <c r="F31" s="31">
        <f t="shared" si="2"/>
        <v>23824.198117427768</v>
      </c>
      <c r="G31" s="2" t="str">
        <f ca="1">_xlfn.FORMULATEXT(G32)</f>
        <v>=FORECAST.ETS(A32,$C$5:$C$31,$A$5:$A$31)</v>
      </c>
      <c r="H31" s="33">
        <f t="shared" si="3"/>
        <v>3321.632708747527</v>
      </c>
      <c r="I31" s="31">
        <f t="shared" si="4"/>
        <v>-10.537189407991718</v>
      </c>
      <c r="J31" s="31">
        <f t="shared" si="5"/>
        <v>111.03236061989286</v>
      </c>
    </row>
    <row r="32" spans="1:10" x14ac:dyDescent="0.2">
      <c r="A32" s="12">
        <v>45017</v>
      </c>
      <c r="B32" s="7">
        <v>28</v>
      </c>
      <c r="D32" s="25">
        <f>$N$6+($N$5*B32)</f>
        <v>3481.5312636250633</v>
      </c>
      <c r="E32" s="8"/>
      <c r="F32" s="8"/>
      <c r="G32" s="30">
        <f>_xlfn.FORECAST.ETS(A32,$C$5:$C$31,$A$5:$A$31)</f>
        <v>3481.4977305604389</v>
      </c>
      <c r="H32" s="30">
        <f t="shared" ref="H32:H37" si="6">_xlfn.FORECAST.ETS(A32,$C$5:$C$31,$A$5:$A$31,4)</f>
        <v>3536.4584912710607</v>
      </c>
    </row>
    <row r="33" spans="1:8" x14ac:dyDescent="0.2">
      <c r="A33" s="12">
        <v>45047</v>
      </c>
      <c r="B33" s="7">
        <v>29</v>
      </c>
      <c r="D33" s="25">
        <f t="shared" ref="D33:D37" si="7">$N$6+($N$5*B33)</f>
        <v>3497.6161150805601</v>
      </c>
      <c r="E33" s="8"/>
      <c r="F33" s="8"/>
      <c r="G33" s="30">
        <f t="shared" ref="G33:G37" si="8">_xlfn.FORECAST.ETS(A33,$C$5:$C$31,$A$5:$A$31)</f>
        <v>3497.0628560453665</v>
      </c>
      <c r="H33" s="30">
        <f t="shared" si="6"/>
        <v>3548.770120983052</v>
      </c>
    </row>
    <row r="34" spans="1:8" x14ac:dyDescent="0.2">
      <c r="A34" s="12">
        <v>45078</v>
      </c>
      <c r="B34" s="7">
        <v>30</v>
      </c>
      <c r="D34" s="25">
        <f t="shared" si="7"/>
        <v>3513.7009665360574</v>
      </c>
      <c r="E34" s="8"/>
      <c r="F34" s="8"/>
      <c r="G34" s="30">
        <f t="shared" si="8"/>
        <v>3512.6279815302937</v>
      </c>
      <c r="H34" s="30">
        <f t="shared" si="6"/>
        <v>3618.3863700994366</v>
      </c>
    </row>
    <row r="35" spans="1:8" x14ac:dyDescent="0.2">
      <c r="A35" s="12">
        <v>45108</v>
      </c>
      <c r="B35" s="7">
        <v>31</v>
      </c>
      <c r="D35" s="25">
        <f t="shared" si="7"/>
        <v>3529.7858179915543</v>
      </c>
      <c r="E35" s="8"/>
      <c r="F35" s="8"/>
      <c r="G35" s="30">
        <f t="shared" si="8"/>
        <v>3528.1931070152209</v>
      </c>
      <c r="H35" s="30">
        <f t="shared" si="6"/>
        <v>3388.3697052745038</v>
      </c>
    </row>
    <row r="36" spans="1:8" x14ac:dyDescent="0.2">
      <c r="A36" s="12">
        <v>45139</v>
      </c>
      <c r="B36" s="7">
        <v>32</v>
      </c>
      <c r="D36" s="25">
        <f t="shared" si="7"/>
        <v>3545.8706694470511</v>
      </c>
      <c r="E36" s="8"/>
      <c r="F36" s="8"/>
      <c r="G36" s="30">
        <f t="shared" si="8"/>
        <v>3543.7582325001481</v>
      </c>
      <c r="H36" s="30">
        <f t="shared" si="6"/>
        <v>3603.1954877980374</v>
      </c>
    </row>
    <row r="37" spans="1:8" x14ac:dyDescent="0.2">
      <c r="A37" s="12">
        <v>45170</v>
      </c>
      <c r="B37" s="7">
        <v>33</v>
      </c>
      <c r="D37" s="25">
        <f t="shared" si="7"/>
        <v>3561.9555209025484</v>
      </c>
      <c r="E37" s="8"/>
      <c r="F37" s="8"/>
      <c r="G37" s="30">
        <f t="shared" si="8"/>
        <v>3559.3233579850757</v>
      </c>
      <c r="H37" s="30">
        <f t="shared" si="6"/>
        <v>3615.5071175100288</v>
      </c>
    </row>
    <row r="38" spans="1:8" x14ac:dyDescent="0.2">
      <c r="D38" s="2" t="str">
        <f ca="1">_xlfn.FORMULATEXT(D37)</f>
        <v>=$N$6+($N$5*B37)</v>
      </c>
      <c r="E38" s="2"/>
      <c r="F38" s="2"/>
      <c r="G38" s="2" t="str">
        <f ca="1">_xlfn.FORMULATEXT(G37)</f>
        <v>=FORECAST.ETS(A37,$C$5:$C$31,$A$5:$A$31)</v>
      </c>
      <c r="H38" s="2"/>
    </row>
    <row r="39" spans="1:8" x14ac:dyDescent="0.2">
      <c r="H39" s="2" t="str">
        <f ca="1">_xlfn.FORMULATEXT(H37)</f>
        <v>=FORECAST.ETS(A37,$C$5:$C$31,$A$5:$A$31,4)</v>
      </c>
    </row>
    <row r="41" spans="1:8" x14ac:dyDescent="0.2">
      <c r="G41" t="s">
        <v>109</v>
      </c>
    </row>
  </sheetData>
  <phoneticPr fontId="3" type="noConversion"/>
  <hyperlinks>
    <hyperlink ref="A1" r:id="rId1" xr:uid="{6D95A2E6-C148-4919-AFAE-D9ABC1F19A1C}"/>
  </hyperlinks>
  <pageMargins left="0.7" right="0.7" top="0.75" bottom="0.75" header="0.3" footer="0.3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2071-31B8-4C96-B9F6-B511CF57D6C7}">
  <dimension ref="A1:I34"/>
  <sheetViews>
    <sheetView zoomScaleNormal="100" workbookViewId="0">
      <selection activeCell="J31" sqref="J31"/>
    </sheetView>
  </sheetViews>
  <sheetFormatPr defaultRowHeight="14.25" x14ac:dyDescent="0.2"/>
  <cols>
    <col min="1" max="1" width="11" customWidth="1"/>
    <col min="2" max="2" width="9.625" bestFit="1" customWidth="1"/>
    <col min="3" max="3" width="10.625" customWidth="1"/>
    <col min="4" max="4" width="25.25" customWidth="1"/>
    <col min="5" max="5" width="25.375" customWidth="1"/>
    <col min="7" max="7" width="11.375" customWidth="1"/>
    <col min="8" max="8" width="8.25" customWidth="1"/>
  </cols>
  <sheetData>
    <row r="1" spans="1:9" x14ac:dyDescent="0.2">
      <c r="A1" t="s">
        <v>70</v>
      </c>
      <c r="B1" t="s">
        <v>71</v>
      </c>
      <c r="C1" t="s">
        <v>65</v>
      </c>
      <c r="D1" t="s">
        <v>72</v>
      </c>
      <c r="E1" t="s">
        <v>73</v>
      </c>
      <c r="G1" t="s">
        <v>74</v>
      </c>
      <c r="H1" t="s">
        <v>75</v>
      </c>
    </row>
    <row r="2" spans="1:9" x14ac:dyDescent="0.2">
      <c r="A2" s="13">
        <v>1</v>
      </c>
      <c r="B2" s="8">
        <v>3110.3788536403831</v>
      </c>
      <c r="G2" t="s">
        <v>52</v>
      </c>
      <c r="H2" s="15">
        <f>_xlfn.FORECAST.ETS.STAT($B$2:$B$28,$A$2:$A$28,1,5,1)</f>
        <v>0.251</v>
      </c>
    </row>
    <row r="3" spans="1:9" x14ac:dyDescent="0.2">
      <c r="A3" s="13">
        <v>2</v>
      </c>
      <c r="B3" s="8">
        <v>3196.7782219489995</v>
      </c>
      <c r="G3" t="s">
        <v>76</v>
      </c>
      <c r="H3" s="15">
        <f>_xlfn.FORECAST.ETS.STAT($B$2:$B$28,$A$2:$A$28,2,5,1)</f>
        <v>1E-3</v>
      </c>
    </row>
    <row r="4" spans="1:9" x14ac:dyDescent="0.2">
      <c r="A4" s="13">
        <v>3</v>
      </c>
      <c r="B4" s="8">
        <v>2899.6507620954199</v>
      </c>
      <c r="G4" t="s">
        <v>77</v>
      </c>
      <c r="H4" s="15">
        <f>_xlfn.FORECAST.ETS.STAT($B$2:$B$28,$A$2:$A$28,3,5,1)</f>
        <v>1E-3</v>
      </c>
    </row>
    <row r="5" spans="1:9" x14ac:dyDescent="0.2">
      <c r="A5" s="13">
        <v>4</v>
      </c>
      <c r="B5" s="8">
        <v>3094.310208457036</v>
      </c>
      <c r="G5" t="s">
        <v>78</v>
      </c>
      <c r="H5" s="15">
        <f>_xlfn.FORECAST.ETS.STAT($B$2:$B$28,$A$2:$A$28,4,5,1)</f>
        <v>0.91100570837302053</v>
      </c>
    </row>
    <row r="6" spans="1:9" x14ac:dyDescent="0.2">
      <c r="A6" s="13">
        <v>5</v>
      </c>
      <c r="B6" s="8">
        <v>2931.4775027589635</v>
      </c>
      <c r="G6" t="s">
        <v>79</v>
      </c>
      <c r="H6" s="15">
        <f>_xlfn.FORECAST.ETS.STAT($B$2:$B$28,$A$2:$A$28,5,5,1)</f>
        <v>5.270926908533935E-2</v>
      </c>
    </row>
    <row r="7" spans="1:9" x14ac:dyDescent="0.2">
      <c r="A7" s="13">
        <v>6</v>
      </c>
      <c r="B7" s="8">
        <v>3016.3501591359313</v>
      </c>
      <c r="G7" t="s">
        <v>80</v>
      </c>
      <c r="H7" s="15">
        <f>_xlfn.FORECAST.ETS.STAT($B$2:$B$28,$A$2:$A$28,6,5,1)</f>
        <v>178.69648863100559</v>
      </c>
    </row>
    <row r="8" spans="1:9" x14ac:dyDescent="0.2">
      <c r="A8" s="13">
        <v>7</v>
      </c>
      <c r="B8" s="8">
        <v>3038.3169325533122</v>
      </c>
      <c r="G8" t="s">
        <v>81</v>
      </c>
      <c r="H8" s="15">
        <f>_xlfn.FORECAST.ETS.STAT($B$2:$B$28,$A$2:$A$28,7,5,1)</f>
        <v>209.04708974776304</v>
      </c>
    </row>
    <row r="9" spans="1:9" x14ac:dyDescent="0.2">
      <c r="A9" s="13">
        <v>8</v>
      </c>
      <c r="B9" s="8">
        <v>3044.4829895746311</v>
      </c>
    </row>
    <row r="10" spans="1:9" x14ac:dyDescent="0.2">
      <c r="A10" s="13">
        <v>9</v>
      </c>
      <c r="B10" s="8">
        <v>3441.9424510773456</v>
      </c>
    </row>
    <row r="11" spans="1:9" x14ac:dyDescent="0.2">
      <c r="A11" s="13">
        <v>10</v>
      </c>
      <c r="B11" s="8">
        <v>3525.0339304707713</v>
      </c>
    </row>
    <row r="12" spans="1:9" x14ac:dyDescent="0.2">
      <c r="A12" s="13">
        <v>11</v>
      </c>
      <c r="B12" s="8">
        <v>3108.3521602549827</v>
      </c>
      <c r="G12" s="51" t="s">
        <v>133</v>
      </c>
      <c r="H12" s="51"/>
      <c r="I12" s="51"/>
    </row>
    <row r="13" spans="1:9" x14ac:dyDescent="0.2">
      <c r="A13" s="13">
        <v>12</v>
      </c>
      <c r="B13" s="8">
        <v>3545.592524277507</v>
      </c>
    </row>
    <row r="14" spans="1:9" x14ac:dyDescent="0.2">
      <c r="A14" s="13">
        <v>13</v>
      </c>
      <c r="B14" s="8">
        <v>3336.6612940197924</v>
      </c>
    </row>
    <row r="15" spans="1:9" x14ac:dyDescent="0.2">
      <c r="A15" s="13">
        <v>14</v>
      </c>
      <c r="B15" s="8">
        <v>3405.6543207607619</v>
      </c>
    </row>
    <row r="16" spans="1:9" x14ac:dyDescent="0.2">
      <c r="A16" s="13">
        <v>15</v>
      </c>
      <c r="B16" s="8">
        <v>3091.1205193395353</v>
      </c>
    </row>
    <row r="17" spans="1:5" x14ac:dyDescent="0.2">
      <c r="A17" s="13">
        <v>16</v>
      </c>
      <c r="B17" s="8">
        <v>3268.3736241335046</v>
      </c>
    </row>
    <row r="18" spans="1:5" x14ac:dyDescent="0.2">
      <c r="A18" s="13">
        <v>17</v>
      </c>
      <c r="B18" s="8">
        <v>3088.1345768677852</v>
      </c>
    </row>
    <row r="19" spans="1:5" x14ac:dyDescent="0.2">
      <c r="A19" s="13">
        <v>18</v>
      </c>
      <c r="B19" s="8">
        <v>3155.6008916771061</v>
      </c>
    </row>
    <row r="20" spans="1:5" x14ac:dyDescent="0.2">
      <c r="A20" s="13">
        <v>19</v>
      </c>
      <c r="B20" s="8">
        <v>3160.1613235268401</v>
      </c>
    </row>
    <row r="21" spans="1:5" x14ac:dyDescent="0.2">
      <c r="A21" s="13">
        <v>20</v>
      </c>
      <c r="B21" s="8">
        <v>3148.9210389805121</v>
      </c>
    </row>
    <row r="22" spans="1:5" x14ac:dyDescent="0.2">
      <c r="A22" s="13">
        <v>21</v>
      </c>
      <c r="B22" s="8">
        <v>3528.9741589155801</v>
      </c>
    </row>
    <row r="23" spans="1:5" x14ac:dyDescent="0.2">
      <c r="A23" s="13">
        <v>22</v>
      </c>
      <c r="B23" s="8">
        <v>3594.659296741359</v>
      </c>
    </row>
    <row r="24" spans="1:5" x14ac:dyDescent="0.2">
      <c r="A24" s="13">
        <v>23</v>
      </c>
      <c r="B24" s="8">
        <v>3160.5711849579234</v>
      </c>
    </row>
    <row r="25" spans="1:5" x14ac:dyDescent="0.2">
      <c r="A25" s="13">
        <v>24</v>
      </c>
      <c r="B25" s="8">
        <v>3580.4052074128008</v>
      </c>
    </row>
    <row r="26" spans="1:5" x14ac:dyDescent="0.2">
      <c r="A26" s="13">
        <v>25</v>
      </c>
      <c r="B26" s="8">
        <v>3527.3062940197924</v>
      </c>
    </row>
    <row r="27" spans="1:5" x14ac:dyDescent="0.2">
      <c r="A27" s="13">
        <v>26</v>
      </c>
      <c r="B27" s="8">
        <v>3610.9643207607619</v>
      </c>
    </row>
    <row r="28" spans="1:5" x14ac:dyDescent="0.2">
      <c r="A28" s="13">
        <v>27</v>
      </c>
      <c r="B28" s="8">
        <v>3311.0955193395353</v>
      </c>
      <c r="C28" s="8">
        <v>3311.0955193395353</v>
      </c>
      <c r="D28" s="8">
        <v>3311.0955193395353</v>
      </c>
      <c r="E28" s="8">
        <v>3311.0955193395353</v>
      </c>
    </row>
    <row r="29" spans="1:5" x14ac:dyDescent="0.2">
      <c r="A29" s="13">
        <v>28</v>
      </c>
      <c r="C29" s="8">
        <f t="shared" ref="C29:C34" si="0">_xlfn.FORECAST.ETS(A29,$B$2:$B$28,$A$2:$A$28,5,1)</f>
        <v>3381.224586635351</v>
      </c>
      <c r="D29" s="8">
        <f t="shared" ref="D29:D34" si="1">C29-_xlfn.FORECAST.ETS.CONFINT(A29,$B$2:$B$28,$A$2:$A$28,0.95,5,1)</f>
        <v>3000.9552345178572</v>
      </c>
      <c r="E29" s="8">
        <f t="shared" ref="E29:E34" si="2">C29+_xlfn.FORECAST.ETS.CONFINT(A29,$B$2:$B$28,$A$2:$A$28,0.95,5,1)</f>
        <v>3761.4939387528448</v>
      </c>
    </row>
    <row r="30" spans="1:5" x14ac:dyDescent="0.2">
      <c r="A30" s="13">
        <v>29</v>
      </c>
      <c r="C30" s="8">
        <f t="shared" si="0"/>
        <v>3601.7470248479872</v>
      </c>
      <c r="D30" s="8">
        <f t="shared" si="1"/>
        <v>3209.5891967747352</v>
      </c>
      <c r="E30" s="8">
        <f t="shared" si="2"/>
        <v>3993.9048529212391</v>
      </c>
    </row>
    <row r="31" spans="1:5" x14ac:dyDescent="0.2">
      <c r="A31" s="13">
        <v>30</v>
      </c>
      <c r="C31" s="8">
        <f t="shared" si="0"/>
        <v>3473.1865745496752</v>
      </c>
      <c r="D31" s="8">
        <f t="shared" si="1"/>
        <v>3069.3997873805274</v>
      </c>
      <c r="E31" s="8">
        <f t="shared" si="2"/>
        <v>3876.9733617188231</v>
      </c>
    </row>
    <row r="32" spans="1:5" x14ac:dyDescent="0.2">
      <c r="A32" s="13">
        <v>31</v>
      </c>
      <c r="C32" s="8">
        <f t="shared" si="0"/>
        <v>3430.4043597294831</v>
      </c>
      <c r="D32" s="8">
        <f t="shared" si="1"/>
        <v>3015.2259745874144</v>
      </c>
      <c r="E32" s="8">
        <f t="shared" si="2"/>
        <v>3845.5827448715518</v>
      </c>
    </row>
    <row r="33" spans="1:5" x14ac:dyDescent="0.2">
      <c r="A33" s="13">
        <v>32</v>
      </c>
      <c r="C33" s="8">
        <f t="shared" si="0"/>
        <v>3629.9162997042495</v>
      </c>
      <c r="D33" s="8">
        <f t="shared" si="1"/>
        <v>3203.5643121176186</v>
      </c>
      <c r="E33" s="8">
        <f t="shared" si="2"/>
        <v>4056.2682872908804</v>
      </c>
    </row>
    <row r="34" spans="1:5" x14ac:dyDescent="0.2">
      <c r="A34" s="13">
        <v>33</v>
      </c>
      <c r="C34" s="8">
        <f t="shared" si="0"/>
        <v>3456.3734791392626</v>
      </c>
      <c r="D34" s="8">
        <f t="shared" si="1"/>
        <v>3018.9640388617931</v>
      </c>
      <c r="E34" s="8">
        <f t="shared" si="2"/>
        <v>3893.7829194167321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DF2B-0851-44B0-AF61-A8F4523D8EB3}">
  <dimension ref="A1:K112"/>
  <sheetViews>
    <sheetView workbookViewId="0">
      <selection activeCell="K37" sqref="K37"/>
    </sheetView>
  </sheetViews>
  <sheetFormatPr defaultRowHeight="14.25" x14ac:dyDescent="0.2"/>
  <cols>
    <col min="1" max="1" width="13.75" customWidth="1"/>
    <col min="2" max="2" width="25.875" customWidth="1"/>
    <col min="3" max="3" width="17.625" bestFit="1" customWidth="1"/>
    <col min="7" max="7" width="11.625" customWidth="1"/>
  </cols>
  <sheetData>
    <row r="1" spans="1:3" x14ac:dyDescent="0.2">
      <c r="A1" t="s">
        <v>32</v>
      </c>
      <c r="B1" t="s">
        <v>38</v>
      </c>
      <c r="C1" t="s">
        <v>39</v>
      </c>
    </row>
    <row r="2" spans="1:3" x14ac:dyDescent="0.2">
      <c r="A2" s="10">
        <v>44927</v>
      </c>
      <c r="B2" s="4">
        <v>114</v>
      </c>
      <c r="C2" s="8">
        <v>436</v>
      </c>
    </row>
    <row r="3" spans="1:3" x14ac:dyDescent="0.2">
      <c r="A3" s="10">
        <v>44928</v>
      </c>
      <c r="B3" s="4">
        <v>118</v>
      </c>
      <c r="C3" s="8">
        <v>683</v>
      </c>
    </row>
    <row r="4" spans="1:3" x14ac:dyDescent="0.2">
      <c r="A4" s="10">
        <v>44929</v>
      </c>
      <c r="B4" s="4">
        <v>106</v>
      </c>
      <c r="C4" s="8">
        <v>512</v>
      </c>
    </row>
    <row r="5" spans="1:3" x14ac:dyDescent="0.2">
      <c r="A5" s="10">
        <v>44930</v>
      </c>
      <c r="B5" s="4">
        <v>111</v>
      </c>
      <c r="C5" s="8">
        <v>678</v>
      </c>
    </row>
    <row r="6" spans="1:3" x14ac:dyDescent="0.2">
      <c r="A6" s="10">
        <v>44931</v>
      </c>
      <c r="B6" s="4">
        <v>112</v>
      </c>
      <c r="C6" s="8">
        <v>724</v>
      </c>
    </row>
    <row r="7" spans="1:3" x14ac:dyDescent="0.2">
      <c r="A7" s="10">
        <v>44932</v>
      </c>
      <c r="B7" s="4">
        <v>114</v>
      </c>
      <c r="C7" s="8">
        <v>1036</v>
      </c>
    </row>
    <row r="8" spans="1:3" x14ac:dyDescent="0.2">
      <c r="A8" s="10">
        <v>44933</v>
      </c>
      <c r="B8" s="4">
        <v>104</v>
      </c>
      <c r="C8" s="8">
        <v>1468</v>
      </c>
    </row>
    <row r="9" spans="1:3" x14ac:dyDescent="0.2">
      <c r="A9" s="10">
        <v>44934</v>
      </c>
      <c r="B9" s="4">
        <v>105</v>
      </c>
      <c r="C9" s="8">
        <v>385</v>
      </c>
    </row>
    <row r="10" spans="1:3" x14ac:dyDescent="0.2">
      <c r="A10" s="10">
        <v>44935</v>
      </c>
      <c r="B10" s="4">
        <v>104</v>
      </c>
      <c r="C10" s="8">
        <v>895</v>
      </c>
    </row>
    <row r="11" spans="1:3" x14ac:dyDescent="0.2">
      <c r="A11" s="10">
        <v>44936</v>
      </c>
      <c r="B11" s="4">
        <v>120</v>
      </c>
      <c r="C11" s="8">
        <v>346</v>
      </c>
    </row>
    <row r="12" spans="1:3" x14ac:dyDescent="0.2">
      <c r="A12" s="10">
        <v>44937</v>
      </c>
      <c r="B12" s="4">
        <v>112</v>
      </c>
      <c r="C12" s="8">
        <v>835</v>
      </c>
    </row>
    <row r="13" spans="1:3" x14ac:dyDescent="0.2">
      <c r="A13" s="10">
        <v>44938</v>
      </c>
      <c r="B13" s="4">
        <v>108</v>
      </c>
      <c r="C13" s="8">
        <v>1135</v>
      </c>
    </row>
    <row r="14" spans="1:3" x14ac:dyDescent="0.2">
      <c r="A14" s="10">
        <v>44939</v>
      </c>
      <c r="B14" s="4">
        <v>114</v>
      </c>
      <c r="C14" s="8">
        <v>305</v>
      </c>
    </row>
    <row r="15" spans="1:3" x14ac:dyDescent="0.2">
      <c r="A15" s="10">
        <v>44940</v>
      </c>
      <c r="B15" s="4">
        <v>107</v>
      </c>
      <c r="C15" s="8">
        <v>1159</v>
      </c>
    </row>
    <row r="16" spans="1:3" x14ac:dyDescent="0.2">
      <c r="A16" s="10">
        <v>44941</v>
      </c>
      <c r="B16" s="4">
        <v>115</v>
      </c>
      <c r="C16" s="8">
        <v>373</v>
      </c>
    </row>
    <row r="17" spans="1:10" x14ac:dyDescent="0.2">
      <c r="A17" s="10">
        <v>44942</v>
      </c>
      <c r="B17" s="4">
        <v>106</v>
      </c>
      <c r="C17" s="8">
        <v>526</v>
      </c>
    </row>
    <row r="18" spans="1:10" x14ac:dyDescent="0.2">
      <c r="A18" s="10">
        <v>44943</v>
      </c>
      <c r="B18" s="4">
        <v>105</v>
      </c>
      <c r="C18" s="8">
        <v>1352</v>
      </c>
      <c r="F18" t="s">
        <v>40</v>
      </c>
      <c r="G18" s="8">
        <f>MIN(B2:B112)</f>
        <v>100</v>
      </c>
      <c r="I18" t="s">
        <v>43</v>
      </c>
      <c r="J18" s="1">
        <f>INTERCEPT(C2:C112,B2:B112)</f>
        <v>6701.552463652506</v>
      </c>
    </row>
    <row r="19" spans="1:10" x14ac:dyDescent="0.2">
      <c r="A19" s="10">
        <v>44944</v>
      </c>
      <c r="B19" s="4">
        <v>101</v>
      </c>
      <c r="C19" s="8">
        <v>1844</v>
      </c>
      <c r="F19" t="s">
        <v>41</v>
      </c>
      <c r="G19" s="8">
        <f>MAX(B2:B112)</f>
        <v>120</v>
      </c>
      <c r="I19" t="s">
        <v>44</v>
      </c>
      <c r="J19" s="1">
        <f>SLOPE(C2:C112,B2:B112)</f>
        <v>-51.993446575541057</v>
      </c>
    </row>
    <row r="20" spans="1:10" x14ac:dyDescent="0.2">
      <c r="A20" s="10">
        <v>44945</v>
      </c>
      <c r="B20" s="4">
        <v>111</v>
      </c>
      <c r="C20" s="8">
        <v>596</v>
      </c>
      <c r="G20" s="8">
        <f>(G19-G18)/10</f>
        <v>2</v>
      </c>
    </row>
    <row r="21" spans="1:10" x14ac:dyDescent="0.2">
      <c r="A21" s="10">
        <v>44946</v>
      </c>
      <c r="B21" s="4">
        <v>110</v>
      </c>
      <c r="C21" s="8">
        <v>1625</v>
      </c>
    </row>
    <row r="22" spans="1:10" x14ac:dyDescent="0.2">
      <c r="A22" s="10">
        <v>44947</v>
      </c>
      <c r="B22" s="4">
        <v>111</v>
      </c>
      <c r="C22" s="8">
        <v>552</v>
      </c>
      <c r="F22" t="s">
        <v>42</v>
      </c>
      <c r="G22" t="s">
        <v>34</v>
      </c>
    </row>
    <row r="23" spans="1:10" x14ac:dyDescent="0.2">
      <c r="A23" s="10">
        <v>44948</v>
      </c>
      <c r="B23" s="4">
        <v>110</v>
      </c>
      <c r="C23" s="8">
        <v>665</v>
      </c>
      <c r="F23" s="8">
        <f>G18</f>
        <v>100</v>
      </c>
      <c r="G23" s="25">
        <f>$J$18+$J$19*F23</f>
        <v>1502.2078060984004</v>
      </c>
    </row>
    <row r="24" spans="1:10" x14ac:dyDescent="0.2">
      <c r="A24" s="10">
        <v>44949</v>
      </c>
      <c r="B24" s="4">
        <v>105</v>
      </c>
      <c r="C24" s="8">
        <v>1637</v>
      </c>
      <c r="F24" s="8">
        <f t="shared" ref="F24:F33" si="0">F23+$G$20</f>
        <v>102</v>
      </c>
      <c r="G24" s="25">
        <f t="shared" ref="G24:G33" si="1">$J$18+$J$19*F24</f>
        <v>1398.2209129473185</v>
      </c>
    </row>
    <row r="25" spans="1:10" x14ac:dyDescent="0.2">
      <c r="A25" s="10">
        <v>44950</v>
      </c>
      <c r="B25" s="4">
        <v>106</v>
      </c>
      <c r="C25" s="8">
        <v>385</v>
      </c>
      <c r="F25" s="8">
        <f t="shared" si="0"/>
        <v>104</v>
      </c>
      <c r="G25" s="25">
        <f t="shared" si="1"/>
        <v>1294.2340197962358</v>
      </c>
    </row>
    <row r="26" spans="1:10" x14ac:dyDescent="0.2">
      <c r="A26" s="10">
        <v>44951</v>
      </c>
      <c r="B26" s="4">
        <v>106</v>
      </c>
      <c r="C26" s="8">
        <v>510</v>
      </c>
      <c r="F26" s="8">
        <f t="shared" si="0"/>
        <v>106</v>
      </c>
      <c r="G26" s="25">
        <f t="shared" si="1"/>
        <v>1190.2471266451539</v>
      </c>
    </row>
    <row r="27" spans="1:10" x14ac:dyDescent="0.2">
      <c r="A27" s="10">
        <v>44952</v>
      </c>
      <c r="B27" s="4">
        <v>113</v>
      </c>
      <c r="C27" s="8">
        <v>983</v>
      </c>
      <c r="F27" s="8">
        <f t="shared" si="0"/>
        <v>108</v>
      </c>
      <c r="G27" s="25">
        <f t="shared" si="1"/>
        <v>1086.2602334940721</v>
      </c>
    </row>
    <row r="28" spans="1:10" x14ac:dyDescent="0.2">
      <c r="A28" s="10">
        <v>44953</v>
      </c>
      <c r="B28" s="4">
        <v>118</v>
      </c>
      <c r="C28" s="8">
        <v>664</v>
      </c>
      <c r="F28" s="8">
        <f t="shared" si="0"/>
        <v>110</v>
      </c>
      <c r="G28" s="25">
        <f t="shared" si="1"/>
        <v>982.2733403429902</v>
      </c>
    </row>
    <row r="29" spans="1:10" x14ac:dyDescent="0.2">
      <c r="A29" s="10">
        <v>44954</v>
      </c>
      <c r="B29" s="4">
        <v>115</v>
      </c>
      <c r="C29" s="8">
        <v>514</v>
      </c>
      <c r="F29" s="8">
        <f t="shared" si="0"/>
        <v>112</v>
      </c>
      <c r="G29" s="25">
        <f t="shared" si="1"/>
        <v>878.28644719190743</v>
      </c>
    </row>
    <row r="30" spans="1:10" x14ac:dyDescent="0.2">
      <c r="A30" s="10">
        <v>44955</v>
      </c>
      <c r="B30" s="4">
        <v>101</v>
      </c>
      <c r="C30" s="8">
        <v>1876</v>
      </c>
      <c r="F30" s="8">
        <f t="shared" si="0"/>
        <v>114</v>
      </c>
      <c r="G30" s="25">
        <f t="shared" si="1"/>
        <v>774.29955404082557</v>
      </c>
    </row>
    <row r="31" spans="1:10" x14ac:dyDescent="0.2">
      <c r="A31" s="10">
        <v>44956</v>
      </c>
      <c r="B31" s="4">
        <v>100</v>
      </c>
      <c r="C31" s="8">
        <v>1444</v>
      </c>
      <c r="F31" s="8">
        <f t="shared" si="0"/>
        <v>116</v>
      </c>
      <c r="G31" s="25">
        <f t="shared" si="1"/>
        <v>670.31266088974371</v>
      </c>
    </row>
    <row r="32" spans="1:10" x14ac:dyDescent="0.2">
      <c r="A32" s="10">
        <v>44957</v>
      </c>
      <c r="B32" s="4">
        <v>110</v>
      </c>
      <c r="C32" s="8">
        <v>675</v>
      </c>
      <c r="F32" s="8">
        <f t="shared" si="0"/>
        <v>118</v>
      </c>
      <c r="G32" s="25">
        <f t="shared" si="1"/>
        <v>566.32576773866094</v>
      </c>
    </row>
    <row r="33" spans="1:11" x14ac:dyDescent="0.2">
      <c r="A33" s="10">
        <v>44958</v>
      </c>
      <c r="B33" s="4">
        <v>104</v>
      </c>
      <c r="C33" s="8">
        <v>1047</v>
      </c>
      <c r="F33" s="8">
        <f t="shared" si="0"/>
        <v>120</v>
      </c>
      <c r="G33" s="25">
        <f t="shared" si="1"/>
        <v>462.33887458757908</v>
      </c>
    </row>
    <row r="34" spans="1:11" x14ac:dyDescent="0.2">
      <c r="A34" s="10">
        <v>44959</v>
      </c>
      <c r="B34" s="4">
        <v>113</v>
      </c>
      <c r="C34" s="8">
        <v>1198</v>
      </c>
    </row>
    <row r="35" spans="1:11" x14ac:dyDescent="0.2">
      <c r="A35" s="10">
        <v>44960</v>
      </c>
      <c r="B35" s="4">
        <v>110</v>
      </c>
      <c r="C35" s="8">
        <v>748</v>
      </c>
    </row>
    <row r="36" spans="1:11" x14ac:dyDescent="0.2">
      <c r="A36" s="10">
        <v>44961</v>
      </c>
      <c r="B36" s="4">
        <v>114</v>
      </c>
      <c r="C36" s="8">
        <v>655</v>
      </c>
      <c r="F36" t="s">
        <v>45</v>
      </c>
      <c r="J36" s="1">
        <f>(1000-J18)/J19</f>
        <v>109.65905973109024</v>
      </c>
      <c r="K36" t="s">
        <v>0</v>
      </c>
    </row>
    <row r="37" spans="1:11" x14ac:dyDescent="0.2">
      <c r="A37" s="10">
        <v>44962</v>
      </c>
      <c r="B37" s="4">
        <v>118</v>
      </c>
      <c r="C37" s="8">
        <v>926</v>
      </c>
    </row>
    <row r="38" spans="1:11" x14ac:dyDescent="0.2">
      <c r="A38" s="10">
        <v>44963</v>
      </c>
      <c r="B38" s="4">
        <v>114</v>
      </c>
      <c r="C38" s="8">
        <v>388</v>
      </c>
    </row>
    <row r="39" spans="1:11" x14ac:dyDescent="0.2">
      <c r="A39" s="10">
        <v>44964</v>
      </c>
      <c r="B39" s="4">
        <v>108</v>
      </c>
      <c r="C39" s="8">
        <v>456</v>
      </c>
    </row>
    <row r="40" spans="1:11" x14ac:dyDescent="0.2">
      <c r="A40" s="10">
        <v>44965</v>
      </c>
      <c r="B40" s="4">
        <v>100</v>
      </c>
      <c r="C40" s="8">
        <v>1244</v>
      </c>
    </row>
    <row r="41" spans="1:11" x14ac:dyDescent="0.2">
      <c r="A41" s="10">
        <v>44966</v>
      </c>
      <c r="B41" s="4">
        <v>116</v>
      </c>
      <c r="C41" s="8">
        <v>901</v>
      </c>
    </row>
    <row r="42" spans="1:11" x14ac:dyDescent="0.2">
      <c r="A42" s="10">
        <v>44967</v>
      </c>
      <c r="B42" s="4">
        <v>104</v>
      </c>
      <c r="C42" s="8">
        <v>1893</v>
      </c>
    </row>
    <row r="43" spans="1:11" x14ac:dyDescent="0.2">
      <c r="A43" s="10">
        <v>44968</v>
      </c>
      <c r="B43" s="4">
        <v>116</v>
      </c>
      <c r="C43" s="8">
        <v>611</v>
      </c>
    </row>
    <row r="44" spans="1:11" x14ac:dyDescent="0.2">
      <c r="A44" s="10">
        <v>44969</v>
      </c>
      <c r="B44" s="4">
        <v>109</v>
      </c>
      <c r="C44" s="8">
        <v>1870</v>
      </c>
    </row>
    <row r="45" spans="1:11" x14ac:dyDescent="0.2">
      <c r="A45" s="10">
        <v>44970</v>
      </c>
      <c r="B45" s="4">
        <v>118</v>
      </c>
      <c r="C45" s="8">
        <v>861</v>
      </c>
    </row>
    <row r="46" spans="1:11" x14ac:dyDescent="0.2">
      <c r="A46" s="10">
        <v>44971</v>
      </c>
      <c r="B46" s="4">
        <v>108</v>
      </c>
      <c r="C46" s="8">
        <v>1579</v>
      </c>
    </row>
    <row r="47" spans="1:11" x14ac:dyDescent="0.2">
      <c r="A47" s="10">
        <v>44972</v>
      </c>
      <c r="B47" s="4">
        <v>119</v>
      </c>
      <c r="C47" s="8">
        <v>956</v>
      </c>
    </row>
    <row r="48" spans="1:11" x14ac:dyDescent="0.2">
      <c r="A48" s="10">
        <v>44973</v>
      </c>
      <c r="B48" s="4">
        <v>120</v>
      </c>
      <c r="C48" s="8">
        <v>513</v>
      </c>
    </row>
    <row r="49" spans="1:3" x14ac:dyDescent="0.2">
      <c r="A49" s="10">
        <v>44974</v>
      </c>
      <c r="B49" s="4">
        <v>119</v>
      </c>
      <c r="C49" s="8">
        <v>749</v>
      </c>
    </row>
    <row r="50" spans="1:3" x14ac:dyDescent="0.2">
      <c r="A50" s="10">
        <v>44975</v>
      </c>
      <c r="B50" s="4">
        <v>106</v>
      </c>
      <c r="C50" s="8">
        <v>1401</v>
      </c>
    </row>
    <row r="51" spans="1:3" x14ac:dyDescent="0.2">
      <c r="A51" s="10">
        <v>44976</v>
      </c>
      <c r="B51" s="4">
        <v>111</v>
      </c>
      <c r="C51" s="8">
        <v>879</v>
      </c>
    </row>
    <row r="52" spans="1:3" x14ac:dyDescent="0.2">
      <c r="A52" s="10">
        <v>44977</v>
      </c>
      <c r="B52" s="4">
        <v>108</v>
      </c>
      <c r="C52" s="8">
        <v>779</v>
      </c>
    </row>
    <row r="53" spans="1:3" x14ac:dyDescent="0.2">
      <c r="A53" s="10">
        <v>44978</v>
      </c>
      <c r="B53" s="4">
        <v>112</v>
      </c>
      <c r="C53" s="8">
        <v>638</v>
      </c>
    </row>
    <row r="54" spans="1:3" x14ac:dyDescent="0.2">
      <c r="A54" s="10">
        <v>44979</v>
      </c>
      <c r="B54" s="4">
        <v>107</v>
      </c>
      <c r="C54" s="8">
        <v>534</v>
      </c>
    </row>
    <row r="55" spans="1:3" x14ac:dyDescent="0.2">
      <c r="A55" s="10">
        <v>44980</v>
      </c>
      <c r="B55" s="4">
        <v>116</v>
      </c>
      <c r="C55" s="8">
        <v>492</v>
      </c>
    </row>
    <row r="56" spans="1:3" x14ac:dyDescent="0.2">
      <c r="A56" s="10">
        <v>44981</v>
      </c>
      <c r="B56" s="4">
        <v>108</v>
      </c>
      <c r="C56" s="8">
        <v>1199</v>
      </c>
    </row>
    <row r="57" spans="1:3" x14ac:dyDescent="0.2">
      <c r="A57" s="10">
        <v>44982</v>
      </c>
      <c r="B57" s="4">
        <v>103</v>
      </c>
      <c r="C57" s="8">
        <v>1397</v>
      </c>
    </row>
    <row r="58" spans="1:3" x14ac:dyDescent="0.2">
      <c r="A58" s="10">
        <v>44983</v>
      </c>
      <c r="B58" s="4">
        <v>118</v>
      </c>
      <c r="C58" s="8">
        <v>938</v>
      </c>
    </row>
    <row r="59" spans="1:3" x14ac:dyDescent="0.2">
      <c r="A59" s="10">
        <v>44984</v>
      </c>
      <c r="B59" s="4">
        <v>112</v>
      </c>
      <c r="C59" s="8">
        <v>545</v>
      </c>
    </row>
    <row r="60" spans="1:3" x14ac:dyDescent="0.2">
      <c r="A60" s="10">
        <v>44985</v>
      </c>
      <c r="B60" s="4">
        <v>113</v>
      </c>
      <c r="C60" s="8">
        <v>1155</v>
      </c>
    </row>
    <row r="61" spans="1:3" x14ac:dyDescent="0.2">
      <c r="A61" s="10">
        <v>44986</v>
      </c>
      <c r="B61" s="4">
        <v>101</v>
      </c>
      <c r="C61" s="8">
        <v>1031</v>
      </c>
    </row>
    <row r="62" spans="1:3" x14ac:dyDescent="0.2">
      <c r="A62" s="10">
        <v>44987</v>
      </c>
      <c r="B62" s="4">
        <v>100</v>
      </c>
      <c r="C62" s="8">
        <v>1991</v>
      </c>
    </row>
    <row r="63" spans="1:3" x14ac:dyDescent="0.2">
      <c r="A63" s="10">
        <v>44988</v>
      </c>
      <c r="B63" s="4">
        <v>102</v>
      </c>
      <c r="C63" s="8">
        <v>1605</v>
      </c>
    </row>
    <row r="64" spans="1:3" x14ac:dyDescent="0.2">
      <c r="A64" s="10">
        <v>44989</v>
      </c>
      <c r="B64" s="4">
        <v>103</v>
      </c>
      <c r="C64" s="8">
        <v>1996</v>
      </c>
    </row>
    <row r="65" spans="1:3" x14ac:dyDescent="0.2">
      <c r="A65" s="10">
        <v>44990</v>
      </c>
      <c r="B65" s="4">
        <v>108</v>
      </c>
      <c r="C65" s="8">
        <v>1704</v>
      </c>
    </row>
    <row r="66" spans="1:3" x14ac:dyDescent="0.2">
      <c r="A66" s="10">
        <v>44991</v>
      </c>
      <c r="B66" s="4">
        <v>101</v>
      </c>
      <c r="C66" s="8">
        <v>1262</v>
      </c>
    </row>
    <row r="67" spans="1:3" x14ac:dyDescent="0.2">
      <c r="A67" s="10">
        <v>44992</v>
      </c>
      <c r="B67" s="4">
        <v>103</v>
      </c>
      <c r="C67" s="8">
        <v>1922</v>
      </c>
    </row>
    <row r="68" spans="1:3" x14ac:dyDescent="0.2">
      <c r="A68" s="10">
        <v>44993</v>
      </c>
      <c r="B68" s="4">
        <v>105</v>
      </c>
      <c r="C68" s="8">
        <v>1718</v>
      </c>
    </row>
    <row r="69" spans="1:3" x14ac:dyDescent="0.2">
      <c r="A69" s="10">
        <v>44994</v>
      </c>
      <c r="B69" s="4">
        <v>115</v>
      </c>
      <c r="C69" s="8">
        <v>419</v>
      </c>
    </row>
    <row r="70" spans="1:3" x14ac:dyDescent="0.2">
      <c r="A70" s="10">
        <v>44995</v>
      </c>
      <c r="B70" s="4">
        <v>120</v>
      </c>
      <c r="C70" s="8">
        <v>347</v>
      </c>
    </row>
    <row r="71" spans="1:3" x14ac:dyDescent="0.2">
      <c r="A71" s="10">
        <v>44996</v>
      </c>
      <c r="B71" s="4">
        <v>100</v>
      </c>
      <c r="C71" s="8">
        <v>2005</v>
      </c>
    </row>
    <row r="72" spans="1:3" x14ac:dyDescent="0.2">
      <c r="A72" s="10">
        <v>44997</v>
      </c>
      <c r="B72" s="4">
        <v>104</v>
      </c>
      <c r="C72" s="8">
        <v>521</v>
      </c>
    </row>
    <row r="73" spans="1:3" x14ac:dyDescent="0.2">
      <c r="A73" s="10">
        <v>44998</v>
      </c>
      <c r="B73" s="4">
        <v>120</v>
      </c>
      <c r="C73" s="8">
        <v>802</v>
      </c>
    </row>
    <row r="74" spans="1:3" x14ac:dyDescent="0.2">
      <c r="A74" s="10">
        <v>44999</v>
      </c>
      <c r="B74" s="4">
        <v>117</v>
      </c>
      <c r="C74" s="8">
        <v>594</v>
      </c>
    </row>
    <row r="75" spans="1:3" x14ac:dyDescent="0.2">
      <c r="A75" s="10">
        <v>45000</v>
      </c>
      <c r="B75" s="4">
        <v>117</v>
      </c>
      <c r="C75" s="8">
        <v>638</v>
      </c>
    </row>
    <row r="76" spans="1:3" x14ac:dyDescent="0.2">
      <c r="A76" s="10">
        <v>45001</v>
      </c>
      <c r="B76" s="4">
        <v>106</v>
      </c>
      <c r="C76" s="8">
        <v>1731</v>
      </c>
    </row>
    <row r="77" spans="1:3" x14ac:dyDescent="0.2">
      <c r="A77" s="10">
        <v>45002</v>
      </c>
      <c r="B77" s="4">
        <v>103</v>
      </c>
      <c r="C77" s="8">
        <v>676</v>
      </c>
    </row>
    <row r="78" spans="1:3" x14ac:dyDescent="0.2">
      <c r="A78" s="10">
        <v>45003</v>
      </c>
      <c r="B78" s="4">
        <v>116</v>
      </c>
      <c r="C78" s="8">
        <v>360</v>
      </c>
    </row>
    <row r="79" spans="1:3" x14ac:dyDescent="0.2">
      <c r="A79" s="10">
        <v>45004</v>
      </c>
      <c r="B79" s="4">
        <v>103</v>
      </c>
      <c r="C79" s="8">
        <v>1235</v>
      </c>
    </row>
    <row r="80" spans="1:3" x14ac:dyDescent="0.2">
      <c r="A80" s="10">
        <v>45005</v>
      </c>
      <c r="B80" s="4">
        <v>110</v>
      </c>
      <c r="C80" s="8">
        <v>916</v>
      </c>
    </row>
    <row r="81" spans="1:3" x14ac:dyDescent="0.2">
      <c r="A81" s="10">
        <v>45006</v>
      </c>
      <c r="B81" s="4">
        <v>100</v>
      </c>
      <c r="C81" s="8">
        <v>1938</v>
      </c>
    </row>
    <row r="82" spans="1:3" x14ac:dyDescent="0.2">
      <c r="A82" s="10">
        <v>45007</v>
      </c>
      <c r="B82" s="4">
        <v>101</v>
      </c>
      <c r="C82" s="8">
        <v>1533</v>
      </c>
    </row>
    <row r="83" spans="1:3" x14ac:dyDescent="0.2">
      <c r="A83" s="10">
        <v>45008</v>
      </c>
      <c r="B83" s="4">
        <v>110</v>
      </c>
      <c r="C83" s="8">
        <v>741</v>
      </c>
    </row>
    <row r="84" spans="1:3" x14ac:dyDescent="0.2">
      <c r="A84" s="10">
        <v>45009</v>
      </c>
      <c r="B84" s="4">
        <v>107</v>
      </c>
      <c r="C84" s="8">
        <v>1664</v>
      </c>
    </row>
    <row r="85" spans="1:3" x14ac:dyDescent="0.2">
      <c r="A85" s="10">
        <v>45010</v>
      </c>
      <c r="B85" s="4">
        <v>109</v>
      </c>
      <c r="C85" s="8">
        <v>763</v>
      </c>
    </row>
    <row r="86" spans="1:3" x14ac:dyDescent="0.2">
      <c r="A86" s="10">
        <v>45011</v>
      </c>
      <c r="B86" s="4">
        <v>104</v>
      </c>
      <c r="C86" s="8">
        <v>722</v>
      </c>
    </row>
    <row r="87" spans="1:3" x14ac:dyDescent="0.2">
      <c r="A87" s="10">
        <v>45012</v>
      </c>
      <c r="B87" s="4">
        <v>105</v>
      </c>
      <c r="C87" s="8">
        <v>1939</v>
      </c>
    </row>
    <row r="88" spans="1:3" x14ac:dyDescent="0.2">
      <c r="A88" s="10">
        <v>45013</v>
      </c>
      <c r="B88" s="4">
        <v>108</v>
      </c>
      <c r="C88" s="8">
        <v>1272</v>
      </c>
    </row>
    <row r="89" spans="1:3" x14ac:dyDescent="0.2">
      <c r="A89" s="10">
        <v>45014</v>
      </c>
      <c r="B89" s="4">
        <v>112</v>
      </c>
      <c r="C89" s="8">
        <v>1141</v>
      </c>
    </row>
    <row r="90" spans="1:3" x14ac:dyDescent="0.2">
      <c r="A90" s="10">
        <v>45015</v>
      </c>
      <c r="B90" s="4">
        <v>118</v>
      </c>
      <c r="C90" s="8">
        <v>529</v>
      </c>
    </row>
    <row r="91" spans="1:3" x14ac:dyDescent="0.2">
      <c r="A91" s="10">
        <v>45016</v>
      </c>
      <c r="B91" s="4">
        <v>100</v>
      </c>
      <c r="C91" s="8">
        <v>1222</v>
      </c>
    </row>
    <row r="92" spans="1:3" x14ac:dyDescent="0.2">
      <c r="A92" s="10">
        <v>45017</v>
      </c>
      <c r="B92" s="4">
        <v>120</v>
      </c>
      <c r="C92" s="8">
        <v>910</v>
      </c>
    </row>
    <row r="93" spans="1:3" x14ac:dyDescent="0.2">
      <c r="A93" s="10">
        <v>45018</v>
      </c>
      <c r="B93" s="4">
        <v>110</v>
      </c>
      <c r="C93" s="8">
        <v>1250</v>
      </c>
    </row>
    <row r="94" spans="1:3" x14ac:dyDescent="0.2">
      <c r="A94" s="10">
        <v>45019</v>
      </c>
      <c r="B94" s="4">
        <v>118</v>
      </c>
      <c r="C94" s="8">
        <v>596</v>
      </c>
    </row>
    <row r="95" spans="1:3" x14ac:dyDescent="0.2">
      <c r="A95" s="10">
        <v>45020</v>
      </c>
      <c r="B95" s="4">
        <v>110</v>
      </c>
      <c r="C95" s="8">
        <v>374</v>
      </c>
    </row>
    <row r="96" spans="1:3" x14ac:dyDescent="0.2">
      <c r="A96" s="10">
        <v>45021</v>
      </c>
      <c r="B96" s="4">
        <v>101</v>
      </c>
      <c r="C96" s="8">
        <v>1753</v>
      </c>
    </row>
    <row r="97" spans="1:3" x14ac:dyDescent="0.2">
      <c r="A97" s="10">
        <v>45022</v>
      </c>
      <c r="B97" s="4">
        <v>113</v>
      </c>
      <c r="C97" s="8">
        <v>1002</v>
      </c>
    </row>
    <row r="98" spans="1:3" x14ac:dyDescent="0.2">
      <c r="A98" s="10">
        <v>45023</v>
      </c>
      <c r="B98" s="4">
        <v>112</v>
      </c>
      <c r="C98" s="8">
        <v>1286</v>
      </c>
    </row>
    <row r="99" spans="1:3" x14ac:dyDescent="0.2">
      <c r="A99" s="10">
        <v>45024</v>
      </c>
      <c r="B99" s="4">
        <v>102</v>
      </c>
      <c r="C99" s="8">
        <v>841</v>
      </c>
    </row>
    <row r="100" spans="1:3" x14ac:dyDescent="0.2">
      <c r="A100" s="10">
        <v>45025</v>
      </c>
      <c r="B100" s="4">
        <v>105</v>
      </c>
      <c r="C100" s="8">
        <v>1953</v>
      </c>
    </row>
    <row r="101" spans="1:3" x14ac:dyDescent="0.2">
      <c r="A101" s="10">
        <v>45026</v>
      </c>
      <c r="B101" s="4">
        <v>109</v>
      </c>
      <c r="C101" s="8">
        <v>1443</v>
      </c>
    </row>
    <row r="102" spans="1:3" x14ac:dyDescent="0.2">
      <c r="A102" s="10">
        <v>45027</v>
      </c>
      <c r="B102" s="4">
        <v>107</v>
      </c>
      <c r="C102" s="8">
        <v>376</v>
      </c>
    </row>
    <row r="103" spans="1:3" x14ac:dyDescent="0.2">
      <c r="A103" s="10">
        <v>45028</v>
      </c>
      <c r="B103" s="4">
        <v>114</v>
      </c>
      <c r="C103" s="8">
        <v>426</v>
      </c>
    </row>
    <row r="104" spans="1:3" x14ac:dyDescent="0.2">
      <c r="A104" s="10">
        <v>45029</v>
      </c>
      <c r="B104" s="4">
        <v>104</v>
      </c>
      <c r="C104" s="8">
        <v>1051</v>
      </c>
    </row>
    <row r="105" spans="1:3" x14ac:dyDescent="0.2">
      <c r="A105" s="10">
        <v>45030</v>
      </c>
      <c r="B105" s="4">
        <v>116</v>
      </c>
      <c r="C105" s="8">
        <v>425</v>
      </c>
    </row>
    <row r="106" spans="1:3" x14ac:dyDescent="0.2">
      <c r="A106" s="10">
        <v>45031</v>
      </c>
      <c r="B106" s="4">
        <v>107</v>
      </c>
      <c r="C106" s="8">
        <v>1211</v>
      </c>
    </row>
    <row r="107" spans="1:3" x14ac:dyDescent="0.2">
      <c r="A107" s="10">
        <v>45032</v>
      </c>
      <c r="B107" s="4">
        <v>119</v>
      </c>
      <c r="C107" s="8">
        <v>202</v>
      </c>
    </row>
    <row r="108" spans="1:3" x14ac:dyDescent="0.2">
      <c r="A108" s="10">
        <v>45033</v>
      </c>
      <c r="B108" s="4">
        <v>116</v>
      </c>
      <c r="C108" s="8">
        <v>742</v>
      </c>
    </row>
    <row r="109" spans="1:3" x14ac:dyDescent="0.2">
      <c r="A109" s="10">
        <v>45034</v>
      </c>
      <c r="B109" s="4">
        <v>111</v>
      </c>
      <c r="C109" s="8">
        <v>970</v>
      </c>
    </row>
    <row r="110" spans="1:3" x14ac:dyDescent="0.2">
      <c r="A110" s="10">
        <v>45035</v>
      </c>
      <c r="B110" s="4">
        <v>101</v>
      </c>
      <c r="C110" s="8">
        <v>1815</v>
      </c>
    </row>
    <row r="111" spans="1:3" x14ac:dyDescent="0.2">
      <c r="A111" s="10">
        <v>45036</v>
      </c>
      <c r="B111" s="4">
        <v>118</v>
      </c>
      <c r="C111" s="8">
        <v>967</v>
      </c>
    </row>
    <row r="112" spans="1:3" x14ac:dyDescent="0.2">
      <c r="A112" s="10">
        <v>45037</v>
      </c>
      <c r="B112" s="4">
        <v>101</v>
      </c>
      <c r="C112" s="8">
        <v>1836</v>
      </c>
    </row>
  </sheetData>
  <autoFilter ref="B1:C112" xr:uid="{BC86DF2B-0851-44B0-AF61-A8F4523D8EB3}"/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4F3C-F936-46FC-922A-2EB1E8B127C2}">
  <dimension ref="A1:K112"/>
  <sheetViews>
    <sheetView zoomScale="85" zoomScaleNormal="85" workbookViewId="0">
      <selection activeCell="S23" sqref="S23"/>
    </sheetView>
  </sheetViews>
  <sheetFormatPr defaultRowHeight="14.25" x14ac:dyDescent="0.2"/>
  <cols>
    <col min="1" max="1" width="15.625" customWidth="1"/>
    <col min="2" max="2" width="11.125" customWidth="1"/>
    <col min="4" max="4" width="17.625" bestFit="1" customWidth="1"/>
    <col min="6" max="6" width="10.625" customWidth="1"/>
    <col min="7" max="7" width="14" customWidth="1"/>
    <col min="10" max="10" width="18.25" customWidth="1"/>
  </cols>
  <sheetData>
    <row r="1" spans="1:7" x14ac:dyDescent="0.2">
      <c r="A1" t="s">
        <v>32</v>
      </c>
      <c r="B1" t="s">
        <v>35</v>
      </c>
      <c r="C1" t="s">
        <v>33</v>
      </c>
      <c r="D1" t="s">
        <v>36</v>
      </c>
    </row>
    <row r="2" spans="1:7" x14ac:dyDescent="0.2">
      <c r="A2" s="9">
        <v>44927</v>
      </c>
      <c r="B2">
        <f t="shared" ref="B2:B33" si="0">IF(WEEKDAY(A2,2)&lt;6,1,0)</f>
        <v>0</v>
      </c>
      <c r="C2" s="4">
        <v>35</v>
      </c>
      <c r="D2">
        <v>2016</v>
      </c>
      <c r="F2" t="s">
        <v>37</v>
      </c>
      <c r="G2" s="1">
        <f>INTERCEPT(D2:D112,C2:C112)</f>
        <v>4409.5839159811812</v>
      </c>
    </row>
    <row r="3" spans="1:7" x14ac:dyDescent="0.2">
      <c r="A3" s="9">
        <v>44928</v>
      </c>
      <c r="B3">
        <f t="shared" si="0"/>
        <v>1</v>
      </c>
      <c r="C3" s="8">
        <v>34</v>
      </c>
      <c r="D3">
        <v>3075</v>
      </c>
      <c r="F3" t="s">
        <v>13</v>
      </c>
      <c r="G3" s="1">
        <f>SLOPE(D2:D112,C2:C112)</f>
        <v>-50.396421719920141</v>
      </c>
    </row>
    <row r="4" spans="1:7" x14ac:dyDescent="0.2">
      <c r="A4" s="9">
        <v>44929</v>
      </c>
      <c r="B4">
        <f t="shared" si="0"/>
        <v>1</v>
      </c>
      <c r="C4" s="8">
        <v>33.5</v>
      </c>
      <c r="D4">
        <v>3438</v>
      </c>
    </row>
    <row r="5" spans="1:7" x14ac:dyDescent="0.2">
      <c r="A5" s="9">
        <v>44930</v>
      </c>
      <c r="B5">
        <f t="shared" si="0"/>
        <v>1</v>
      </c>
      <c r="C5" s="8">
        <v>32.5</v>
      </c>
      <c r="D5">
        <v>3505</v>
      </c>
      <c r="F5" t="s">
        <v>33</v>
      </c>
      <c r="G5" t="s">
        <v>34</v>
      </c>
    </row>
    <row r="6" spans="1:7" x14ac:dyDescent="0.2">
      <c r="A6" s="9">
        <v>44931</v>
      </c>
      <c r="B6">
        <f t="shared" si="0"/>
        <v>1</v>
      </c>
      <c r="C6" s="8">
        <v>33.5</v>
      </c>
      <c r="D6">
        <v>2677</v>
      </c>
      <c r="F6" s="8">
        <f>MIN(C2:C112)</f>
        <v>32.5</v>
      </c>
      <c r="G6" s="25">
        <f t="shared" ref="G6:G51" si="1">$G$2+$G$3*F6</f>
        <v>2771.7002100837767</v>
      </c>
    </row>
    <row r="7" spans="1:7" x14ac:dyDescent="0.2">
      <c r="A7" s="9">
        <v>44932</v>
      </c>
      <c r="B7">
        <f t="shared" si="0"/>
        <v>1</v>
      </c>
      <c r="C7" s="8">
        <v>34.5</v>
      </c>
      <c r="D7">
        <v>2248</v>
      </c>
      <c r="F7" s="8">
        <f t="shared" ref="F7:F50" si="2">F6+0.25</f>
        <v>32.75</v>
      </c>
      <c r="G7" s="25">
        <f t="shared" si="1"/>
        <v>2759.1011046537969</v>
      </c>
    </row>
    <row r="8" spans="1:7" x14ac:dyDescent="0.2">
      <c r="A8" s="9">
        <v>44933</v>
      </c>
      <c r="B8">
        <f t="shared" si="0"/>
        <v>0</v>
      </c>
      <c r="C8" s="8">
        <v>35</v>
      </c>
      <c r="D8">
        <v>2207</v>
      </c>
      <c r="F8" s="8">
        <f t="shared" si="2"/>
        <v>33</v>
      </c>
      <c r="G8" s="25">
        <f t="shared" si="1"/>
        <v>2746.5019992238167</v>
      </c>
    </row>
    <row r="9" spans="1:7" x14ac:dyDescent="0.2">
      <c r="A9" s="9">
        <v>44934</v>
      </c>
      <c r="B9">
        <f t="shared" si="0"/>
        <v>0</v>
      </c>
      <c r="C9" s="8">
        <v>35.5</v>
      </c>
      <c r="D9">
        <v>1713</v>
      </c>
      <c r="F9" s="8">
        <f t="shared" si="2"/>
        <v>33.25</v>
      </c>
      <c r="G9" s="25">
        <f t="shared" si="1"/>
        <v>2733.9028937938365</v>
      </c>
    </row>
    <row r="10" spans="1:7" x14ac:dyDescent="0.2">
      <c r="A10" s="9">
        <v>44935</v>
      </c>
      <c r="B10">
        <f t="shared" si="0"/>
        <v>1</v>
      </c>
      <c r="C10" s="8">
        <v>35.75</v>
      </c>
      <c r="D10">
        <v>3179</v>
      </c>
      <c r="F10" s="8">
        <f t="shared" si="2"/>
        <v>33.5</v>
      </c>
      <c r="G10" s="25">
        <f t="shared" si="1"/>
        <v>2721.3037883638563</v>
      </c>
    </row>
    <row r="11" spans="1:7" x14ac:dyDescent="0.2">
      <c r="A11" s="9">
        <v>44936</v>
      </c>
      <c r="B11">
        <f t="shared" si="0"/>
        <v>1</v>
      </c>
      <c r="C11" s="8">
        <v>35.5</v>
      </c>
      <c r="D11">
        <v>3139</v>
      </c>
      <c r="F11" s="8">
        <f t="shared" si="2"/>
        <v>33.75</v>
      </c>
      <c r="G11" s="25">
        <f t="shared" si="1"/>
        <v>2708.7046829338765</v>
      </c>
    </row>
    <row r="12" spans="1:7" x14ac:dyDescent="0.2">
      <c r="A12" s="9">
        <v>44937</v>
      </c>
      <c r="B12">
        <f t="shared" si="0"/>
        <v>1</v>
      </c>
      <c r="C12" s="8">
        <v>34.75</v>
      </c>
      <c r="D12">
        <v>2234</v>
      </c>
      <c r="F12" s="8">
        <f t="shared" si="2"/>
        <v>34</v>
      </c>
      <c r="G12" s="25">
        <f t="shared" si="1"/>
        <v>2696.1055775038967</v>
      </c>
    </row>
    <row r="13" spans="1:7" x14ac:dyDescent="0.2">
      <c r="A13" s="9">
        <v>44938</v>
      </c>
      <c r="B13">
        <f t="shared" si="0"/>
        <v>1</v>
      </c>
      <c r="C13" s="8">
        <v>35.75</v>
      </c>
      <c r="D13">
        <v>2333</v>
      </c>
      <c r="F13" s="8">
        <f t="shared" si="2"/>
        <v>34.25</v>
      </c>
      <c r="G13" s="25">
        <f t="shared" si="1"/>
        <v>2683.5064720739165</v>
      </c>
    </row>
    <row r="14" spans="1:7" x14ac:dyDescent="0.2">
      <c r="A14" s="9">
        <v>44939</v>
      </c>
      <c r="B14">
        <f t="shared" si="0"/>
        <v>1</v>
      </c>
      <c r="C14" s="8">
        <v>35.75</v>
      </c>
      <c r="D14">
        <v>2073</v>
      </c>
      <c r="F14" s="8">
        <f t="shared" si="2"/>
        <v>34.5</v>
      </c>
      <c r="G14" s="25">
        <f t="shared" si="1"/>
        <v>2670.9073666439363</v>
      </c>
    </row>
    <row r="15" spans="1:7" x14ac:dyDescent="0.2">
      <c r="A15" s="9">
        <v>44940</v>
      </c>
      <c r="B15">
        <f t="shared" si="0"/>
        <v>0</v>
      </c>
      <c r="C15" s="8">
        <v>35.25</v>
      </c>
      <c r="D15">
        <v>2083</v>
      </c>
      <c r="F15" s="8">
        <f t="shared" si="2"/>
        <v>34.75</v>
      </c>
      <c r="G15" s="25">
        <f t="shared" si="1"/>
        <v>2658.308261213956</v>
      </c>
    </row>
    <row r="16" spans="1:7" x14ac:dyDescent="0.2">
      <c r="A16" s="9">
        <v>44941</v>
      </c>
      <c r="B16">
        <f t="shared" si="0"/>
        <v>0</v>
      </c>
      <c r="C16" s="8">
        <v>34.25</v>
      </c>
      <c r="D16">
        <v>2351</v>
      </c>
      <c r="F16" s="8">
        <f t="shared" si="2"/>
        <v>35</v>
      </c>
      <c r="G16" s="25">
        <f t="shared" si="1"/>
        <v>2645.7091557839763</v>
      </c>
    </row>
    <row r="17" spans="1:11" x14ac:dyDescent="0.2">
      <c r="A17" s="9">
        <v>44942</v>
      </c>
      <c r="B17">
        <f t="shared" si="0"/>
        <v>1</v>
      </c>
      <c r="C17" s="8">
        <v>34.75</v>
      </c>
      <c r="D17">
        <v>3403</v>
      </c>
      <c r="F17" s="8">
        <f t="shared" si="2"/>
        <v>35.25</v>
      </c>
      <c r="G17" s="25">
        <f t="shared" si="1"/>
        <v>2633.1100503539965</v>
      </c>
    </row>
    <row r="18" spans="1:11" x14ac:dyDescent="0.2">
      <c r="A18" s="9">
        <v>44943</v>
      </c>
      <c r="B18">
        <f t="shared" si="0"/>
        <v>1</v>
      </c>
      <c r="C18" s="8">
        <v>35.5</v>
      </c>
      <c r="D18">
        <v>2269</v>
      </c>
      <c r="F18" s="8">
        <f t="shared" si="2"/>
        <v>35.5</v>
      </c>
      <c r="G18" s="25">
        <f t="shared" si="1"/>
        <v>2620.5109449240163</v>
      </c>
    </row>
    <row r="19" spans="1:11" x14ac:dyDescent="0.2">
      <c r="A19" s="9">
        <v>44944</v>
      </c>
      <c r="B19">
        <f t="shared" si="0"/>
        <v>1</v>
      </c>
      <c r="C19" s="8">
        <v>35</v>
      </c>
      <c r="D19">
        <v>3200</v>
      </c>
      <c r="F19" s="8">
        <f t="shared" si="2"/>
        <v>35.75</v>
      </c>
      <c r="G19" s="25">
        <f t="shared" si="1"/>
        <v>2607.911839494036</v>
      </c>
      <c r="K19" s="11"/>
    </row>
    <row r="20" spans="1:11" x14ac:dyDescent="0.2">
      <c r="A20" s="9">
        <v>44945</v>
      </c>
      <c r="B20">
        <f t="shared" si="0"/>
        <v>1</v>
      </c>
      <c r="C20" s="8">
        <v>36</v>
      </c>
      <c r="D20">
        <v>3226</v>
      </c>
      <c r="F20" s="8">
        <f t="shared" si="2"/>
        <v>36</v>
      </c>
      <c r="G20" s="25">
        <f t="shared" si="1"/>
        <v>2595.3127340640563</v>
      </c>
    </row>
    <row r="21" spans="1:11" x14ac:dyDescent="0.2">
      <c r="A21" s="9">
        <v>44946</v>
      </c>
      <c r="B21">
        <f t="shared" si="0"/>
        <v>1</v>
      </c>
      <c r="C21" s="8">
        <v>36.5</v>
      </c>
      <c r="D21">
        <v>2519</v>
      </c>
      <c r="F21" s="8">
        <f t="shared" si="2"/>
        <v>36.25</v>
      </c>
      <c r="G21" s="25">
        <f t="shared" si="1"/>
        <v>2582.713628634076</v>
      </c>
    </row>
    <row r="22" spans="1:11" x14ac:dyDescent="0.2">
      <c r="A22" s="9">
        <v>44947</v>
      </c>
      <c r="B22">
        <f t="shared" si="0"/>
        <v>0</v>
      </c>
      <c r="C22" s="8">
        <v>35.75</v>
      </c>
      <c r="D22">
        <v>2465</v>
      </c>
      <c r="F22" s="8">
        <f t="shared" si="2"/>
        <v>36.5</v>
      </c>
      <c r="G22" s="25">
        <f t="shared" si="1"/>
        <v>2570.1145232040963</v>
      </c>
    </row>
    <row r="23" spans="1:11" x14ac:dyDescent="0.2">
      <c r="A23" s="9">
        <v>44948</v>
      </c>
      <c r="B23">
        <f t="shared" si="0"/>
        <v>0</v>
      </c>
      <c r="C23" s="8">
        <v>35.5</v>
      </c>
      <c r="D23">
        <v>1717</v>
      </c>
      <c r="F23" s="8">
        <f t="shared" si="2"/>
        <v>36.75</v>
      </c>
      <c r="G23" s="25">
        <f t="shared" si="1"/>
        <v>2557.515417774116</v>
      </c>
    </row>
    <row r="24" spans="1:11" x14ac:dyDescent="0.2">
      <c r="A24" s="9">
        <v>44949</v>
      </c>
      <c r="B24">
        <f t="shared" si="0"/>
        <v>1</v>
      </c>
      <c r="C24" s="8">
        <v>35</v>
      </c>
      <c r="D24">
        <v>3236</v>
      </c>
      <c r="F24" s="8">
        <f t="shared" si="2"/>
        <v>37</v>
      </c>
      <c r="G24" s="25">
        <f t="shared" si="1"/>
        <v>2544.9163123441358</v>
      </c>
    </row>
    <row r="25" spans="1:11" x14ac:dyDescent="0.2">
      <c r="A25" s="9">
        <v>44950</v>
      </c>
      <c r="B25">
        <f t="shared" si="0"/>
        <v>1</v>
      </c>
      <c r="C25" s="8">
        <v>35</v>
      </c>
      <c r="D25">
        <v>2958</v>
      </c>
      <c r="F25" s="8">
        <f t="shared" si="2"/>
        <v>37.25</v>
      </c>
      <c r="G25" s="25">
        <f t="shared" si="1"/>
        <v>2532.317206914156</v>
      </c>
    </row>
    <row r="26" spans="1:11" x14ac:dyDescent="0.2">
      <c r="A26" s="9">
        <v>44951</v>
      </c>
      <c r="B26">
        <f t="shared" si="0"/>
        <v>1</v>
      </c>
      <c r="C26" s="8">
        <v>35.25</v>
      </c>
      <c r="D26">
        <v>2814</v>
      </c>
      <c r="F26" s="8">
        <f t="shared" si="2"/>
        <v>37.5</v>
      </c>
      <c r="G26" s="25">
        <f t="shared" si="1"/>
        <v>2519.7181014841763</v>
      </c>
    </row>
    <row r="27" spans="1:11" x14ac:dyDescent="0.2">
      <c r="A27" s="9">
        <v>44952</v>
      </c>
      <c r="B27">
        <f t="shared" si="0"/>
        <v>1</v>
      </c>
      <c r="C27" s="8">
        <v>35</v>
      </c>
      <c r="D27">
        <v>2369</v>
      </c>
      <c r="F27" s="8">
        <f t="shared" si="2"/>
        <v>37.75</v>
      </c>
      <c r="G27" s="25">
        <f t="shared" si="1"/>
        <v>2507.118996054196</v>
      </c>
    </row>
    <row r="28" spans="1:11" x14ac:dyDescent="0.2">
      <c r="A28" s="9">
        <v>44953</v>
      </c>
      <c r="B28">
        <f t="shared" si="0"/>
        <v>1</v>
      </c>
      <c r="C28" s="8">
        <v>35.25</v>
      </c>
      <c r="D28">
        <v>2785</v>
      </c>
      <c r="F28" s="8">
        <f t="shared" si="2"/>
        <v>38</v>
      </c>
      <c r="G28" s="25">
        <f t="shared" si="1"/>
        <v>2494.5198906242158</v>
      </c>
    </row>
    <row r="29" spans="1:11" x14ac:dyDescent="0.2">
      <c r="A29" s="9">
        <v>44954</v>
      </c>
      <c r="B29">
        <f t="shared" si="0"/>
        <v>0</v>
      </c>
      <c r="C29" s="8">
        <v>35.5</v>
      </c>
      <c r="D29">
        <v>2540</v>
      </c>
      <c r="F29" s="8">
        <f t="shared" si="2"/>
        <v>38.25</v>
      </c>
      <c r="G29" s="25">
        <f t="shared" si="1"/>
        <v>2481.9207851942356</v>
      </c>
    </row>
    <row r="30" spans="1:11" x14ac:dyDescent="0.2">
      <c r="A30" s="9">
        <v>44955</v>
      </c>
      <c r="B30">
        <f t="shared" si="0"/>
        <v>0</v>
      </c>
      <c r="C30" s="8">
        <v>36.25</v>
      </c>
      <c r="D30">
        <v>2033</v>
      </c>
      <c r="F30" s="8">
        <f t="shared" si="2"/>
        <v>38.5</v>
      </c>
      <c r="G30" s="25">
        <f t="shared" si="1"/>
        <v>2469.3216797642558</v>
      </c>
    </row>
    <row r="31" spans="1:11" x14ac:dyDescent="0.2">
      <c r="A31" s="9">
        <v>44956</v>
      </c>
      <c r="B31">
        <f t="shared" si="0"/>
        <v>1</v>
      </c>
      <c r="C31" s="8">
        <v>35.75</v>
      </c>
      <c r="D31">
        <v>2957</v>
      </c>
      <c r="F31" s="8">
        <f t="shared" si="2"/>
        <v>38.75</v>
      </c>
      <c r="G31" s="25">
        <f t="shared" si="1"/>
        <v>2456.722574334276</v>
      </c>
    </row>
    <row r="32" spans="1:11" x14ac:dyDescent="0.2">
      <c r="A32" s="9">
        <v>44957</v>
      </c>
      <c r="B32">
        <f t="shared" si="0"/>
        <v>1</v>
      </c>
      <c r="C32" s="8">
        <v>35</v>
      </c>
      <c r="D32">
        <v>3162</v>
      </c>
      <c r="F32" s="8">
        <f t="shared" si="2"/>
        <v>39</v>
      </c>
      <c r="G32" s="25">
        <f t="shared" si="1"/>
        <v>2444.1234689042958</v>
      </c>
    </row>
    <row r="33" spans="1:7" x14ac:dyDescent="0.2">
      <c r="A33" s="9">
        <v>44958</v>
      </c>
      <c r="B33">
        <f t="shared" si="0"/>
        <v>1</v>
      </c>
      <c r="C33" s="8">
        <v>35</v>
      </c>
      <c r="D33">
        <v>2246</v>
      </c>
      <c r="F33" s="8">
        <f t="shared" si="2"/>
        <v>39.25</v>
      </c>
      <c r="G33" s="25">
        <f t="shared" si="1"/>
        <v>2431.5243634743156</v>
      </c>
    </row>
    <row r="34" spans="1:7" x14ac:dyDescent="0.2">
      <c r="A34" s="9">
        <v>44959</v>
      </c>
      <c r="B34">
        <f t="shared" ref="B34:B65" si="3">IF(WEEKDAY(A34,2)&lt;6,1,0)</f>
        <v>1</v>
      </c>
      <c r="C34" s="8">
        <v>35.5</v>
      </c>
      <c r="D34">
        <v>2997</v>
      </c>
      <c r="F34" s="8">
        <f t="shared" si="2"/>
        <v>39.5</v>
      </c>
      <c r="G34" s="25">
        <f t="shared" si="1"/>
        <v>2418.9252580443354</v>
      </c>
    </row>
    <row r="35" spans="1:7" x14ac:dyDescent="0.2">
      <c r="A35" s="9">
        <v>44960</v>
      </c>
      <c r="B35">
        <f t="shared" si="3"/>
        <v>1</v>
      </c>
      <c r="C35" s="8">
        <v>36.5</v>
      </c>
      <c r="D35">
        <v>2426</v>
      </c>
      <c r="F35" s="8">
        <f t="shared" si="2"/>
        <v>39.75</v>
      </c>
      <c r="G35" s="25">
        <f t="shared" si="1"/>
        <v>2406.3261526143556</v>
      </c>
    </row>
    <row r="36" spans="1:7" x14ac:dyDescent="0.2">
      <c r="A36" s="9">
        <v>44961</v>
      </c>
      <c r="B36">
        <f t="shared" si="3"/>
        <v>0</v>
      </c>
      <c r="C36" s="8">
        <v>36.25</v>
      </c>
      <c r="D36">
        <v>1867</v>
      </c>
      <c r="F36" s="8">
        <f t="shared" si="2"/>
        <v>40</v>
      </c>
      <c r="G36" s="25">
        <f t="shared" si="1"/>
        <v>2393.7270471843758</v>
      </c>
    </row>
    <row r="37" spans="1:7" x14ac:dyDescent="0.2">
      <c r="A37" s="9">
        <v>44962</v>
      </c>
      <c r="B37">
        <f t="shared" si="3"/>
        <v>0</v>
      </c>
      <c r="C37" s="8">
        <v>37.25</v>
      </c>
      <c r="D37">
        <v>1974</v>
      </c>
      <c r="F37" s="8">
        <f t="shared" si="2"/>
        <v>40.25</v>
      </c>
      <c r="G37" s="25">
        <f t="shared" si="1"/>
        <v>2381.1279417543956</v>
      </c>
    </row>
    <row r="38" spans="1:7" x14ac:dyDescent="0.2">
      <c r="A38" s="9">
        <v>44963</v>
      </c>
      <c r="B38">
        <f t="shared" si="3"/>
        <v>1</v>
      </c>
      <c r="C38" s="8">
        <v>37.25</v>
      </c>
      <c r="D38">
        <v>3111</v>
      </c>
      <c r="F38" s="8">
        <f t="shared" si="2"/>
        <v>40.5</v>
      </c>
      <c r="G38" s="25">
        <f t="shared" si="1"/>
        <v>2368.5288363244154</v>
      </c>
    </row>
    <row r="39" spans="1:7" x14ac:dyDescent="0.2">
      <c r="A39" s="9">
        <v>44964</v>
      </c>
      <c r="B39">
        <f t="shared" si="3"/>
        <v>1</v>
      </c>
      <c r="C39" s="8">
        <v>36.75</v>
      </c>
      <c r="D39">
        <v>2590</v>
      </c>
      <c r="F39" s="8">
        <f t="shared" si="2"/>
        <v>40.75</v>
      </c>
      <c r="G39" s="25">
        <f t="shared" si="1"/>
        <v>2355.9297308944356</v>
      </c>
    </row>
    <row r="40" spans="1:7" x14ac:dyDescent="0.2">
      <c r="A40" s="9">
        <v>44965</v>
      </c>
      <c r="B40">
        <f t="shared" si="3"/>
        <v>1</v>
      </c>
      <c r="C40" s="8">
        <v>37.25</v>
      </c>
      <c r="D40">
        <v>2491</v>
      </c>
      <c r="F40" s="8">
        <f t="shared" si="2"/>
        <v>41</v>
      </c>
      <c r="G40" s="25">
        <f t="shared" si="1"/>
        <v>2343.3306254644554</v>
      </c>
    </row>
    <row r="41" spans="1:7" x14ac:dyDescent="0.2">
      <c r="A41" s="9">
        <v>44966</v>
      </c>
      <c r="B41">
        <f t="shared" si="3"/>
        <v>1</v>
      </c>
      <c r="C41" s="8">
        <v>36.75</v>
      </c>
      <c r="D41">
        <v>3247</v>
      </c>
      <c r="F41" s="8">
        <f t="shared" si="2"/>
        <v>41.25</v>
      </c>
      <c r="G41" s="25">
        <f t="shared" si="1"/>
        <v>2330.7315200344756</v>
      </c>
    </row>
    <row r="42" spans="1:7" x14ac:dyDescent="0.2">
      <c r="A42" s="9">
        <v>44967</v>
      </c>
      <c r="B42">
        <f t="shared" si="3"/>
        <v>1</v>
      </c>
      <c r="C42" s="8">
        <v>37.5</v>
      </c>
      <c r="D42">
        <v>3079</v>
      </c>
      <c r="F42" s="8">
        <f t="shared" si="2"/>
        <v>41.5</v>
      </c>
      <c r="G42" s="25">
        <f t="shared" si="1"/>
        <v>2318.1324146044954</v>
      </c>
    </row>
    <row r="43" spans="1:7" x14ac:dyDescent="0.2">
      <c r="A43" s="9">
        <v>44968</v>
      </c>
      <c r="B43">
        <f t="shared" si="3"/>
        <v>0</v>
      </c>
      <c r="C43" s="8">
        <v>36.5</v>
      </c>
      <c r="D43">
        <v>2671</v>
      </c>
      <c r="F43" s="8">
        <f t="shared" si="2"/>
        <v>41.75</v>
      </c>
      <c r="G43" s="25">
        <f t="shared" si="1"/>
        <v>2305.5333091745151</v>
      </c>
    </row>
    <row r="44" spans="1:7" x14ac:dyDescent="0.2">
      <c r="A44" s="9">
        <v>44969</v>
      </c>
      <c r="B44">
        <f t="shared" si="3"/>
        <v>0</v>
      </c>
      <c r="C44" s="8">
        <v>37.25</v>
      </c>
      <c r="D44">
        <v>1842</v>
      </c>
      <c r="F44" s="8">
        <f t="shared" si="2"/>
        <v>42</v>
      </c>
      <c r="G44" s="25">
        <f t="shared" si="1"/>
        <v>2292.9342037445354</v>
      </c>
    </row>
    <row r="45" spans="1:7" x14ac:dyDescent="0.2">
      <c r="A45" s="9">
        <v>44970</v>
      </c>
      <c r="B45">
        <f t="shared" si="3"/>
        <v>1</v>
      </c>
      <c r="C45" s="8">
        <v>38.25</v>
      </c>
      <c r="D45">
        <v>2404</v>
      </c>
      <c r="F45" s="8">
        <f t="shared" si="2"/>
        <v>42.25</v>
      </c>
      <c r="G45" s="25">
        <f t="shared" si="1"/>
        <v>2280.3350983145551</v>
      </c>
    </row>
    <row r="46" spans="1:7" x14ac:dyDescent="0.2">
      <c r="A46" s="9">
        <v>44971</v>
      </c>
      <c r="B46">
        <f t="shared" si="3"/>
        <v>1</v>
      </c>
      <c r="C46" s="8">
        <v>37.5</v>
      </c>
      <c r="D46">
        <v>3061</v>
      </c>
      <c r="F46" s="8">
        <f t="shared" si="2"/>
        <v>42.5</v>
      </c>
      <c r="G46" s="25">
        <f t="shared" si="1"/>
        <v>2267.7359928845754</v>
      </c>
    </row>
    <row r="47" spans="1:7" x14ac:dyDescent="0.2">
      <c r="A47" s="9">
        <v>44972</v>
      </c>
      <c r="B47">
        <f t="shared" si="3"/>
        <v>1</v>
      </c>
      <c r="C47" s="8">
        <v>38</v>
      </c>
      <c r="D47">
        <v>2380</v>
      </c>
      <c r="F47" s="8">
        <f t="shared" si="2"/>
        <v>42.75</v>
      </c>
      <c r="G47" s="25">
        <f t="shared" si="1"/>
        <v>2255.1368874545951</v>
      </c>
    </row>
    <row r="48" spans="1:7" x14ac:dyDescent="0.2">
      <c r="A48" s="9">
        <v>44973</v>
      </c>
      <c r="B48">
        <f t="shared" si="3"/>
        <v>1</v>
      </c>
      <c r="C48" s="8">
        <v>38.25</v>
      </c>
      <c r="D48">
        <v>2026</v>
      </c>
      <c r="F48" s="8">
        <f t="shared" si="2"/>
        <v>43</v>
      </c>
      <c r="G48" s="25">
        <f t="shared" si="1"/>
        <v>2242.5377820246154</v>
      </c>
    </row>
    <row r="49" spans="1:7" x14ac:dyDescent="0.2">
      <c r="A49" s="9">
        <v>44974</v>
      </c>
      <c r="B49">
        <f t="shared" si="3"/>
        <v>1</v>
      </c>
      <c r="C49" s="8">
        <v>37.25</v>
      </c>
      <c r="D49">
        <v>2178</v>
      </c>
      <c r="F49" s="8">
        <f t="shared" si="2"/>
        <v>43.25</v>
      </c>
      <c r="G49" s="25">
        <f t="shared" si="1"/>
        <v>2229.9386765946351</v>
      </c>
    </row>
    <row r="50" spans="1:7" x14ac:dyDescent="0.2">
      <c r="A50" s="9">
        <v>44975</v>
      </c>
      <c r="B50">
        <f t="shared" si="3"/>
        <v>0</v>
      </c>
      <c r="C50" s="8">
        <v>38.25</v>
      </c>
      <c r="D50">
        <v>2113</v>
      </c>
      <c r="F50" s="8">
        <f t="shared" si="2"/>
        <v>43.5</v>
      </c>
      <c r="G50" s="25">
        <f t="shared" si="1"/>
        <v>2217.3395711646549</v>
      </c>
    </row>
    <row r="51" spans="1:7" x14ac:dyDescent="0.2">
      <c r="A51" s="9">
        <v>44976</v>
      </c>
      <c r="B51">
        <f t="shared" si="3"/>
        <v>0</v>
      </c>
      <c r="C51" s="8">
        <v>37.5</v>
      </c>
      <c r="D51">
        <v>2300</v>
      </c>
      <c r="F51" s="8">
        <f>MAX(C2:C112)</f>
        <v>43.75</v>
      </c>
      <c r="G51" s="25">
        <f t="shared" si="1"/>
        <v>2204.7404657346751</v>
      </c>
    </row>
    <row r="52" spans="1:7" x14ac:dyDescent="0.2">
      <c r="A52" s="9">
        <v>44977</v>
      </c>
      <c r="B52">
        <f t="shared" si="3"/>
        <v>1</v>
      </c>
      <c r="C52" s="8">
        <v>37.25</v>
      </c>
      <c r="D52">
        <v>2523</v>
      </c>
    </row>
    <row r="53" spans="1:7" x14ac:dyDescent="0.2">
      <c r="A53" s="9">
        <v>44978</v>
      </c>
      <c r="B53">
        <f t="shared" si="3"/>
        <v>1</v>
      </c>
      <c r="C53" s="8">
        <v>36.75</v>
      </c>
      <c r="D53">
        <v>2309</v>
      </c>
    </row>
    <row r="54" spans="1:7" x14ac:dyDescent="0.2">
      <c r="A54" s="9">
        <v>44979</v>
      </c>
      <c r="B54">
        <f t="shared" si="3"/>
        <v>1</v>
      </c>
      <c r="C54" s="8">
        <v>35.75</v>
      </c>
      <c r="D54">
        <v>3442</v>
      </c>
    </row>
    <row r="55" spans="1:7" x14ac:dyDescent="0.2">
      <c r="A55" s="9">
        <v>44980</v>
      </c>
      <c r="B55">
        <f t="shared" si="3"/>
        <v>1</v>
      </c>
      <c r="C55" s="8">
        <v>35.5</v>
      </c>
      <c r="D55">
        <v>2794</v>
      </c>
    </row>
    <row r="56" spans="1:7" x14ac:dyDescent="0.2">
      <c r="A56" s="9">
        <v>44981</v>
      </c>
      <c r="B56">
        <f t="shared" si="3"/>
        <v>1</v>
      </c>
      <c r="C56" s="8">
        <v>35.75</v>
      </c>
      <c r="D56">
        <v>2226</v>
      </c>
    </row>
    <row r="57" spans="1:7" x14ac:dyDescent="0.2">
      <c r="A57" s="9">
        <v>44982</v>
      </c>
      <c r="B57">
        <f t="shared" si="3"/>
        <v>0</v>
      </c>
      <c r="C57" s="8">
        <v>35.75</v>
      </c>
      <c r="D57">
        <v>2423</v>
      </c>
    </row>
    <row r="58" spans="1:7" x14ac:dyDescent="0.2">
      <c r="A58" s="9">
        <v>44983</v>
      </c>
      <c r="B58">
        <f t="shared" si="3"/>
        <v>0</v>
      </c>
      <c r="C58" s="8">
        <v>36.75</v>
      </c>
      <c r="D58">
        <v>1893</v>
      </c>
    </row>
    <row r="59" spans="1:7" x14ac:dyDescent="0.2">
      <c r="A59" s="9">
        <v>44984</v>
      </c>
      <c r="B59">
        <f t="shared" si="3"/>
        <v>1</v>
      </c>
      <c r="C59" s="8">
        <v>36.75</v>
      </c>
      <c r="D59">
        <v>2391</v>
      </c>
    </row>
    <row r="60" spans="1:7" x14ac:dyDescent="0.2">
      <c r="A60" s="9">
        <v>44985</v>
      </c>
      <c r="B60">
        <f t="shared" si="3"/>
        <v>1</v>
      </c>
      <c r="C60" s="8">
        <v>37.25</v>
      </c>
      <c r="D60">
        <v>3202</v>
      </c>
    </row>
    <row r="61" spans="1:7" x14ac:dyDescent="0.2">
      <c r="A61" s="9">
        <v>44986</v>
      </c>
      <c r="B61">
        <f t="shared" si="3"/>
        <v>1</v>
      </c>
      <c r="C61" s="8">
        <v>38</v>
      </c>
      <c r="D61">
        <v>2568</v>
      </c>
    </row>
    <row r="62" spans="1:7" x14ac:dyDescent="0.2">
      <c r="A62" s="9">
        <v>44987</v>
      </c>
      <c r="B62">
        <f t="shared" si="3"/>
        <v>1</v>
      </c>
      <c r="C62" s="8">
        <v>38</v>
      </c>
      <c r="D62">
        <v>3307</v>
      </c>
    </row>
    <row r="63" spans="1:7" x14ac:dyDescent="0.2">
      <c r="A63" s="9">
        <v>44988</v>
      </c>
      <c r="B63">
        <f t="shared" si="3"/>
        <v>1</v>
      </c>
      <c r="C63" s="8">
        <v>39</v>
      </c>
      <c r="D63">
        <v>2025</v>
      </c>
    </row>
    <row r="64" spans="1:7" x14ac:dyDescent="0.2">
      <c r="A64" s="9">
        <v>44989</v>
      </c>
      <c r="B64">
        <f t="shared" si="3"/>
        <v>0</v>
      </c>
      <c r="C64" s="8">
        <v>39</v>
      </c>
      <c r="D64">
        <v>1754</v>
      </c>
    </row>
    <row r="65" spans="1:4" x14ac:dyDescent="0.2">
      <c r="A65" s="9">
        <v>44990</v>
      </c>
      <c r="B65">
        <f t="shared" si="3"/>
        <v>0</v>
      </c>
      <c r="C65" s="8">
        <v>38.5</v>
      </c>
      <c r="D65">
        <v>2130</v>
      </c>
    </row>
    <row r="66" spans="1:4" x14ac:dyDescent="0.2">
      <c r="A66" s="9">
        <v>44991</v>
      </c>
      <c r="B66">
        <f t="shared" ref="B66:B97" si="4">IF(WEEKDAY(A66,2)&lt;6,1,0)</f>
        <v>1</v>
      </c>
      <c r="C66" s="8">
        <v>37.5</v>
      </c>
      <c r="D66">
        <v>2357</v>
      </c>
    </row>
    <row r="67" spans="1:4" x14ac:dyDescent="0.2">
      <c r="A67" s="9">
        <v>44992</v>
      </c>
      <c r="B67">
        <f t="shared" si="4"/>
        <v>1</v>
      </c>
      <c r="C67" s="8">
        <v>38.25</v>
      </c>
      <c r="D67">
        <v>2235</v>
      </c>
    </row>
    <row r="68" spans="1:4" x14ac:dyDescent="0.2">
      <c r="A68" s="9">
        <v>44993</v>
      </c>
      <c r="B68">
        <f t="shared" si="4"/>
        <v>1</v>
      </c>
      <c r="C68" s="8">
        <v>39</v>
      </c>
      <c r="D68">
        <v>3195</v>
      </c>
    </row>
    <row r="69" spans="1:4" x14ac:dyDescent="0.2">
      <c r="A69" s="9">
        <v>44994</v>
      </c>
      <c r="B69">
        <f t="shared" si="4"/>
        <v>1</v>
      </c>
      <c r="C69" s="8">
        <v>39</v>
      </c>
      <c r="D69">
        <v>2457</v>
      </c>
    </row>
    <row r="70" spans="1:4" x14ac:dyDescent="0.2">
      <c r="A70" s="9">
        <v>44995</v>
      </c>
      <c r="B70">
        <f t="shared" si="4"/>
        <v>1</v>
      </c>
      <c r="C70" s="8">
        <v>38.5</v>
      </c>
      <c r="D70">
        <v>3269</v>
      </c>
    </row>
    <row r="71" spans="1:4" x14ac:dyDescent="0.2">
      <c r="A71" s="9">
        <v>44996</v>
      </c>
      <c r="B71">
        <f t="shared" si="4"/>
        <v>0</v>
      </c>
      <c r="C71" s="8">
        <v>38.25</v>
      </c>
      <c r="D71">
        <v>2129</v>
      </c>
    </row>
    <row r="72" spans="1:4" x14ac:dyDescent="0.2">
      <c r="A72" s="9">
        <v>44997</v>
      </c>
      <c r="B72">
        <f t="shared" si="4"/>
        <v>0</v>
      </c>
      <c r="C72" s="8">
        <v>39.25</v>
      </c>
      <c r="D72">
        <v>1794</v>
      </c>
    </row>
    <row r="73" spans="1:4" x14ac:dyDescent="0.2">
      <c r="A73" s="9">
        <v>44998</v>
      </c>
      <c r="B73">
        <f t="shared" si="4"/>
        <v>1</v>
      </c>
      <c r="C73" s="8">
        <v>40</v>
      </c>
      <c r="D73">
        <v>2951</v>
      </c>
    </row>
    <row r="74" spans="1:4" x14ac:dyDescent="0.2">
      <c r="A74" s="9">
        <v>44999</v>
      </c>
      <c r="B74">
        <f t="shared" si="4"/>
        <v>1</v>
      </c>
      <c r="C74" s="8">
        <v>40.5</v>
      </c>
      <c r="D74">
        <v>2996</v>
      </c>
    </row>
    <row r="75" spans="1:4" x14ac:dyDescent="0.2">
      <c r="A75" s="9">
        <v>45000</v>
      </c>
      <c r="B75">
        <f t="shared" si="4"/>
        <v>1</v>
      </c>
      <c r="C75" s="8">
        <v>41.5</v>
      </c>
      <c r="D75">
        <v>2323</v>
      </c>
    </row>
    <row r="76" spans="1:4" x14ac:dyDescent="0.2">
      <c r="A76" s="9">
        <v>45001</v>
      </c>
      <c r="B76">
        <f t="shared" si="4"/>
        <v>1</v>
      </c>
      <c r="C76" s="8">
        <v>41</v>
      </c>
      <c r="D76">
        <v>3102</v>
      </c>
    </row>
    <row r="77" spans="1:4" x14ac:dyDescent="0.2">
      <c r="A77" s="9">
        <v>45002</v>
      </c>
      <c r="B77">
        <f t="shared" si="4"/>
        <v>1</v>
      </c>
      <c r="C77" s="8">
        <v>40.75</v>
      </c>
      <c r="D77">
        <v>2261</v>
      </c>
    </row>
    <row r="78" spans="1:4" x14ac:dyDescent="0.2">
      <c r="A78" s="9">
        <v>45003</v>
      </c>
      <c r="B78">
        <f t="shared" si="4"/>
        <v>0</v>
      </c>
      <c r="C78" s="8">
        <v>41</v>
      </c>
      <c r="D78">
        <v>2234</v>
      </c>
    </row>
    <row r="79" spans="1:4" x14ac:dyDescent="0.2">
      <c r="A79" s="9">
        <v>45004</v>
      </c>
      <c r="B79">
        <f t="shared" si="4"/>
        <v>0</v>
      </c>
      <c r="C79" s="8">
        <v>40.5</v>
      </c>
      <c r="D79">
        <v>1534</v>
      </c>
    </row>
    <row r="80" spans="1:4" x14ac:dyDescent="0.2">
      <c r="A80" s="9">
        <v>45005</v>
      </c>
      <c r="B80">
        <f t="shared" si="4"/>
        <v>1</v>
      </c>
      <c r="C80" s="8">
        <v>41</v>
      </c>
      <c r="D80">
        <v>2079</v>
      </c>
    </row>
    <row r="81" spans="1:8" x14ac:dyDescent="0.2">
      <c r="A81" s="9">
        <v>45006</v>
      </c>
      <c r="B81">
        <f t="shared" si="4"/>
        <v>1</v>
      </c>
      <c r="C81" s="8">
        <v>40.25</v>
      </c>
      <c r="D81">
        <v>2006</v>
      </c>
    </row>
    <row r="82" spans="1:8" x14ac:dyDescent="0.2">
      <c r="A82" s="9">
        <v>45007</v>
      </c>
      <c r="B82">
        <f t="shared" si="4"/>
        <v>1</v>
      </c>
      <c r="C82" s="8">
        <v>40.5</v>
      </c>
      <c r="D82">
        <v>2368</v>
      </c>
    </row>
    <row r="83" spans="1:8" x14ac:dyDescent="0.2">
      <c r="A83" s="9">
        <v>45008</v>
      </c>
      <c r="B83">
        <f t="shared" si="4"/>
        <v>1</v>
      </c>
      <c r="C83" s="8">
        <v>39.5</v>
      </c>
      <c r="D83">
        <v>2503</v>
      </c>
    </row>
    <row r="84" spans="1:8" x14ac:dyDescent="0.2">
      <c r="A84" s="9">
        <v>45009</v>
      </c>
      <c r="B84">
        <f t="shared" si="4"/>
        <v>1</v>
      </c>
      <c r="C84" s="8">
        <v>40.25</v>
      </c>
      <c r="D84">
        <v>2354</v>
      </c>
    </row>
    <row r="85" spans="1:8" x14ac:dyDescent="0.2">
      <c r="A85" s="9">
        <v>45010</v>
      </c>
      <c r="B85">
        <f t="shared" si="4"/>
        <v>0</v>
      </c>
      <c r="C85" s="8">
        <v>39.5</v>
      </c>
      <c r="D85">
        <v>2393</v>
      </c>
    </row>
    <row r="86" spans="1:8" x14ac:dyDescent="0.2">
      <c r="A86" s="9">
        <v>45011</v>
      </c>
      <c r="B86">
        <f t="shared" si="4"/>
        <v>0</v>
      </c>
      <c r="C86" s="8">
        <v>38.75</v>
      </c>
      <c r="D86">
        <v>2510</v>
      </c>
      <c r="H86" s="8"/>
    </row>
    <row r="87" spans="1:8" x14ac:dyDescent="0.2">
      <c r="A87" s="9">
        <v>45012</v>
      </c>
      <c r="B87">
        <f t="shared" si="4"/>
        <v>1</v>
      </c>
      <c r="C87" s="8">
        <v>39.25</v>
      </c>
      <c r="D87">
        <v>2132</v>
      </c>
      <c r="H87" s="8"/>
    </row>
    <row r="88" spans="1:8" x14ac:dyDescent="0.2">
      <c r="A88" s="9">
        <v>45013</v>
      </c>
      <c r="B88">
        <f t="shared" si="4"/>
        <v>1</v>
      </c>
      <c r="C88" s="8">
        <v>40.25</v>
      </c>
      <c r="D88">
        <v>2942</v>
      </c>
    </row>
    <row r="89" spans="1:8" x14ac:dyDescent="0.2">
      <c r="A89" s="9">
        <v>45014</v>
      </c>
      <c r="B89">
        <f t="shared" si="4"/>
        <v>1</v>
      </c>
      <c r="C89" s="8">
        <v>40.75</v>
      </c>
      <c r="D89">
        <v>2303</v>
      </c>
    </row>
    <row r="90" spans="1:8" x14ac:dyDescent="0.2">
      <c r="A90" s="9">
        <v>45015</v>
      </c>
      <c r="B90">
        <f t="shared" si="4"/>
        <v>1</v>
      </c>
      <c r="C90" s="8">
        <v>41.5</v>
      </c>
      <c r="D90">
        <v>2536</v>
      </c>
    </row>
    <row r="91" spans="1:8" x14ac:dyDescent="0.2">
      <c r="A91" s="9">
        <v>45016</v>
      </c>
      <c r="B91">
        <f t="shared" si="4"/>
        <v>1</v>
      </c>
      <c r="C91" s="8">
        <v>42.25</v>
      </c>
      <c r="D91">
        <v>2697</v>
      </c>
    </row>
    <row r="92" spans="1:8" x14ac:dyDescent="0.2">
      <c r="A92" s="9">
        <v>45017</v>
      </c>
      <c r="B92">
        <f t="shared" si="4"/>
        <v>0</v>
      </c>
      <c r="C92" s="8">
        <v>42.5</v>
      </c>
      <c r="D92">
        <v>1525</v>
      </c>
    </row>
    <row r="93" spans="1:8" x14ac:dyDescent="0.2">
      <c r="A93" s="9">
        <v>45018</v>
      </c>
      <c r="B93">
        <f t="shared" si="4"/>
        <v>0</v>
      </c>
      <c r="C93" s="8">
        <v>43</v>
      </c>
      <c r="D93">
        <v>1955</v>
      </c>
    </row>
    <row r="94" spans="1:8" x14ac:dyDescent="0.2">
      <c r="A94" s="9">
        <v>45019</v>
      </c>
      <c r="B94">
        <f t="shared" si="4"/>
        <v>1</v>
      </c>
      <c r="C94" s="8">
        <v>42.75</v>
      </c>
      <c r="D94">
        <v>2433</v>
      </c>
    </row>
    <row r="95" spans="1:8" x14ac:dyDescent="0.2">
      <c r="A95" s="9">
        <v>45020</v>
      </c>
      <c r="B95">
        <f t="shared" si="4"/>
        <v>1</v>
      </c>
      <c r="C95" s="8">
        <v>42.5</v>
      </c>
      <c r="D95">
        <v>2107</v>
      </c>
    </row>
    <row r="96" spans="1:8" x14ac:dyDescent="0.2">
      <c r="A96" s="9">
        <v>45021</v>
      </c>
      <c r="B96">
        <f t="shared" si="4"/>
        <v>1</v>
      </c>
      <c r="C96" s="8">
        <v>43.5</v>
      </c>
      <c r="D96">
        <v>2448</v>
      </c>
    </row>
    <row r="97" spans="1:4" x14ac:dyDescent="0.2">
      <c r="A97" s="9">
        <v>45022</v>
      </c>
      <c r="B97">
        <f t="shared" si="4"/>
        <v>1</v>
      </c>
      <c r="C97" s="8">
        <v>43.75</v>
      </c>
      <c r="D97">
        <v>2153</v>
      </c>
    </row>
    <row r="98" spans="1:4" x14ac:dyDescent="0.2">
      <c r="A98" s="9">
        <v>45023</v>
      </c>
      <c r="B98">
        <f t="shared" ref="B98:B112" si="5">IF(WEEKDAY(A98,2)&lt;6,1,0)</f>
        <v>1</v>
      </c>
      <c r="C98" s="8">
        <v>43.5</v>
      </c>
      <c r="D98">
        <v>2909</v>
      </c>
    </row>
    <row r="99" spans="1:4" x14ac:dyDescent="0.2">
      <c r="A99" s="9">
        <v>45024</v>
      </c>
      <c r="B99">
        <f t="shared" si="5"/>
        <v>0</v>
      </c>
      <c r="C99" s="8">
        <v>42.75</v>
      </c>
      <c r="D99">
        <v>2068</v>
      </c>
    </row>
    <row r="100" spans="1:4" x14ac:dyDescent="0.2">
      <c r="A100" s="9">
        <v>45025</v>
      </c>
      <c r="B100">
        <f t="shared" si="5"/>
        <v>0</v>
      </c>
      <c r="C100" s="8">
        <v>43.75</v>
      </c>
      <c r="D100">
        <v>1734</v>
      </c>
    </row>
    <row r="101" spans="1:4" x14ac:dyDescent="0.2">
      <c r="A101" s="9">
        <v>45026</v>
      </c>
      <c r="B101">
        <f t="shared" si="5"/>
        <v>1</v>
      </c>
      <c r="C101" s="8">
        <v>43</v>
      </c>
      <c r="D101">
        <v>2220</v>
      </c>
    </row>
    <row r="102" spans="1:4" x14ac:dyDescent="0.2">
      <c r="A102" s="9">
        <v>45027</v>
      </c>
      <c r="B102">
        <f t="shared" si="5"/>
        <v>1</v>
      </c>
      <c r="C102" s="8">
        <v>42.75</v>
      </c>
      <c r="D102">
        <v>2414</v>
      </c>
    </row>
    <row r="103" spans="1:4" x14ac:dyDescent="0.2">
      <c r="A103" s="9">
        <v>45028</v>
      </c>
      <c r="B103">
        <f t="shared" si="5"/>
        <v>1</v>
      </c>
      <c r="C103" s="8">
        <v>42.25</v>
      </c>
      <c r="D103">
        <v>2816</v>
      </c>
    </row>
    <row r="104" spans="1:4" x14ac:dyDescent="0.2">
      <c r="A104" s="9">
        <v>45029</v>
      </c>
      <c r="B104">
        <f t="shared" si="5"/>
        <v>1</v>
      </c>
      <c r="C104" s="8">
        <v>42.5</v>
      </c>
      <c r="D104">
        <v>2589</v>
      </c>
    </row>
    <row r="105" spans="1:4" x14ac:dyDescent="0.2">
      <c r="A105" s="9">
        <v>45030</v>
      </c>
      <c r="B105">
        <f t="shared" si="5"/>
        <v>1</v>
      </c>
      <c r="C105" s="8">
        <v>43.5</v>
      </c>
      <c r="D105">
        <v>2018</v>
      </c>
    </row>
    <row r="106" spans="1:4" x14ac:dyDescent="0.2">
      <c r="A106" s="9">
        <v>45031</v>
      </c>
      <c r="B106">
        <f t="shared" si="5"/>
        <v>0</v>
      </c>
      <c r="C106" s="8">
        <v>43</v>
      </c>
      <c r="D106">
        <v>1543</v>
      </c>
    </row>
    <row r="107" spans="1:4" x14ac:dyDescent="0.2">
      <c r="A107" s="9">
        <v>45032</v>
      </c>
      <c r="B107">
        <f t="shared" si="5"/>
        <v>0</v>
      </c>
      <c r="C107" s="8">
        <v>42.25</v>
      </c>
      <c r="D107">
        <v>2355</v>
      </c>
    </row>
    <row r="108" spans="1:4" x14ac:dyDescent="0.2">
      <c r="A108" s="9">
        <v>45033</v>
      </c>
      <c r="B108">
        <f t="shared" si="5"/>
        <v>1</v>
      </c>
      <c r="C108" s="8">
        <v>41.75</v>
      </c>
      <c r="D108">
        <v>2630</v>
      </c>
    </row>
    <row r="109" spans="1:4" x14ac:dyDescent="0.2">
      <c r="A109" s="9">
        <v>45034</v>
      </c>
      <c r="B109">
        <f t="shared" si="5"/>
        <v>1</v>
      </c>
      <c r="C109" s="8">
        <v>41.75</v>
      </c>
      <c r="D109">
        <v>2523</v>
      </c>
    </row>
    <row r="110" spans="1:4" x14ac:dyDescent="0.2">
      <c r="A110" s="9">
        <v>45035</v>
      </c>
      <c r="B110">
        <f t="shared" si="5"/>
        <v>1</v>
      </c>
      <c r="C110" s="8">
        <v>41.5</v>
      </c>
      <c r="D110">
        <v>2458</v>
      </c>
    </row>
    <row r="111" spans="1:4" x14ac:dyDescent="0.2">
      <c r="A111" s="9">
        <v>45036</v>
      </c>
      <c r="B111">
        <f t="shared" si="5"/>
        <v>1</v>
      </c>
      <c r="C111" s="8">
        <v>40.75</v>
      </c>
      <c r="D111">
        <v>2961</v>
      </c>
    </row>
    <row r="112" spans="1:4" x14ac:dyDescent="0.2">
      <c r="A112" s="9">
        <v>45037</v>
      </c>
      <c r="B112">
        <f t="shared" si="5"/>
        <v>1</v>
      </c>
      <c r="C112" s="8">
        <v>39.75</v>
      </c>
      <c r="D112">
        <v>2161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4266D-221F-428C-8406-C82C7898CA77}">
  <dimension ref="A1:M112"/>
  <sheetViews>
    <sheetView zoomScaleNormal="100" workbookViewId="0">
      <selection activeCell="G23" sqref="G23"/>
    </sheetView>
  </sheetViews>
  <sheetFormatPr defaultRowHeight="14.25" x14ac:dyDescent="0.2"/>
  <cols>
    <col min="1" max="1" width="15.625" customWidth="1"/>
    <col min="2" max="2" width="11.125" customWidth="1"/>
    <col min="4" max="4" width="17.625" bestFit="1" customWidth="1"/>
    <col min="6" max="6" width="10.625" customWidth="1"/>
    <col min="7" max="7" width="14" customWidth="1"/>
    <col min="9" max="9" width="9.625" bestFit="1" customWidth="1"/>
    <col min="12" max="12" width="18.25" customWidth="1"/>
  </cols>
  <sheetData>
    <row r="1" spans="1:7" x14ac:dyDescent="0.2">
      <c r="A1" t="s">
        <v>32</v>
      </c>
      <c r="B1" t="s">
        <v>35</v>
      </c>
      <c r="C1" t="s">
        <v>33</v>
      </c>
      <c r="D1" t="s">
        <v>36</v>
      </c>
    </row>
    <row r="2" spans="1:7" x14ac:dyDescent="0.2">
      <c r="A2" s="9">
        <v>44927</v>
      </c>
      <c r="B2">
        <f t="shared" ref="B2:B33" si="0">IF(WEEKDAY(A2,2)&lt;6,1,0)</f>
        <v>0</v>
      </c>
      <c r="C2" s="4">
        <v>35</v>
      </c>
      <c r="D2">
        <v>2016</v>
      </c>
      <c r="F2" t="s">
        <v>37</v>
      </c>
      <c r="G2" s="1">
        <f>INTERCEPT(D2:D112,C2:C112)</f>
        <v>4409.5839159811812</v>
      </c>
    </row>
    <row r="3" spans="1:7" x14ac:dyDescent="0.2">
      <c r="A3" s="9">
        <v>44928</v>
      </c>
      <c r="B3">
        <f t="shared" si="0"/>
        <v>1</v>
      </c>
      <c r="C3" s="8">
        <v>34</v>
      </c>
      <c r="D3">
        <v>3075</v>
      </c>
      <c r="F3" t="s">
        <v>13</v>
      </c>
      <c r="G3" s="1">
        <f>SLOPE(D2:D112,C2:C112)</f>
        <v>-50.396421719920141</v>
      </c>
    </row>
    <row r="4" spans="1:7" x14ac:dyDescent="0.2">
      <c r="A4" s="9">
        <v>44929</v>
      </c>
      <c r="B4">
        <f t="shared" si="0"/>
        <v>1</v>
      </c>
      <c r="C4" s="8">
        <v>33.5</v>
      </c>
      <c r="D4">
        <v>3438</v>
      </c>
    </row>
    <row r="5" spans="1:7" x14ac:dyDescent="0.2">
      <c r="A5" s="9">
        <v>44930</v>
      </c>
      <c r="B5">
        <f t="shared" si="0"/>
        <v>1</v>
      </c>
      <c r="C5" s="8">
        <v>32.5</v>
      </c>
      <c r="D5">
        <v>3505</v>
      </c>
      <c r="F5" t="s">
        <v>33</v>
      </c>
      <c r="G5" t="s">
        <v>34</v>
      </c>
    </row>
    <row r="6" spans="1:7" x14ac:dyDescent="0.2">
      <c r="A6" s="9">
        <v>44931</v>
      </c>
      <c r="B6">
        <f t="shared" si="0"/>
        <v>1</v>
      </c>
      <c r="C6" s="8">
        <v>33.5</v>
      </c>
      <c r="D6">
        <v>2677</v>
      </c>
      <c r="F6" s="8">
        <f>MIN(C2:C112)</f>
        <v>32.5</v>
      </c>
      <c r="G6" s="25">
        <f t="shared" ref="G6:G51" si="1">$G$2+$G$3*F6</f>
        <v>2771.7002100837767</v>
      </c>
    </row>
    <row r="7" spans="1:7" x14ac:dyDescent="0.2">
      <c r="A7" s="9">
        <v>44932</v>
      </c>
      <c r="B7">
        <f t="shared" si="0"/>
        <v>1</v>
      </c>
      <c r="C7" s="8">
        <v>34.5</v>
      </c>
      <c r="D7">
        <v>2248</v>
      </c>
      <c r="F7" s="8">
        <f t="shared" ref="F7:F50" si="2">F6+0.25</f>
        <v>32.75</v>
      </c>
      <c r="G7" s="25">
        <f t="shared" si="1"/>
        <v>2759.1011046537969</v>
      </c>
    </row>
    <row r="8" spans="1:7" x14ac:dyDescent="0.2">
      <c r="A8" s="9">
        <v>44933</v>
      </c>
      <c r="B8">
        <f t="shared" si="0"/>
        <v>0</v>
      </c>
      <c r="C8" s="8">
        <v>35</v>
      </c>
      <c r="D8">
        <v>2207</v>
      </c>
      <c r="F8" s="8">
        <f t="shared" si="2"/>
        <v>33</v>
      </c>
      <c r="G8" s="25">
        <f t="shared" si="1"/>
        <v>2746.5019992238167</v>
      </c>
    </row>
    <row r="9" spans="1:7" x14ac:dyDescent="0.2">
      <c r="A9" s="9">
        <v>44934</v>
      </c>
      <c r="B9">
        <f t="shared" si="0"/>
        <v>0</v>
      </c>
      <c r="C9" s="8">
        <v>35.5</v>
      </c>
      <c r="D9">
        <v>1713</v>
      </c>
      <c r="F9" s="8">
        <f t="shared" si="2"/>
        <v>33.25</v>
      </c>
      <c r="G9" s="25">
        <f t="shared" si="1"/>
        <v>2733.9028937938365</v>
      </c>
    </row>
    <row r="10" spans="1:7" x14ac:dyDescent="0.2">
      <c r="A10" s="9">
        <v>44935</v>
      </c>
      <c r="B10">
        <f t="shared" si="0"/>
        <v>1</v>
      </c>
      <c r="C10" s="8">
        <v>35.75</v>
      </c>
      <c r="D10">
        <v>3179</v>
      </c>
      <c r="F10" s="8">
        <f t="shared" si="2"/>
        <v>33.5</v>
      </c>
      <c r="G10" s="25">
        <f t="shared" si="1"/>
        <v>2721.3037883638563</v>
      </c>
    </row>
    <row r="11" spans="1:7" x14ac:dyDescent="0.2">
      <c r="A11" s="9">
        <v>44936</v>
      </c>
      <c r="B11">
        <f t="shared" si="0"/>
        <v>1</v>
      </c>
      <c r="C11" s="8">
        <v>35.5</v>
      </c>
      <c r="D11">
        <v>3139</v>
      </c>
      <c r="F11" s="8">
        <f t="shared" si="2"/>
        <v>33.75</v>
      </c>
      <c r="G11" s="25">
        <f t="shared" si="1"/>
        <v>2708.7046829338765</v>
      </c>
    </row>
    <row r="12" spans="1:7" x14ac:dyDescent="0.2">
      <c r="A12" s="9">
        <v>44937</v>
      </c>
      <c r="B12">
        <f t="shared" si="0"/>
        <v>1</v>
      </c>
      <c r="C12" s="8">
        <v>34.75</v>
      </c>
      <c r="D12">
        <v>2234</v>
      </c>
      <c r="F12" s="8">
        <f t="shared" si="2"/>
        <v>34</v>
      </c>
      <c r="G12" s="25">
        <f t="shared" si="1"/>
        <v>2696.1055775038967</v>
      </c>
    </row>
    <row r="13" spans="1:7" x14ac:dyDescent="0.2">
      <c r="A13" s="9">
        <v>44938</v>
      </c>
      <c r="B13">
        <f t="shared" si="0"/>
        <v>1</v>
      </c>
      <c r="C13" s="8">
        <v>35.75</v>
      </c>
      <c r="D13">
        <v>2333</v>
      </c>
      <c r="F13" s="8">
        <f t="shared" si="2"/>
        <v>34.25</v>
      </c>
      <c r="G13" s="25">
        <f t="shared" si="1"/>
        <v>2683.5064720739165</v>
      </c>
    </row>
    <row r="14" spans="1:7" x14ac:dyDescent="0.2">
      <c r="A14" s="9">
        <v>44939</v>
      </c>
      <c r="B14">
        <f t="shared" si="0"/>
        <v>1</v>
      </c>
      <c r="C14" s="8">
        <v>35.75</v>
      </c>
      <c r="D14">
        <v>2073</v>
      </c>
      <c r="F14" s="8">
        <f t="shared" si="2"/>
        <v>34.5</v>
      </c>
      <c r="G14" s="25">
        <f t="shared" si="1"/>
        <v>2670.9073666439363</v>
      </c>
    </row>
    <row r="15" spans="1:7" x14ac:dyDescent="0.2">
      <c r="A15" s="9">
        <v>44940</v>
      </c>
      <c r="B15">
        <f t="shared" si="0"/>
        <v>0</v>
      </c>
      <c r="C15" s="8">
        <v>35.25</v>
      </c>
      <c r="D15">
        <v>2083</v>
      </c>
      <c r="F15" s="8">
        <f t="shared" si="2"/>
        <v>34.75</v>
      </c>
      <c r="G15" s="25">
        <f t="shared" si="1"/>
        <v>2658.308261213956</v>
      </c>
    </row>
    <row r="16" spans="1:7" x14ac:dyDescent="0.2">
      <c r="A16" s="9">
        <v>44941</v>
      </c>
      <c r="B16">
        <f t="shared" si="0"/>
        <v>0</v>
      </c>
      <c r="C16" s="8">
        <v>34.25</v>
      </c>
      <c r="D16">
        <v>2351</v>
      </c>
      <c r="F16" s="8">
        <f t="shared" si="2"/>
        <v>35</v>
      </c>
      <c r="G16" s="25">
        <f t="shared" si="1"/>
        <v>2645.7091557839763</v>
      </c>
    </row>
    <row r="17" spans="1:13" x14ac:dyDescent="0.2">
      <c r="A17" s="9">
        <v>44942</v>
      </c>
      <c r="B17">
        <f t="shared" si="0"/>
        <v>1</v>
      </c>
      <c r="C17" s="8">
        <v>34.75</v>
      </c>
      <c r="D17">
        <v>3403</v>
      </c>
      <c r="F17" s="8">
        <f t="shared" si="2"/>
        <v>35.25</v>
      </c>
      <c r="G17" s="25">
        <f t="shared" si="1"/>
        <v>2633.1100503539965</v>
      </c>
    </row>
    <row r="18" spans="1:13" x14ac:dyDescent="0.2">
      <c r="A18" s="9">
        <v>44943</v>
      </c>
      <c r="B18">
        <f t="shared" si="0"/>
        <v>1</v>
      </c>
      <c r="C18" s="8">
        <v>35.5</v>
      </c>
      <c r="D18">
        <v>2269</v>
      </c>
      <c r="F18" s="8">
        <f t="shared" si="2"/>
        <v>35.5</v>
      </c>
      <c r="G18" s="25">
        <f t="shared" si="1"/>
        <v>2620.5109449240163</v>
      </c>
    </row>
    <row r="19" spans="1:13" x14ac:dyDescent="0.2">
      <c r="A19" s="9">
        <v>44944</v>
      </c>
      <c r="B19">
        <f t="shared" si="0"/>
        <v>1</v>
      </c>
      <c r="C19" s="8">
        <v>35</v>
      </c>
      <c r="D19">
        <v>3200</v>
      </c>
      <c r="F19" s="8">
        <f t="shared" si="2"/>
        <v>35.75</v>
      </c>
      <c r="G19" s="25">
        <f t="shared" si="1"/>
        <v>2607.911839494036</v>
      </c>
      <c r="M19" s="11"/>
    </row>
    <row r="20" spans="1:13" x14ac:dyDescent="0.2">
      <c r="A20" s="9">
        <v>44945</v>
      </c>
      <c r="B20">
        <f t="shared" si="0"/>
        <v>1</v>
      </c>
      <c r="C20" s="8">
        <v>36</v>
      </c>
      <c r="D20">
        <v>3226</v>
      </c>
      <c r="F20" s="8">
        <f t="shared" si="2"/>
        <v>36</v>
      </c>
      <c r="G20" s="25">
        <f t="shared" si="1"/>
        <v>2595.3127340640563</v>
      </c>
    </row>
    <row r="21" spans="1:13" x14ac:dyDescent="0.2">
      <c r="A21" s="9">
        <v>44946</v>
      </c>
      <c r="B21">
        <f t="shared" si="0"/>
        <v>1</v>
      </c>
      <c r="C21" s="8">
        <v>36.5</v>
      </c>
      <c r="D21">
        <v>2519</v>
      </c>
      <c r="F21" s="8">
        <f t="shared" si="2"/>
        <v>36.25</v>
      </c>
      <c r="G21" s="25">
        <f t="shared" si="1"/>
        <v>2582.713628634076</v>
      </c>
    </row>
    <row r="22" spans="1:13" x14ac:dyDescent="0.2">
      <c r="A22" s="9">
        <v>44947</v>
      </c>
      <c r="B22">
        <f t="shared" si="0"/>
        <v>0</v>
      </c>
      <c r="C22" s="8">
        <v>35.75</v>
      </c>
      <c r="D22">
        <v>2465</v>
      </c>
      <c r="F22" s="8">
        <f t="shared" si="2"/>
        <v>36.5</v>
      </c>
      <c r="G22" s="25">
        <f t="shared" si="1"/>
        <v>2570.1145232040963</v>
      </c>
    </row>
    <row r="23" spans="1:13" x14ac:dyDescent="0.2">
      <c r="A23" s="9">
        <v>44948</v>
      </c>
      <c r="B23">
        <f t="shared" si="0"/>
        <v>0</v>
      </c>
      <c r="C23" s="8">
        <v>35.5</v>
      </c>
      <c r="D23">
        <v>1717</v>
      </c>
      <c r="F23" s="8">
        <f t="shared" si="2"/>
        <v>36.75</v>
      </c>
      <c r="G23" s="25">
        <f t="shared" si="1"/>
        <v>2557.515417774116</v>
      </c>
    </row>
    <row r="24" spans="1:13" x14ac:dyDescent="0.2">
      <c r="A24" s="9">
        <v>44949</v>
      </c>
      <c r="B24">
        <f t="shared" si="0"/>
        <v>1</v>
      </c>
      <c r="C24" s="8">
        <v>35</v>
      </c>
      <c r="D24">
        <v>3236</v>
      </c>
      <c r="F24" s="8">
        <f t="shared" si="2"/>
        <v>37</v>
      </c>
      <c r="G24" s="25">
        <f t="shared" si="1"/>
        <v>2544.9163123441358</v>
      </c>
    </row>
    <row r="25" spans="1:13" x14ac:dyDescent="0.2">
      <c r="A25" s="9">
        <v>44950</v>
      </c>
      <c r="B25">
        <f t="shared" si="0"/>
        <v>1</v>
      </c>
      <c r="C25" s="8">
        <v>35</v>
      </c>
      <c r="D25">
        <v>2958</v>
      </c>
      <c r="F25" s="8">
        <f t="shared" si="2"/>
        <v>37.25</v>
      </c>
      <c r="G25" s="25">
        <f t="shared" si="1"/>
        <v>2532.317206914156</v>
      </c>
    </row>
    <row r="26" spans="1:13" x14ac:dyDescent="0.2">
      <c r="A26" s="9">
        <v>44951</v>
      </c>
      <c r="B26">
        <f t="shared" si="0"/>
        <v>1</v>
      </c>
      <c r="C26" s="8">
        <v>35.25</v>
      </c>
      <c r="D26">
        <v>2814</v>
      </c>
      <c r="F26" s="8">
        <f t="shared" si="2"/>
        <v>37.5</v>
      </c>
      <c r="G26" s="25">
        <f t="shared" si="1"/>
        <v>2519.7181014841763</v>
      </c>
    </row>
    <row r="27" spans="1:13" x14ac:dyDescent="0.2">
      <c r="A27" s="9">
        <v>44952</v>
      </c>
      <c r="B27">
        <f t="shared" si="0"/>
        <v>1</v>
      </c>
      <c r="C27" s="8">
        <v>35</v>
      </c>
      <c r="D27">
        <v>2369</v>
      </c>
      <c r="F27" s="8">
        <f t="shared" si="2"/>
        <v>37.75</v>
      </c>
      <c r="G27" s="25">
        <f t="shared" si="1"/>
        <v>2507.118996054196</v>
      </c>
    </row>
    <row r="28" spans="1:13" x14ac:dyDescent="0.2">
      <c r="A28" s="9">
        <v>44953</v>
      </c>
      <c r="B28">
        <f t="shared" si="0"/>
        <v>1</v>
      </c>
      <c r="C28" s="8">
        <v>35.25</v>
      </c>
      <c r="D28">
        <v>2785</v>
      </c>
      <c r="F28" s="8">
        <f t="shared" si="2"/>
        <v>38</v>
      </c>
      <c r="G28" s="25">
        <f t="shared" si="1"/>
        <v>2494.5198906242158</v>
      </c>
    </row>
    <row r="29" spans="1:13" x14ac:dyDescent="0.2">
      <c r="A29" s="9">
        <v>44954</v>
      </c>
      <c r="B29">
        <f t="shared" si="0"/>
        <v>0</v>
      </c>
      <c r="C29" s="8">
        <v>35.5</v>
      </c>
      <c r="D29">
        <v>2540</v>
      </c>
      <c r="F29" s="8">
        <f t="shared" si="2"/>
        <v>38.25</v>
      </c>
      <c r="G29" s="25">
        <f t="shared" si="1"/>
        <v>2481.9207851942356</v>
      </c>
    </row>
    <row r="30" spans="1:13" x14ac:dyDescent="0.2">
      <c r="A30" s="9">
        <v>44955</v>
      </c>
      <c r="B30">
        <f t="shared" si="0"/>
        <v>0</v>
      </c>
      <c r="C30" s="8">
        <v>36.25</v>
      </c>
      <c r="D30">
        <v>2033</v>
      </c>
      <c r="F30" s="8">
        <f t="shared" si="2"/>
        <v>38.5</v>
      </c>
      <c r="G30" s="25">
        <f t="shared" si="1"/>
        <v>2469.3216797642558</v>
      </c>
    </row>
    <row r="31" spans="1:13" x14ac:dyDescent="0.2">
      <c r="A31" s="9">
        <v>44956</v>
      </c>
      <c r="B31">
        <f t="shared" si="0"/>
        <v>1</v>
      </c>
      <c r="C31" s="8">
        <v>35.75</v>
      </c>
      <c r="D31">
        <v>2957</v>
      </c>
      <c r="F31" s="8">
        <f t="shared" si="2"/>
        <v>38.75</v>
      </c>
      <c r="G31" s="25">
        <f t="shared" si="1"/>
        <v>2456.722574334276</v>
      </c>
    </row>
    <row r="32" spans="1:13" x14ac:dyDescent="0.2">
      <c r="A32" s="9">
        <v>44957</v>
      </c>
      <c r="B32">
        <f t="shared" si="0"/>
        <v>1</v>
      </c>
      <c r="C32" s="8">
        <v>35</v>
      </c>
      <c r="D32">
        <v>3162</v>
      </c>
      <c r="F32" s="8">
        <f t="shared" si="2"/>
        <v>39</v>
      </c>
      <c r="G32" s="25">
        <f t="shared" si="1"/>
        <v>2444.1234689042958</v>
      </c>
    </row>
    <row r="33" spans="1:7" x14ac:dyDescent="0.2">
      <c r="A33" s="9">
        <v>44958</v>
      </c>
      <c r="B33">
        <f t="shared" si="0"/>
        <v>1</v>
      </c>
      <c r="C33" s="8">
        <v>35</v>
      </c>
      <c r="D33">
        <v>2246</v>
      </c>
      <c r="F33" s="8">
        <f t="shared" si="2"/>
        <v>39.25</v>
      </c>
      <c r="G33" s="25">
        <f t="shared" si="1"/>
        <v>2431.5243634743156</v>
      </c>
    </row>
    <row r="34" spans="1:7" x14ac:dyDescent="0.2">
      <c r="A34" s="9">
        <v>44959</v>
      </c>
      <c r="B34">
        <f t="shared" ref="B34:B65" si="3">IF(WEEKDAY(A34,2)&lt;6,1,0)</f>
        <v>1</v>
      </c>
      <c r="C34" s="8">
        <v>35.5</v>
      </c>
      <c r="D34">
        <v>2997</v>
      </c>
      <c r="F34" s="8">
        <f t="shared" si="2"/>
        <v>39.5</v>
      </c>
      <c r="G34" s="25">
        <f t="shared" si="1"/>
        <v>2418.9252580443354</v>
      </c>
    </row>
    <row r="35" spans="1:7" x14ac:dyDescent="0.2">
      <c r="A35" s="9">
        <v>44960</v>
      </c>
      <c r="B35">
        <f t="shared" si="3"/>
        <v>1</v>
      </c>
      <c r="C35" s="8">
        <v>36.5</v>
      </c>
      <c r="D35">
        <v>2426</v>
      </c>
      <c r="F35" s="8">
        <f t="shared" si="2"/>
        <v>39.75</v>
      </c>
      <c r="G35" s="25">
        <f t="shared" si="1"/>
        <v>2406.3261526143556</v>
      </c>
    </row>
    <row r="36" spans="1:7" x14ac:dyDescent="0.2">
      <c r="A36" s="9">
        <v>44961</v>
      </c>
      <c r="B36">
        <f t="shared" si="3"/>
        <v>0</v>
      </c>
      <c r="C36" s="8">
        <v>36.25</v>
      </c>
      <c r="D36">
        <v>1867</v>
      </c>
      <c r="F36" s="8">
        <f t="shared" si="2"/>
        <v>40</v>
      </c>
      <c r="G36" s="25">
        <f t="shared" si="1"/>
        <v>2393.7270471843758</v>
      </c>
    </row>
    <row r="37" spans="1:7" x14ac:dyDescent="0.2">
      <c r="A37" s="9">
        <v>44962</v>
      </c>
      <c r="B37">
        <f t="shared" si="3"/>
        <v>0</v>
      </c>
      <c r="C37" s="8">
        <v>37.25</v>
      </c>
      <c r="D37">
        <v>1974</v>
      </c>
      <c r="F37" s="8">
        <f t="shared" si="2"/>
        <v>40.25</v>
      </c>
      <c r="G37" s="25">
        <f t="shared" si="1"/>
        <v>2381.1279417543956</v>
      </c>
    </row>
    <row r="38" spans="1:7" x14ac:dyDescent="0.2">
      <c r="A38" s="9">
        <v>44963</v>
      </c>
      <c r="B38">
        <f t="shared" si="3"/>
        <v>1</v>
      </c>
      <c r="C38" s="8">
        <v>37.25</v>
      </c>
      <c r="D38">
        <v>3111</v>
      </c>
      <c r="F38" s="8">
        <f t="shared" si="2"/>
        <v>40.5</v>
      </c>
      <c r="G38" s="25">
        <f t="shared" si="1"/>
        <v>2368.5288363244154</v>
      </c>
    </row>
    <row r="39" spans="1:7" x14ac:dyDescent="0.2">
      <c r="A39" s="9">
        <v>44964</v>
      </c>
      <c r="B39">
        <f t="shared" si="3"/>
        <v>1</v>
      </c>
      <c r="C39" s="8">
        <v>36.75</v>
      </c>
      <c r="D39">
        <v>2590</v>
      </c>
      <c r="F39" s="8">
        <f t="shared" si="2"/>
        <v>40.75</v>
      </c>
      <c r="G39" s="25">
        <f t="shared" si="1"/>
        <v>2355.9297308944356</v>
      </c>
    </row>
    <row r="40" spans="1:7" x14ac:dyDescent="0.2">
      <c r="A40" s="9">
        <v>44965</v>
      </c>
      <c r="B40">
        <f t="shared" si="3"/>
        <v>1</v>
      </c>
      <c r="C40" s="8">
        <v>37.25</v>
      </c>
      <c r="D40">
        <v>2491</v>
      </c>
      <c r="F40" s="8">
        <f t="shared" si="2"/>
        <v>41</v>
      </c>
      <c r="G40" s="25">
        <f t="shared" si="1"/>
        <v>2343.3306254644554</v>
      </c>
    </row>
    <row r="41" spans="1:7" x14ac:dyDescent="0.2">
      <c r="A41" s="9">
        <v>44966</v>
      </c>
      <c r="B41">
        <f t="shared" si="3"/>
        <v>1</v>
      </c>
      <c r="C41" s="8">
        <v>36.75</v>
      </c>
      <c r="D41">
        <v>3247</v>
      </c>
      <c r="F41" s="8">
        <f t="shared" si="2"/>
        <v>41.25</v>
      </c>
      <c r="G41" s="25">
        <f t="shared" si="1"/>
        <v>2330.7315200344756</v>
      </c>
    </row>
    <row r="42" spans="1:7" x14ac:dyDescent="0.2">
      <c r="A42" s="9">
        <v>44967</v>
      </c>
      <c r="B42">
        <f t="shared" si="3"/>
        <v>1</v>
      </c>
      <c r="C42" s="8">
        <v>37.5</v>
      </c>
      <c r="D42">
        <v>3079</v>
      </c>
      <c r="F42" s="8">
        <f t="shared" si="2"/>
        <v>41.5</v>
      </c>
      <c r="G42" s="25">
        <f t="shared" si="1"/>
        <v>2318.1324146044954</v>
      </c>
    </row>
    <row r="43" spans="1:7" x14ac:dyDescent="0.2">
      <c r="A43" s="9">
        <v>44968</v>
      </c>
      <c r="B43">
        <f t="shared" si="3"/>
        <v>0</v>
      </c>
      <c r="C43" s="8">
        <v>36.5</v>
      </c>
      <c r="D43">
        <v>2671</v>
      </c>
      <c r="F43" s="8">
        <f t="shared" si="2"/>
        <v>41.75</v>
      </c>
      <c r="G43" s="25">
        <f t="shared" si="1"/>
        <v>2305.5333091745151</v>
      </c>
    </row>
    <row r="44" spans="1:7" x14ac:dyDescent="0.2">
      <c r="A44" s="9">
        <v>44969</v>
      </c>
      <c r="B44">
        <f t="shared" si="3"/>
        <v>0</v>
      </c>
      <c r="C44" s="8">
        <v>37.25</v>
      </c>
      <c r="D44">
        <v>1842</v>
      </c>
      <c r="F44" s="8">
        <f t="shared" si="2"/>
        <v>42</v>
      </c>
      <c r="G44" s="25">
        <f t="shared" si="1"/>
        <v>2292.9342037445354</v>
      </c>
    </row>
    <row r="45" spans="1:7" x14ac:dyDescent="0.2">
      <c r="A45" s="9">
        <v>44970</v>
      </c>
      <c r="B45">
        <f t="shared" si="3"/>
        <v>1</v>
      </c>
      <c r="C45" s="8">
        <v>38.25</v>
      </c>
      <c r="D45">
        <v>2404</v>
      </c>
      <c r="F45" s="8">
        <f t="shared" si="2"/>
        <v>42.25</v>
      </c>
      <c r="G45" s="25">
        <f t="shared" si="1"/>
        <v>2280.3350983145551</v>
      </c>
    </row>
    <row r="46" spans="1:7" x14ac:dyDescent="0.2">
      <c r="A46" s="9">
        <v>44971</v>
      </c>
      <c r="B46">
        <f t="shared" si="3"/>
        <v>1</v>
      </c>
      <c r="C46" s="8">
        <v>37.5</v>
      </c>
      <c r="D46">
        <v>3061</v>
      </c>
      <c r="F46" s="8">
        <f t="shared" si="2"/>
        <v>42.5</v>
      </c>
      <c r="G46" s="25">
        <f t="shared" si="1"/>
        <v>2267.7359928845754</v>
      </c>
    </row>
    <row r="47" spans="1:7" x14ac:dyDescent="0.2">
      <c r="A47" s="9">
        <v>44972</v>
      </c>
      <c r="B47">
        <f t="shared" si="3"/>
        <v>1</v>
      </c>
      <c r="C47" s="8">
        <v>38</v>
      </c>
      <c r="D47">
        <v>2380</v>
      </c>
      <c r="F47" s="8">
        <f t="shared" si="2"/>
        <v>42.75</v>
      </c>
      <c r="G47" s="25">
        <f t="shared" si="1"/>
        <v>2255.1368874545951</v>
      </c>
    </row>
    <row r="48" spans="1:7" x14ac:dyDescent="0.2">
      <c r="A48" s="9">
        <v>44973</v>
      </c>
      <c r="B48">
        <f t="shared" si="3"/>
        <v>1</v>
      </c>
      <c r="C48" s="8">
        <v>38.25</v>
      </c>
      <c r="D48">
        <v>2026</v>
      </c>
      <c r="F48" s="8">
        <f t="shared" si="2"/>
        <v>43</v>
      </c>
      <c r="G48" s="25">
        <f t="shared" si="1"/>
        <v>2242.5377820246154</v>
      </c>
    </row>
    <row r="49" spans="1:7" x14ac:dyDescent="0.2">
      <c r="A49" s="9">
        <v>44974</v>
      </c>
      <c r="B49">
        <f t="shared" si="3"/>
        <v>1</v>
      </c>
      <c r="C49" s="8">
        <v>37.25</v>
      </c>
      <c r="D49">
        <v>2178</v>
      </c>
      <c r="F49" s="8">
        <f t="shared" si="2"/>
        <v>43.25</v>
      </c>
      <c r="G49" s="25">
        <f t="shared" si="1"/>
        <v>2229.9386765946351</v>
      </c>
    </row>
    <row r="50" spans="1:7" x14ac:dyDescent="0.2">
      <c r="A50" s="9">
        <v>44975</v>
      </c>
      <c r="B50">
        <f t="shared" si="3"/>
        <v>0</v>
      </c>
      <c r="C50" s="8">
        <v>38.25</v>
      </c>
      <c r="D50">
        <v>2113</v>
      </c>
      <c r="F50" s="8">
        <f t="shared" si="2"/>
        <v>43.5</v>
      </c>
      <c r="G50" s="25">
        <f t="shared" si="1"/>
        <v>2217.3395711646549</v>
      </c>
    </row>
    <row r="51" spans="1:7" x14ac:dyDescent="0.2">
      <c r="A51" s="9">
        <v>44976</v>
      </c>
      <c r="B51">
        <f t="shared" si="3"/>
        <v>0</v>
      </c>
      <c r="C51" s="8">
        <v>37.5</v>
      </c>
      <c r="D51">
        <v>2300</v>
      </c>
      <c r="F51" s="8">
        <f>MAX(C2:C112)</f>
        <v>43.75</v>
      </c>
      <c r="G51" s="25">
        <f t="shared" si="1"/>
        <v>2204.7404657346751</v>
      </c>
    </row>
    <row r="52" spans="1:7" x14ac:dyDescent="0.2">
      <c r="A52" s="9">
        <v>44977</v>
      </c>
      <c r="B52">
        <f t="shared" si="3"/>
        <v>1</v>
      </c>
      <c r="C52" s="8">
        <v>37.25</v>
      </c>
      <c r="D52">
        <v>2523</v>
      </c>
    </row>
    <row r="53" spans="1:7" x14ac:dyDescent="0.2">
      <c r="A53" s="9">
        <v>44978</v>
      </c>
      <c r="B53">
        <f t="shared" si="3"/>
        <v>1</v>
      </c>
      <c r="C53" s="8">
        <v>36.75</v>
      </c>
      <c r="D53">
        <v>2309</v>
      </c>
    </row>
    <row r="54" spans="1:7" x14ac:dyDescent="0.2">
      <c r="A54" s="9">
        <v>44979</v>
      </c>
      <c r="B54">
        <f t="shared" si="3"/>
        <v>1</v>
      </c>
      <c r="C54" s="8">
        <v>35.75</v>
      </c>
      <c r="D54">
        <v>3442</v>
      </c>
    </row>
    <row r="55" spans="1:7" x14ac:dyDescent="0.2">
      <c r="A55" s="9">
        <v>44980</v>
      </c>
      <c r="B55">
        <f t="shared" si="3"/>
        <v>1</v>
      </c>
      <c r="C55" s="8">
        <v>35.5</v>
      </c>
      <c r="D55">
        <v>2794</v>
      </c>
    </row>
    <row r="56" spans="1:7" x14ac:dyDescent="0.2">
      <c r="A56" s="9">
        <v>44981</v>
      </c>
      <c r="B56">
        <f t="shared" si="3"/>
        <v>1</v>
      </c>
      <c r="C56" s="8">
        <v>35.75</v>
      </c>
      <c r="D56">
        <v>2226</v>
      </c>
    </row>
    <row r="57" spans="1:7" x14ac:dyDescent="0.2">
      <c r="A57" s="9">
        <v>44982</v>
      </c>
      <c r="B57">
        <f t="shared" si="3"/>
        <v>0</v>
      </c>
      <c r="C57" s="8">
        <v>35.75</v>
      </c>
      <c r="D57">
        <v>2423</v>
      </c>
    </row>
    <row r="58" spans="1:7" x14ac:dyDescent="0.2">
      <c r="A58" s="9">
        <v>44983</v>
      </c>
      <c r="B58">
        <f t="shared" si="3"/>
        <v>0</v>
      </c>
      <c r="C58" s="8">
        <v>36.75</v>
      </c>
      <c r="D58">
        <v>1893</v>
      </c>
    </row>
    <row r="59" spans="1:7" x14ac:dyDescent="0.2">
      <c r="A59" s="9">
        <v>44984</v>
      </c>
      <c r="B59">
        <f t="shared" si="3"/>
        <v>1</v>
      </c>
      <c r="C59" s="8">
        <v>36.75</v>
      </c>
      <c r="D59">
        <v>2391</v>
      </c>
    </row>
    <row r="60" spans="1:7" x14ac:dyDescent="0.2">
      <c r="A60" s="9">
        <v>44985</v>
      </c>
      <c r="B60">
        <f t="shared" si="3"/>
        <v>1</v>
      </c>
      <c r="C60" s="8">
        <v>37.25</v>
      </c>
      <c r="D60">
        <v>3202</v>
      </c>
    </row>
    <row r="61" spans="1:7" x14ac:dyDescent="0.2">
      <c r="A61" s="9">
        <v>44986</v>
      </c>
      <c r="B61">
        <f t="shared" si="3"/>
        <v>1</v>
      </c>
      <c r="C61" s="8">
        <v>38</v>
      </c>
      <c r="D61">
        <v>2568</v>
      </c>
    </row>
    <row r="62" spans="1:7" x14ac:dyDescent="0.2">
      <c r="A62" s="9">
        <v>44987</v>
      </c>
      <c r="B62">
        <f t="shared" si="3"/>
        <v>1</v>
      </c>
      <c r="C62" s="8">
        <v>38</v>
      </c>
      <c r="D62">
        <v>3307</v>
      </c>
    </row>
    <row r="63" spans="1:7" x14ac:dyDescent="0.2">
      <c r="A63" s="9">
        <v>44988</v>
      </c>
      <c r="B63">
        <f t="shared" si="3"/>
        <v>1</v>
      </c>
      <c r="C63" s="8">
        <v>39</v>
      </c>
      <c r="D63">
        <v>2025</v>
      </c>
    </row>
    <row r="64" spans="1:7" x14ac:dyDescent="0.2">
      <c r="A64" s="9">
        <v>44989</v>
      </c>
      <c r="B64">
        <f t="shared" si="3"/>
        <v>0</v>
      </c>
      <c r="C64" s="8">
        <v>39</v>
      </c>
      <c r="D64">
        <v>1754</v>
      </c>
    </row>
    <row r="65" spans="1:4" x14ac:dyDescent="0.2">
      <c r="A65" s="9">
        <v>44990</v>
      </c>
      <c r="B65">
        <f t="shared" si="3"/>
        <v>0</v>
      </c>
      <c r="C65" s="8">
        <v>38.5</v>
      </c>
      <c r="D65">
        <v>2130</v>
      </c>
    </row>
    <row r="66" spans="1:4" x14ac:dyDescent="0.2">
      <c r="A66" s="9">
        <v>44991</v>
      </c>
      <c r="B66">
        <f t="shared" ref="B66:B97" si="4">IF(WEEKDAY(A66,2)&lt;6,1,0)</f>
        <v>1</v>
      </c>
      <c r="C66" s="8">
        <v>37.5</v>
      </c>
      <c r="D66">
        <v>2357</v>
      </c>
    </row>
    <row r="67" spans="1:4" x14ac:dyDescent="0.2">
      <c r="A67" s="9">
        <v>44992</v>
      </c>
      <c r="B67">
        <f t="shared" si="4"/>
        <v>1</v>
      </c>
      <c r="C67" s="8">
        <v>38.25</v>
      </c>
      <c r="D67">
        <v>2235</v>
      </c>
    </row>
    <row r="68" spans="1:4" x14ac:dyDescent="0.2">
      <c r="A68" s="9">
        <v>44993</v>
      </c>
      <c r="B68">
        <f t="shared" si="4"/>
        <v>1</v>
      </c>
      <c r="C68" s="8">
        <v>39</v>
      </c>
      <c r="D68">
        <v>3195</v>
      </c>
    </row>
    <row r="69" spans="1:4" x14ac:dyDescent="0.2">
      <c r="A69" s="9">
        <v>44994</v>
      </c>
      <c r="B69">
        <f t="shared" si="4"/>
        <v>1</v>
      </c>
      <c r="C69" s="8">
        <v>39</v>
      </c>
      <c r="D69">
        <v>2457</v>
      </c>
    </row>
    <row r="70" spans="1:4" x14ac:dyDescent="0.2">
      <c r="A70" s="9">
        <v>44995</v>
      </c>
      <c r="B70">
        <f t="shared" si="4"/>
        <v>1</v>
      </c>
      <c r="C70" s="8">
        <v>38.5</v>
      </c>
      <c r="D70">
        <v>3269</v>
      </c>
    </row>
    <row r="71" spans="1:4" x14ac:dyDescent="0.2">
      <c r="A71" s="9">
        <v>44996</v>
      </c>
      <c r="B71">
        <f t="shared" si="4"/>
        <v>0</v>
      </c>
      <c r="C71" s="8">
        <v>38.25</v>
      </c>
      <c r="D71">
        <v>2129</v>
      </c>
    </row>
    <row r="72" spans="1:4" x14ac:dyDescent="0.2">
      <c r="A72" s="9">
        <v>44997</v>
      </c>
      <c r="B72">
        <f t="shared" si="4"/>
        <v>0</v>
      </c>
      <c r="C72" s="8">
        <v>39.25</v>
      </c>
      <c r="D72">
        <v>1794</v>
      </c>
    </row>
    <row r="73" spans="1:4" x14ac:dyDescent="0.2">
      <c r="A73" s="9">
        <v>44998</v>
      </c>
      <c r="B73">
        <f t="shared" si="4"/>
        <v>1</v>
      </c>
      <c r="C73" s="8">
        <v>40</v>
      </c>
      <c r="D73">
        <v>2951</v>
      </c>
    </row>
    <row r="74" spans="1:4" x14ac:dyDescent="0.2">
      <c r="A74" s="9">
        <v>44999</v>
      </c>
      <c r="B74">
        <f t="shared" si="4"/>
        <v>1</v>
      </c>
      <c r="C74" s="8">
        <v>40.5</v>
      </c>
      <c r="D74">
        <v>2996</v>
      </c>
    </row>
    <row r="75" spans="1:4" x14ac:dyDescent="0.2">
      <c r="A75" s="9">
        <v>45000</v>
      </c>
      <c r="B75">
        <f t="shared" si="4"/>
        <v>1</v>
      </c>
      <c r="C75" s="8">
        <v>41.5</v>
      </c>
      <c r="D75">
        <v>2323</v>
      </c>
    </row>
    <row r="76" spans="1:4" x14ac:dyDescent="0.2">
      <c r="A76" s="9">
        <v>45001</v>
      </c>
      <c r="B76">
        <f t="shared" si="4"/>
        <v>1</v>
      </c>
      <c r="C76" s="8">
        <v>41</v>
      </c>
      <c r="D76">
        <v>3102</v>
      </c>
    </row>
    <row r="77" spans="1:4" x14ac:dyDescent="0.2">
      <c r="A77" s="9">
        <v>45002</v>
      </c>
      <c r="B77">
        <f t="shared" si="4"/>
        <v>1</v>
      </c>
      <c r="C77" s="8">
        <v>40.75</v>
      </c>
      <c r="D77">
        <v>2261</v>
      </c>
    </row>
    <row r="78" spans="1:4" x14ac:dyDescent="0.2">
      <c r="A78" s="9">
        <v>45003</v>
      </c>
      <c r="B78">
        <f t="shared" si="4"/>
        <v>0</v>
      </c>
      <c r="C78" s="8">
        <v>41</v>
      </c>
      <c r="D78">
        <v>2234</v>
      </c>
    </row>
    <row r="79" spans="1:4" x14ac:dyDescent="0.2">
      <c r="A79" s="9">
        <v>45004</v>
      </c>
      <c r="B79">
        <f t="shared" si="4"/>
        <v>0</v>
      </c>
      <c r="C79" s="8">
        <v>40.5</v>
      </c>
      <c r="D79">
        <v>1534</v>
      </c>
    </row>
    <row r="80" spans="1:4" x14ac:dyDescent="0.2">
      <c r="A80" s="9">
        <v>45005</v>
      </c>
      <c r="B80">
        <f t="shared" si="4"/>
        <v>1</v>
      </c>
      <c r="C80" s="8">
        <v>41</v>
      </c>
      <c r="D80">
        <v>2079</v>
      </c>
    </row>
    <row r="81" spans="1:8" x14ac:dyDescent="0.2">
      <c r="A81" s="9">
        <v>45006</v>
      </c>
      <c r="B81">
        <f t="shared" si="4"/>
        <v>1</v>
      </c>
      <c r="C81" s="8">
        <v>40.25</v>
      </c>
      <c r="D81">
        <v>2006</v>
      </c>
    </row>
    <row r="82" spans="1:8" x14ac:dyDescent="0.2">
      <c r="A82" s="9">
        <v>45007</v>
      </c>
      <c r="B82">
        <f t="shared" si="4"/>
        <v>1</v>
      </c>
      <c r="C82" s="8">
        <v>40.5</v>
      </c>
      <c r="D82">
        <v>2368</v>
      </c>
    </row>
    <row r="83" spans="1:8" x14ac:dyDescent="0.2">
      <c r="A83" s="9">
        <v>45008</v>
      </c>
      <c r="B83">
        <f t="shared" si="4"/>
        <v>1</v>
      </c>
      <c r="C83" s="8">
        <v>39.5</v>
      </c>
      <c r="D83">
        <v>2503</v>
      </c>
    </row>
    <row r="84" spans="1:8" x14ac:dyDescent="0.2">
      <c r="A84" s="9">
        <v>45009</v>
      </c>
      <c r="B84">
        <f t="shared" si="4"/>
        <v>1</v>
      </c>
      <c r="C84" s="8">
        <v>40.25</v>
      </c>
      <c r="D84">
        <v>2354</v>
      </c>
    </row>
    <row r="85" spans="1:8" x14ac:dyDescent="0.2">
      <c r="A85" s="9">
        <v>45010</v>
      </c>
      <c r="B85">
        <f t="shared" si="4"/>
        <v>0</v>
      </c>
      <c r="C85" s="8">
        <v>39.5</v>
      </c>
      <c r="D85">
        <v>2393</v>
      </c>
    </row>
    <row r="86" spans="1:8" x14ac:dyDescent="0.2">
      <c r="A86" s="9">
        <v>45011</v>
      </c>
      <c r="B86">
        <f t="shared" si="4"/>
        <v>0</v>
      </c>
      <c r="C86" s="8">
        <v>38.75</v>
      </c>
      <c r="D86">
        <v>2510</v>
      </c>
      <c r="H86" s="8"/>
    </row>
    <row r="87" spans="1:8" x14ac:dyDescent="0.2">
      <c r="A87" s="9">
        <v>45012</v>
      </c>
      <c r="B87">
        <f t="shared" si="4"/>
        <v>1</v>
      </c>
      <c r="C87" s="8">
        <v>39.25</v>
      </c>
      <c r="D87">
        <v>2132</v>
      </c>
      <c r="H87" s="8"/>
    </row>
    <row r="88" spans="1:8" x14ac:dyDescent="0.2">
      <c r="A88" s="9">
        <v>45013</v>
      </c>
      <c r="B88">
        <f t="shared" si="4"/>
        <v>1</v>
      </c>
      <c r="C88" s="8">
        <v>40.25</v>
      </c>
      <c r="D88">
        <v>2942</v>
      </c>
    </row>
    <row r="89" spans="1:8" x14ac:dyDescent="0.2">
      <c r="A89" s="9">
        <v>45014</v>
      </c>
      <c r="B89">
        <f t="shared" si="4"/>
        <v>1</v>
      </c>
      <c r="C89" s="8">
        <v>40.75</v>
      </c>
      <c r="D89">
        <v>2303</v>
      </c>
    </row>
    <row r="90" spans="1:8" x14ac:dyDescent="0.2">
      <c r="A90" s="9">
        <v>45015</v>
      </c>
      <c r="B90">
        <f t="shared" si="4"/>
        <v>1</v>
      </c>
      <c r="C90" s="8">
        <v>41.5</v>
      </c>
      <c r="D90">
        <v>2536</v>
      </c>
    </row>
    <row r="91" spans="1:8" x14ac:dyDescent="0.2">
      <c r="A91" s="9">
        <v>45016</v>
      </c>
      <c r="B91">
        <f t="shared" si="4"/>
        <v>1</v>
      </c>
      <c r="C91" s="8">
        <v>42.25</v>
      </c>
      <c r="D91">
        <v>2697</v>
      </c>
    </row>
    <row r="92" spans="1:8" x14ac:dyDescent="0.2">
      <c r="A92" s="9">
        <v>45017</v>
      </c>
      <c r="B92">
        <f t="shared" si="4"/>
        <v>0</v>
      </c>
      <c r="C92" s="8">
        <v>42.5</v>
      </c>
      <c r="D92">
        <v>1525</v>
      </c>
    </row>
    <row r="93" spans="1:8" x14ac:dyDescent="0.2">
      <c r="A93" s="9">
        <v>45018</v>
      </c>
      <c r="B93">
        <f t="shared" si="4"/>
        <v>0</v>
      </c>
      <c r="C93" s="8">
        <v>43</v>
      </c>
      <c r="D93">
        <v>1955</v>
      </c>
    </row>
    <row r="94" spans="1:8" x14ac:dyDescent="0.2">
      <c r="A94" s="9">
        <v>45019</v>
      </c>
      <c r="B94">
        <f t="shared" si="4"/>
        <v>1</v>
      </c>
      <c r="C94" s="8">
        <v>42.75</v>
      </c>
      <c r="D94">
        <v>2433</v>
      </c>
    </row>
    <row r="95" spans="1:8" x14ac:dyDescent="0.2">
      <c r="A95" s="9">
        <v>45020</v>
      </c>
      <c r="B95">
        <f t="shared" si="4"/>
        <v>1</v>
      </c>
      <c r="C95" s="8">
        <v>42.5</v>
      </c>
      <c r="D95">
        <v>2107</v>
      </c>
    </row>
    <row r="96" spans="1:8" x14ac:dyDescent="0.2">
      <c r="A96" s="9">
        <v>45021</v>
      </c>
      <c r="B96">
        <f t="shared" si="4"/>
        <v>1</v>
      </c>
      <c r="C96" s="8">
        <v>43.5</v>
      </c>
      <c r="D96">
        <v>2448</v>
      </c>
    </row>
    <row r="97" spans="1:4" x14ac:dyDescent="0.2">
      <c r="A97" s="9">
        <v>45022</v>
      </c>
      <c r="B97">
        <f t="shared" si="4"/>
        <v>1</v>
      </c>
      <c r="C97" s="8">
        <v>43.75</v>
      </c>
      <c r="D97">
        <v>2153</v>
      </c>
    </row>
    <row r="98" spans="1:4" x14ac:dyDescent="0.2">
      <c r="A98" s="9">
        <v>45023</v>
      </c>
      <c r="B98">
        <f t="shared" ref="B98:B112" si="5">IF(WEEKDAY(A98,2)&lt;6,1,0)</f>
        <v>1</v>
      </c>
      <c r="C98" s="8">
        <v>43.5</v>
      </c>
      <c r="D98">
        <v>2909</v>
      </c>
    </row>
    <row r="99" spans="1:4" x14ac:dyDescent="0.2">
      <c r="A99" s="9">
        <v>45024</v>
      </c>
      <c r="B99">
        <f t="shared" si="5"/>
        <v>0</v>
      </c>
      <c r="C99" s="8">
        <v>42.75</v>
      </c>
      <c r="D99">
        <v>2068</v>
      </c>
    </row>
    <row r="100" spans="1:4" x14ac:dyDescent="0.2">
      <c r="A100" s="9">
        <v>45025</v>
      </c>
      <c r="B100">
        <f t="shared" si="5"/>
        <v>0</v>
      </c>
      <c r="C100" s="8">
        <v>43.75</v>
      </c>
      <c r="D100">
        <v>1734</v>
      </c>
    </row>
    <row r="101" spans="1:4" x14ac:dyDescent="0.2">
      <c r="A101" s="9">
        <v>45026</v>
      </c>
      <c r="B101">
        <f t="shared" si="5"/>
        <v>1</v>
      </c>
      <c r="C101" s="8">
        <v>43</v>
      </c>
      <c r="D101">
        <v>2220</v>
      </c>
    </row>
    <row r="102" spans="1:4" x14ac:dyDescent="0.2">
      <c r="A102" s="9">
        <v>45027</v>
      </c>
      <c r="B102">
        <f t="shared" si="5"/>
        <v>1</v>
      </c>
      <c r="C102" s="8">
        <v>42.75</v>
      </c>
      <c r="D102">
        <v>2414</v>
      </c>
    </row>
    <row r="103" spans="1:4" x14ac:dyDescent="0.2">
      <c r="A103" s="9">
        <v>45028</v>
      </c>
      <c r="B103">
        <f t="shared" si="5"/>
        <v>1</v>
      </c>
      <c r="C103" s="8">
        <v>42.25</v>
      </c>
      <c r="D103">
        <v>2816</v>
      </c>
    </row>
    <row r="104" spans="1:4" x14ac:dyDescent="0.2">
      <c r="A104" s="9">
        <v>45029</v>
      </c>
      <c r="B104">
        <f t="shared" si="5"/>
        <v>1</v>
      </c>
      <c r="C104" s="8">
        <v>42.5</v>
      </c>
      <c r="D104">
        <v>2589</v>
      </c>
    </row>
    <row r="105" spans="1:4" x14ac:dyDescent="0.2">
      <c r="A105" s="9">
        <v>45030</v>
      </c>
      <c r="B105">
        <f t="shared" si="5"/>
        <v>1</v>
      </c>
      <c r="C105" s="8">
        <v>43.5</v>
      </c>
      <c r="D105">
        <v>2018</v>
      </c>
    </row>
    <row r="106" spans="1:4" x14ac:dyDescent="0.2">
      <c r="A106" s="9">
        <v>45031</v>
      </c>
      <c r="B106">
        <f t="shared" si="5"/>
        <v>0</v>
      </c>
      <c r="C106" s="8">
        <v>43</v>
      </c>
      <c r="D106">
        <v>1543</v>
      </c>
    </row>
    <row r="107" spans="1:4" x14ac:dyDescent="0.2">
      <c r="A107" s="9">
        <v>45032</v>
      </c>
      <c r="B107">
        <f t="shared" si="5"/>
        <v>0</v>
      </c>
      <c r="C107" s="8">
        <v>42.25</v>
      </c>
      <c r="D107">
        <v>2355</v>
      </c>
    </row>
    <row r="108" spans="1:4" x14ac:dyDescent="0.2">
      <c r="A108" s="9">
        <v>45033</v>
      </c>
      <c r="B108">
        <f t="shared" si="5"/>
        <v>1</v>
      </c>
      <c r="C108" s="8">
        <v>41.75</v>
      </c>
      <c r="D108">
        <v>2630</v>
      </c>
    </row>
    <row r="109" spans="1:4" x14ac:dyDescent="0.2">
      <c r="A109" s="9">
        <v>45034</v>
      </c>
      <c r="B109">
        <f t="shared" si="5"/>
        <v>1</v>
      </c>
      <c r="C109" s="8">
        <v>41.75</v>
      </c>
      <c r="D109">
        <v>2523</v>
      </c>
    </row>
    <row r="110" spans="1:4" x14ac:dyDescent="0.2">
      <c r="A110" s="9">
        <v>45035</v>
      </c>
      <c r="B110">
        <f t="shared" si="5"/>
        <v>1</v>
      </c>
      <c r="C110" s="8">
        <v>41.5</v>
      </c>
      <c r="D110">
        <v>2458</v>
      </c>
    </row>
    <row r="111" spans="1:4" x14ac:dyDescent="0.2">
      <c r="A111" s="9">
        <v>45036</v>
      </c>
      <c r="B111">
        <f t="shared" si="5"/>
        <v>1</v>
      </c>
      <c r="C111" s="8">
        <v>40.75</v>
      </c>
      <c r="D111">
        <v>2961</v>
      </c>
    </row>
    <row r="112" spans="1:4" x14ac:dyDescent="0.2">
      <c r="A112" s="9">
        <v>45037</v>
      </c>
      <c r="B112">
        <f t="shared" si="5"/>
        <v>1</v>
      </c>
      <c r="C112" s="8">
        <v>39.75</v>
      </c>
      <c r="D112">
        <v>2161</v>
      </c>
    </row>
  </sheetData>
  <pageMargins left="0.7" right="0.7" top="0.75" bottom="0.75" header="0.3" footer="0.3"/>
  <drawing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40D8-1AEE-4246-ABF1-338314AC4367}">
  <dimension ref="A2:T116"/>
  <sheetViews>
    <sheetView zoomScale="85" zoomScaleNormal="85" workbookViewId="0">
      <selection activeCell="H116" sqref="A1:H116"/>
    </sheetView>
  </sheetViews>
  <sheetFormatPr defaultRowHeight="14.25" x14ac:dyDescent="0.2"/>
  <cols>
    <col min="1" max="1" width="14.75" bestFit="1" customWidth="1"/>
    <col min="2" max="2" width="24.75" bestFit="1" customWidth="1"/>
    <col min="3" max="3" width="14.25" bestFit="1" customWidth="1"/>
    <col min="4" max="4" width="24.75" bestFit="1" customWidth="1"/>
    <col min="5" max="5" width="14.25" bestFit="1" customWidth="1"/>
    <col min="17" max="17" width="24.75" bestFit="1" customWidth="1"/>
    <col min="18" max="18" width="14.25" bestFit="1" customWidth="1"/>
    <col min="19" max="19" width="24.75" bestFit="1" customWidth="1"/>
    <col min="20" max="20" width="14.25" bestFit="1" customWidth="1"/>
  </cols>
  <sheetData>
    <row r="2" spans="1:20" x14ac:dyDescent="0.2">
      <c r="R2">
        <v>0</v>
      </c>
      <c r="T2">
        <v>1</v>
      </c>
    </row>
    <row r="3" spans="1:20" x14ac:dyDescent="0.2">
      <c r="B3" s="36" t="s">
        <v>119</v>
      </c>
      <c r="Q3" s="37" t="s">
        <v>115</v>
      </c>
      <c r="R3" s="37" t="s">
        <v>114</v>
      </c>
      <c r="S3" s="37" t="s">
        <v>115</v>
      </c>
      <c r="T3" s="37" t="s">
        <v>114</v>
      </c>
    </row>
    <row r="4" spans="1:20" x14ac:dyDescent="0.2">
      <c r="B4">
        <v>0</v>
      </c>
      <c r="D4">
        <v>1</v>
      </c>
      <c r="G4" t="s">
        <v>118</v>
      </c>
      <c r="H4" t="s">
        <v>117</v>
      </c>
      <c r="Q4">
        <v>2016</v>
      </c>
      <c r="R4">
        <v>35</v>
      </c>
    </row>
    <row r="5" spans="1:20" x14ac:dyDescent="0.2">
      <c r="A5" s="36" t="s">
        <v>116</v>
      </c>
      <c r="B5" t="s">
        <v>115</v>
      </c>
      <c r="C5" t="s">
        <v>114</v>
      </c>
      <c r="D5" t="s">
        <v>115</v>
      </c>
      <c r="E5" t="s">
        <v>114</v>
      </c>
      <c r="G5">
        <v>2016</v>
      </c>
      <c r="S5">
        <v>3075</v>
      </c>
      <c r="T5">
        <v>34</v>
      </c>
    </row>
    <row r="6" spans="1:20" x14ac:dyDescent="0.2">
      <c r="A6" s="35">
        <v>44927</v>
      </c>
      <c r="B6">
        <v>2016</v>
      </c>
      <c r="C6">
        <v>35</v>
      </c>
      <c r="H6">
        <v>3075</v>
      </c>
      <c r="S6">
        <v>3438</v>
      </c>
      <c r="T6">
        <v>33.5</v>
      </c>
    </row>
    <row r="7" spans="1:20" x14ac:dyDescent="0.2">
      <c r="A7" s="35">
        <v>44928</v>
      </c>
      <c r="D7">
        <v>3075</v>
      </c>
      <c r="E7">
        <v>34</v>
      </c>
      <c r="H7">
        <v>3438</v>
      </c>
      <c r="S7">
        <v>3505</v>
      </c>
      <c r="T7">
        <v>32.5</v>
      </c>
    </row>
    <row r="8" spans="1:20" x14ac:dyDescent="0.2">
      <c r="A8" s="35">
        <v>44929</v>
      </c>
      <c r="D8">
        <v>3438</v>
      </c>
      <c r="E8">
        <v>33.5</v>
      </c>
      <c r="H8">
        <v>3505</v>
      </c>
      <c r="S8">
        <v>2677</v>
      </c>
      <c r="T8">
        <v>33.5</v>
      </c>
    </row>
    <row r="9" spans="1:20" x14ac:dyDescent="0.2">
      <c r="A9" s="35">
        <v>44930</v>
      </c>
      <c r="D9">
        <v>3505</v>
      </c>
      <c r="E9">
        <v>32.5</v>
      </c>
      <c r="H9">
        <v>2677</v>
      </c>
      <c r="S9">
        <v>2248</v>
      </c>
      <c r="T9">
        <v>34.5</v>
      </c>
    </row>
    <row r="10" spans="1:20" x14ac:dyDescent="0.2">
      <c r="A10" s="35">
        <v>44931</v>
      </c>
      <c r="D10">
        <v>2677</v>
      </c>
      <c r="E10">
        <v>33.5</v>
      </c>
      <c r="H10">
        <v>2248</v>
      </c>
      <c r="Q10">
        <v>2207</v>
      </c>
      <c r="R10">
        <v>35</v>
      </c>
    </row>
    <row r="11" spans="1:20" ht="13.9" customHeight="1" x14ac:dyDescent="0.2">
      <c r="A11" s="35">
        <v>44932</v>
      </c>
      <c r="D11">
        <v>2248</v>
      </c>
      <c r="E11">
        <v>34.5</v>
      </c>
      <c r="G11">
        <v>2207</v>
      </c>
      <c r="Q11">
        <v>1713</v>
      </c>
      <c r="R11">
        <v>35.5</v>
      </c>
    </row>
    <row r="12" spans="1:20" x14ac:dyDescent="0.2">
      <c r="A12" s="35">
        <v>44933</v>
      </c>
      <c r="B12">
        <v>2207</v>
      </c>
      <c r="C12">
        <v>35</v>
      </c>
      <c r="G12">
        <v>1713</v>
      </c>
      <c r="S12">
        <v>3179</v>
      </c>
      <c r="T12">
        <v>35.75</v>
      </c>
    </row>
    <row r="13" spans="1:20" x14ac:dyDescent="0.2">
      <c r="A13" s="35">
        <v>44934</v>
      </c>
      <c r="B13">
        <v>1713</v>
      </c>
      <c r="C13">
        <v>35.5</v>
      </c>
      <c r="H13">
        <v>3179</v>
      </c>
      <c r="S13">
        <v>3139</v>
      </c>
      <c r="T13">
        <v>35.5</v>
      </c>
    </row>
    <row r="14" spans="1:20" x14ac:dyDescent="0.2">
      <c r="A14" s="35">
        <v>44935</v>
      </c>
      <c r="D14">
        <v>3179</v>
      </c>
      <c r="E14">
        <v>35.75</v>
      </c>
      <c r="H14">
        <v>3139</v>
      </c>
      <c r="S14">
        <v>2234</v>
      </c>
      <c r="T14">
        <v>34.75</v>
      </c>
    </row>
    <row r="15" spans="1:20" x14ac:dyDescent="0.2">
      <c r="A15" s="35">
        <v>44936</v>
      </c>
      <c r="D15">
        <v>3139</v>
      </c>
      <c r="E15">
        <v>35.5</v>
      </c>
      <c r="H15">
        <v>2234</v>
      </c>
      <c r="S15">
        <v>2333</v>
      </c>
      <c r="T15">
        <v>35.75</v>
      </c>
    </row>
    <row r="16" spans="1:20" x14ac:dyDescent="0.2">
      <c r="A16" s="35">
        <v>44937</v>
      </c>
      <c r="D16">
        <v>2234</v>
      </c>
      <c r="E16">
        <v>34.75</v>
      </c>
      <c r="H16">
        <v>2333</v>
      </c>
      <c r="S16">
        <v>2073</v>
      </c>
      <c r="T16">
        <v>35.75</v>
      </c>
    </row>
    <row r="17" spans="1:20" x14ac:dyDescent="0.2">
      <c r="A17" s="35">
        <v>44938</v>
      </c>
      <c r="D17">
        <v>2333</v>
      </c>
      <c r="E17">
        <v>35.75</v>
      </c>
      <c r="H17">
        <v>2073</v>
      </c>
      <c r="Q17">
        <v>2083</v>
      </c>
      <c r="R17">
        <v>35.25</v>
      </c>
    </row>
    <row r="18" spans="1:20" x14ac:dyDescent="0.2">
      <c r="A18" s="35">
        <v>44939</v>
      </c>
      <c r="D18">
        <v>2073</v>
      </c>
      <c r="E18">
        <v>35.75</v>
      </c>
      <c r="G18">
        <v>2083</v>
      </c>
      <c r="Q18">
        <v>2351</v>
      </c>
      <c r="R18">
        <v>34.25</v>
      </c>
    </row>
    <row r="19" spans="1:20" x14ac:dyDescent="0.2">
      <c r="A19" s="35">
        <v>44940</v>
      </c>
      <c r="B19">
        <v>2083</v>
      </c>
      <c r="C19">
        <v>35.25</v>
      </c>
      <c r="G19">
        <v>2351</v>
      </c>
      <c r="S19">
        <v>3403</v>
      </c>
      <c r="T19">
        <v>34.75</v>
      </c>
    </row>
    <row r="20" spans="1:20" x14ac:dyDescent="0.2">
      <c r="A20" s="35">
        <v>44941</v>
      </c>
      <c r="B20">
        <v>2351</v>
      </c>
      <c r="C20">
        <v>34.25</v>
      </c>
      <c r="H20">
        <v>3403</v>
      </c>
      <c r="S20">
        <v>2269</v>
      </c>
      <c r="T20">
        <v>35.5</v>
      </c>
    </row>
    <row r="21" spans="1:20" x14ac:dyDescent="0.2">
      <c r="A21" s="35">
        <v>44942</v>
      </c>
      <c r="D21">
        <v>3403</v>
      </c>
      <c r="E21">
        <v>34.75</v>
      </c>
      <c r="H21">
        <v>2269</v>
      </c>
      <c r="S21">
        <v>3200</v>
      </c>
      <c r="T21">
        <v>35</v>
      </c>
    </row>
    <row r="22" spans="1:20" x14ac:dyDescent="0.2">
      <c r="A22" s="35">
        <v>44943</v>
      </c>
      <c r="D22">
        <v>2269</v>
      </c>
      <c r="E22">
        <v>35.5</v>
      </c>
      <c r="H22">
        <v>3200</v>
      </c>
      <c r="S22">
        <v>3226</v>
      </c>
      <c r="T22">
        <v>36</v>
      </c>
    </row>
    <row r="23" spans="1:20" x14ac:dyDescent="0.2">
      <c r="A23" s="35">
        <v>44944</v>
      </c>
      <c r="D23">
        <v>3200</v>
      </c>
      <c r="E23">
        <v>35</v>
      </c>
      <c r="H23">
        <v>3226</v>
      </c>
      <c r="S23">
        <v>2519</v>
      </c>
      <c r="T23">
        <v>36.5</v>
      </c>
    </row>
    <row r="24" spans="1:20" x14ac:dyDescent="0.2">
      <c r="A24" s="35">
        <v>44945</v>
      </c>
      <c r="D24">
        <v>3226</v>
      </c>
      <c r="E24">
        <v>36</v>
      </c>
      <c r="H24">
        <v>2519</v>
      </c>
      <c r="Q24">
        <v>2465</v>
      </c>
      <c r="R24">
        <v>35.75</v>
      </c>
    </row>
    <row r="25" spans="1:20" x14ac:dyDescent="0.2">
      <c r="A25" s="35">
        <v>44946</v>
      </c>
      <c r="D25">
        <v>2519</v>
      </c>
      <c r="E25">
        <v>36.5</v>
      </c>
      <c r="G25">
        <v>2465</v>
      </c>
      <c r="Q25">
        <v>1717</v>
      </c>
      <c r="R25">
        <v>35.5</v>
      </c>
    </row>
    <row r="26" spans="1:20" x14ac:dyDescent="0.2">
      <c r="A26" s="35">
        <v>44947</v>
      </c>
      <c r="B26">
        <v>2465</v>
      </c>
      <c r="C26">
        <v>35.75</v>
      </c>
      <c r="G26">
        <v>1717</v>
      </c>
      <c r="S26">
        <v>3236</v>
      </c>
      <c r="T26">
        <v>35</v>
      </c>
    </row>
    <row r="27" spans="1:20" x14ac:dyDescent="0.2">
      <c r="A27" s="35">
        <v>44948</v>
      </c>
      <c r="B27">
        <v>1717</v>
      </c>
      <c r="C27">
        <v>35.5</v>
      </c>
      <c r="H27">
        <v>3236</v>
      </c>
      <c r="S27">
        <v>2958</v>
      </c>
      <c r="T27">
        <v>35</v>
      </c>
    </row>
    <row r="28" spans="1:20" x14ac:dyDescent="0.2">
      <c r="A28" s="35">
        <v>44949</v>
      </c>
      <c r="D28">
        <v>3236</v>
      </c>
      <c r="E28">
        <v>35</v>
      </c>
      <c r="H28">
        <v>2958</v>
      </c>
      <c r="S28">
        <v>2814</v>
      </c>
      <c r="T28">
        <v>35.25</v>
      </c>
    </row>
    <row r="29" spans="1:20" x14ac:dyDescent="0.2">
      <c r="A29" s="35">
        <v>44950</v>
      </c>
      <c r="D29">
        <v>2958</v>
      </c>
      <c r="E29">
        <v>35</v>
      </c>
      <c r="H29">
        <v>2814</v>
      </c>
      <c r="S29">
        <v>2369</v>
      </c>
      <c r="T29">
        <v>35</v>
      </c>
    </row>
    <row r="30" spans="1:20" x14ac:dyDescent="0.2">
      <c r="A30" s="35">
        <v>44951</v>
      </c>
      <c r="D30">
        <v>2814</v>
      </c>
      <c r="E30">
        <v>35.25</v>
      </c>
      <c r="H30">
        <v>2369</v>
      </c>
      <c r="S30">
        <v>2785</v>
      </c>
      <c r="T30">
        <v>35.25</v>
      </c>
    </row>
    <row r="31" spans="1:20" x14ac:dyDescent="0.2">
      <c r="A31" s="35">
        <v>44952</v>
      </c>
      <c r="D31">
        <v>2369</v>
      </c>
      <c r="E31">
        <v>35</v>
      </c>
      <c r="H31">
        <v>2785</v>
      </c>
      <c r="Q31">
        <v>2540</v>
      </c>
      <c r="R31">
        <v>35.5</v>
      </c>
    </row>
    <row r="32" spans="1:20" x14ac:dyDescent="0.2">
      <c r="A32" s="35">
        <v>44953</v>
      </c>
      <c r="D32">
        <v>2785</v>
      </c>
      <c r="E32">
        <v>35.25</v>
      </c>
      <c r="G32">
        <v>2540</v>
      </c>
      <c r="Q32">
        <v>2033</v>
      </c>
      <c r="R32">
        <v>36.25</v>
      </c>
    </row>
    <row r="33" spans="1:20" x14ac:dyDescent="0.2">
      <c r="A33" s="35">
        <v>44954</v>
      </c>
      <c r="B33">
        <v>2540</v>
      </c>
      <c r="C33">
        <v>35.5</v>
      </c>
      <c r="G33">
        <v>2033</v>
      </c>
      <c r="S33">
        <v>2957</v>
      </c>
      <c r="T33">
        <v>35.75</v>
      </c>
    </row>
    <row r="34" spans="1:20" x14ac:dyDescent="0.2">
      <c r="A34" s="35">
        <v>44955</v>
      </c>
      <c r="B34">
        <v>2033</v>
      </c>
      <c r="C34">
        <v>36.25</v>
      </c>
      <c r="H34">
        <v>2957</v>
      </c>
      <c r="S34">
        <v>3162</v>
      </c>
      <c r="T34">
        <v>35</v>
      </c>
    </row>
    <row r="35" spans="1:20" x14ac:dyDescent="0.2">
      <c r="A35" s="35">
        <v>44956</v>
      </c>
      <c r="D35">
        <v>2957</v>
      </c>
      <c r="E35">
        <v>35.75</v>
      </c>
      <c r="H35">
        <v>3162</v>
      </c>
      <c r="S35">
        <v>2246</v>
      </c>
      <c r="T35">
        <v>35</v>
      </c>
    </row>
    <row r="36" spans="1:20" x14ac:dyDescent="0.2">
      <c r="A36" s="35">
        <v>44957</v>
      </c>
      <c r="D36">
        <v>3162</v>
      </c>
      <c r="E36">
        <v>35</v>
      </c>
      <c r="H36">
        <v>2246</v>
      </c>
      <c r="S36">
        <v>2997</v>
      </c>
      <c r="T36">
        <v>35.5</v>
      </c>
    </row>
    <row r="37" spans="1:20" x14ac:dyDescent="0.2">
      <c r="A37" s="35">
        <v>44958</v>
      </c>
      <c r="D37">
        <v>2246</v>
      </c>
      <c r="E37">
        <v>35</v>
      </c>
      <c r="H37">
        <v>2997</v>
      </c>
      <c r="S37">
        <v>2426</v>
      </c>
      <c r="T37">
        <v>36.5</v>
      </c>
    </row>
    <row r="38" spans="1:20" x14ac:dyDescent="0.2">
      <c r="A38" s="35">
        <v>44959</v>
      </c>
      <c r="D38">
        <v>2997</v>
      </c>
      <c r="E38">
        <v>35.5</v>
      </c>
      <c r="H38">
        <v>2426</v>
      </c>
      <c r="Q38">
        <v>1867</v>
      </c>
      <c r="R38">
        <v>36.25</v>
      </c>
    </row>
    <row r="39" spans="1:20" x14ac:dyDescent="0.2">
      <c r="A39" s="35">
        <v>44960</v>
      </c>
      <c r="D39">
        <v>2426</v>
      </c>
      <c r="E39">
        <v>36.5</v>
      </c>
      <c r="G39">
        <v>1867</v>
      </c>
      <c r="Q39">
        <v>1974</v>
      </c>
      <c r="R39">
        <v>37.25</v>
      </c>
    </row>
    <row r="40" spans="1:20" x14ac:dyDescent="0.2">
      <c r="A40" s="35">
        <v>44961</v>
      </c>
      <c r="B40">
        <v>1867</v>
      </c>
      <c r="C40">
        <v>36.25</v>
      </c>
      <c r="G40">
        <v>1974</v>
      </c>
      <c r="S40">
        <v>3111</v>
      </c>
      <c r="T40">
        <v>37.25</v>
      </c>
    </row>
    <row r="41" spans="1:20" x14ac:dyDescent="0.2">
      <c r="A41" s="35">
        <v>44962</v>
      </c>
      <c r="B41">
        <v>1974</v>
      </c>
      <c r="C41">
        <v>37.25</v>
      </c>
      <c r="H41">
        <v>3111</v>
      </c>
      <c r="S41">
        <v>2590</v>
      </c>
      <c r="T41">
        <v>36.75</v>
      </c>
    </row>
    <row r="42" spans="1:20" x14ac:dyDescent="0.2">
      <c r="A42" s="35">
        <v>44963</v>
      </c>
      <c r="D42">
        <v>3111</v>
      </c>
      <c r="E42">
        <v>37.25</v>
      </c>
      <c r="H42">
        <v>2590</v>
      </c>
      <c r="S42">
        <v>2491</v>
      </c>
      <c r="T42">
        <v>37.25</v>
      </c>
    </row>
    <row r="43" spans="1:20" x14ac:dyDescent="0.2">
      <c r="A43" s="35">
        <v>44964</v>
      </c>
      <c r="D43">
        <v>2590</v>
      </c>
      <c r="E43">
        <v>36.75</v>
      </c>
      <c r="H43">
        <v>2491</v>
      </c>
      <c r="S43">
        <v>3247</v>
      </c>
      <c r="T43">
        <v>36.75</v>
      </c>
    </row>
    <row r="44" spans="1:20" x14ac:dyDescent="0.2">
      <c r="A44" s="35">
        <v>44965</v>
      </c>
      <c r="D44">
        <v>2491</v>
      </c>
      <c r="E44">
        <v>37.25</v>
      </c>
      <c r="H44">
        <v>3247</v>
      </c>
      <c r="S44">
        <v>3079</v>
      </c>
      <c r="T44">
        <v>37.5</v>
      </c>
    </row>
    <row r="45" spans="1:20" x14ac:dyDescent="0.2">
      <c r="A45" s="35">
        <v>44966</v>
      </c>
      <c r="D45">
        <v>3247</v>
      </c>
      <c r="E45">
        <v>36.75</v>
      </c>
      <c r="H45">
        <v>3079</v>
      </c>
      <c r="Q45">
        <v>2671</v>
      </c>
      <c r="R45">
        <v>36.5</v>
      </c>
    </row>
    <row r="46" spans="1:20" x14ac:dyDescent="0.2">
      <c r="A46" s="35">
        <v>44967</v>
      </c>
      <c r="D46">
        <v>3079</v>
      </c>
      <c r="E46">
        <v>37.5</v>
      </c>
      <c r="G46">
        <v>2671</v>
      </c>
      <c r="Q46">
        <v>1842</v>
      </c>
      <c r="R46">
        <v>37.25</v>
      </c>
    </row>
    <row r="47" spans="1:20" x14ac:dyDescent="0.2">
      <c r="A47" s="35">
        <v>44968</v>
      </c>
      <c r="B47">
        <v>2671</v>
      </c>
      <c r="C47">
        <v>36.5</v>
      </c>
      <c r="G47">
        <v>1842</v>
      </c>
      <c r="S47">
        <v>2404</v>
      </c>
      <c r="T47">
        <v>38.25</v>
      </c>
    </row>
    <row r="48" spans="1:20" x14ac:dyDescent="0.2">
      <c r="A48" s="35">
        <v>44969</v>
      </c>
      <c r="B48">
        <v>1842</v>
      </c>
      <c r="C48">
        <v>37.25</v>
      </c>
      <c r="H48">
        <v>2404</v>
      </c>
      <c r="S48">
        <v>3061</v>
      </c>
      <c r="T48">
        <v>37.5</v>
      </c>
    </row>
    <row r="49" spans="1:20" x14ac:dyDescent="0.2">
      <c r="A49" s="35">
        <v>44970</v>
      </c>
      <c r="D49">
        <v>2404</v>
      </c>
      <c r="E49">
        <v>38.25</v>
      </c>
      <c r="H49">
        <v>3061</v>
      </c>
      <c r="S49">
        <v>2380</v>
      </c>
      <c r="T49">
        <v>38</v>
      </c>
    </row>
    <row r="50" spans="1:20" x14ac:dyDescent="0.2">
      <c r="A50" s="35">
        <v>44971</v>
      </c>
      <c r="D50">
        <v>3061</v>
      </c>
      <c r="E50">
        <v>37.5</v>
      </c>
      <c r="H50">
        <v>2380</v>
      </c>
      <c r="S50">
        <v>2026</v>
      </c>
      <c r="T50">
        <v>38.25</v>
      </c>
    </row>
    <row r="51" spans="1:20" x14ac:dyDescent="0.2">
      <c r="A51" s="35">
        <v>44972</v>
      </c>
      <c r="D51">
        <v>2380</v>
      </c>
      <c r="E51">
        <v>38</v>
      </c>
      <c r="H51">
        <v>2026</v>
      </c>
      <c r="S51">
        <v>2178</v>
      </c>
      <c r="T51">
        <v>37.25</v>
      </c>
    </row>
    <row r="52" spans="1:20" x14ac:dyDescent="0.2">
      <c r="A52" s="35">
        <v>44973</v>
      </c>
      <c r="D52">
        <v>2026</v>
      </c>
      <c r="E52">
        <v>38.25</v>
      </c>
      <c r="H52">
        <v>2178</v>
      </c>
      <c r="Q52">
        <v>2113</v>
      </c>
      <c r="R52">
        <v>38.25</v>
      </c>
    </row>
    <row r="53" spans="1:20" x14ac:dyDescent="0.2">
      <c r="A53" s="35">
        <v>44974</v>
      </c>
      <c r="D53">
        <v>2178</v>
      </c>
      <c r="E53">
        <v>37.25</v>
      </c>
      <c r="G53">
        <v>2113</v>
      </c>
      <c r="Q53">
        <v>2300</v>
      </c>
      <c r="R53">
        <v>37.5</v>
      </c>
    </row>
    <row r="54" spans="1:20" x14ac:dyDescent="0.2">
      <c r="A54" s="35">
        <v>44975</v>
      </c>
      <c r="B54">
        <v>2113</v>
      </c>
      <c r="C54">
        <v>38.25</v>
      </c>
      <c r="G54">
        <v>2300</v>
      </c>
      <c r="S54">
        <v>2523</v>
      </c>
      <c r="T54">
        <v>37.25</v>
      </c>
    </row>
    <row r="55" spans="1:20" x14ac:dyDescent="0.2">
      <c r="A55" s="35">
        <v>44976</v>
      </c>
      <c r="B55">
        <v>2300</v>
      </c>
      <c r="C55">
        <v>37.5</v>
      </c>
      <c r="H55">
        <v>2523</v>
      </c>
      <c r="S55">
        <v>2309</v>
      </c>
      <c r="T55">
        <v>36.75</v>
      </c>
    </row>
    <row r="56" spans="1:20" x14ac:dyDescent="0.2">
      <c r="A56" s="35">
        <v>44977</v>
      </c>
      <c r="D56">
        <v>2523</v>
      </c>
      <c r="E56">
        <v>37.25</v>
      </c>
      <c r="H56">
        <v>2309</v>
      </c>
      <c r="S56">
        <v>3442</v>
      </c>
      <c r="T56">
        <v>35.75</v>
      </c>
    </row>
    <row r="57" spans="1:20" x14ac:dyDescent="0.2">
      <c r="A57" s="35">
        <v>44978</v>
      </c>
      <c r="D57">
        <v>2309</v>
      </c>
      <c r="E57">
        <v>36.75</v>
      </c>
      <c r="H57">
        <v>3442</v>
      </c>
      <c r="S57">
        <v>2794</v>
      </c>
      <c r="T57">
        <v>35.5</v>
      </c>
    </row>
    <row r="58" spans="1:20" x14ac:dyDescent="0.2">
      <c r="A58" s="35">
        <v>44979</v>
      </c>
      <c r="D58">
        <v>3442</v>
      </c>
      <c r="E58">
        <v>35.75</v>
      </c>
      <c r="H58">
        <v>2794</v>
      </c>
      <c r="S58">
        <v>2226</v>
      </c>
      <c r="T58">
        <v>35.75</v>
      </c>
    </row>
    <row r="59" spans="1:20" x14ac:dyDescent="0.2">
      <c r="A59" s="35">
        <v>44980</v>
      </c>
      <c r="D59">
        <v>2794</v>
      </c>
      <c r="E59">
        <v>35.5</v>
      </c>
      <c r="H59">
        <v>2226</v>
      </c>
      <c r="Q59">
        <v>2423</v>
      </c>
      <c r="R59">
        <v>35.75</v>
      </c>
    </row>
    <row r="60" spans="1:20" x14ac:dyDescent="0.2">
      <c r="A60" s="35">
        <v>44981</v>
      </c>
      <c r="D60">
        <v>2226</v>
      </c>
      <c r="E60">
        <v>35.75</v>
      </c>
      <c r="G60">
        <v>2423</v>
      </c>
      <c r="Q60">
        <v>1893</v>
      </c>
      <c r="R60">
        <v>36.75</v>
      </c>
    </row>
    <row r="61" spans="1:20" x14ac:dyDescent="0.2">
      <c r="A61" s="35">
        <v>44982</v>
      </c>
      <c r="B61">
        <v>2423</v>
      </c>
      <c r="C61">
        <v>35.75</v>
      </c>
      <c r="G61">
        <v>1893</v>
      </c>
      <c r="S61">
        <v>2391</v>
      </c>
      <c r="T61">
        <v>36.75</v>
      </c>
    </row>
    <row r="62" spans="1:20" x14ac:dyDescent="0.2">
      <c r="A62" s="35">
        <v>44983</v>
      </c>
      <c r="B62">
        <v>1893</v>
      </c>
      <c r="C62">
        <v>36.75</v>
      </c>
      <c r="H62">
        <v>2391</v>
      </c>
      <c r="S62">
        <v>3202</v>
      </c>
      <c r="T62">
        <v>37.25</v>
      </c>
    </row>
    <row r="63" spans="1:20" x14ac:dyDescent="0.2">
      <c r="A63" s="35">
        <v>44984</v>
      </c>
      <c r="D63">
        <v>2391</v>
      </c>
      <c r="E63">
        <v>36.75</v>
      </c>
      <c r="H63">
        <v>3202</v>
      </c>
      <c r="S63">
        <v>2568</v>
      </c>
      <c r="T63">
        <v>38</v>
      </c>
    </row>
    <row r="64" spans="1:20" x14ac:dyDescent="0.2">
      <c r="A64" s="35">
        <v>44985</v>
      </c>
      <c r="D64">
        <v>3202</v>
      </c>
      <c r="E64">
        <v>37.25</v>
      </c>
      <c r="H64">
        <v>2568</v>
      </c>
      <c r="S64">
        <v>3307</v>
      </c>
      <c r="T64">
        <v>38</v>
      </c>
    </row>
    <row r="65" spans="1:20" x14ac:dyDescent="0.2">
      <c r="A65" s="35">
        <v>44986</v>
      </c>
      <c r="D65">
        <v>2568</v>
      </c>
      <c r="E65">
        <v>38</v>
      </c>
      <c r="H65">
        <v>3307</v>
      </c>
      <c r="S65">
        <v>2025</v>
      </c>
      <c r="T65">
        <v>39</v>
      </c>
    </row>
    <row r="66" spans="1:20" x14ac:dyDescent="0.2">
      <c r="A66" s="35">
        <v>44987</v>
      </c>
      <c r="D66">
        <v>3307</v>
      </c>
      <c r="E66">
        <v>38</v>
      </c>
      <c r="H66">
        <v>2025</v>
      </c>
      <c r="Q66">
        <v>1754</v>
      </c>
      <c r="R66">
        <v>39</v>
      </c>
    </row>
    <row r="67" spans="1:20" x14ac:dyDescent="0.2">
      <c r="A67" s="35">
        <v>44988</v>
      </c>
      <c r="D67">
        <v>2025</v>
      </c>
      <c r="E67">
        <v>39</v>
      </c>
      <c r="G67">
        <v>1754</v>
      </c>
      <c r="Q67">
        <v>2130</v>
      </c>
      <c r="R67">
        <v>38.5</v>
      </c>
    </row>
    <row r="68" spans="1:20" x14ac:dyDescent="0.2">
      <c r="A68" s="35">
        <v>44989</v>
      </c>
      <c r="B68">
        <v>1754</v>
      </c>
      <c r="C68">
        <v>39</v>
      </c>
      <c r="G68">
        <v>2130</v>
      </c>
      <c r="S68">
        <v>2357</v>
      </c>
      <c r="T68">
        <v>37.5</v>
      </c>
    </row>
    <row r="69" spans="1:20" x14ac:dyDescent="0.2">
      <c r="A69" s="35">
        <v>44990</v>
      </c>
      <c r="B69">
        <v>2130</v>
      </c>
      <c r="C69">
        <v>38.5</v>
      </c>
      <c r="H69">
        <v>2357</v>
      </c>
      <c r="S69">
        <v>2235</v>
      </c>
      <c r="T69">
        <v>38.25</v>
      </c>
    </row>
    <row r="70" spans="1:20" x14ac:dyDescent="0.2">
      <c r="A70" s="35">
        <v>44991</v>
      </c>
      <c r="D70">
        <v>2357</v>
      </c>
      <c r="E70">
        <v>37.5</v>
      </c>
      <c r="H70">
        <v>2235</v>
      </c>
      <c r="S70">
        <v>3195</v>
      </c>
      <c r="T70">
        <v>39</v>
      </c>
    </row>
    <row r="71" spans="1:20" x14ac:dyDescent="0.2">
      <c r="A71" s="35">
        <v>44992</v>
      </c>
      <c r="D71">
        <v>2235</v>
      </c>
      <c r="E71">
        <v>38.25</v>
      </c>
      <c r="H71">
        <v>3195</v>
      </c>
      <c r="S71">
        <v>2457</v>
      </c>
      <c r="T71">
        <v>39</v>
      </c>
    </row>
    <row r="72" spans="1:20" x14ac:dyDescent="0.2">
      <c r="A72" s="35">
        <v>44993</v>
      </c>
      <c r="D72">
        <v>3195</v>
      </c>
      <c r="E72">
        <v>39</v>
      </c>
      <c r="H72">
        <v>2457</v>
      </c>
      <c r="S72">
        <v>3269</v>
      </c>
      <c r="T72">
        <v>38.5</v>
      </c>
    </row>
    <row r="73" spans="1:20" x14ac:dyDescent="0.2">
      <c r="A73" s="35">
        <v>44994</v>
      </c>
      <c r="D73">
        <v>2457</v>
      </c>
      <c r="E73">
        <v>39</v>
      </c>
      <c r="H73">
        <v>3269</v>
      </c>
      <c r="Q73">
        <v>2129</v>
      </c>
      <c r="R73">
        <v>38.25</v>
      </c>
    </row>
    <row r="74" spans="1:20" x14ac:dyDescent="0.2">
      <c r="A74" s="35">
        <v>44995</v>
      </c>
      <c r="D74">
        <v>3269</v>
      </c>
      <c r="E74">
        <v>38.5</v>
      </c>
      <c r="G74">
        <v>2129</v>
      </c>
      <c r="Q74">
        <v>1794</v>
      </c>
      <c r="R74">
        <v>39.25</v>
      </c>
    </row>
    <row r="75" spans="1:20" x14ac:dyDescent="0.2">
      <c r="A75" s="35">
        <v>44996</v>
      </c>
      <c r="B75">
        <v>2129</v>
      </c>
      <c r="C75">
        <v>38.25</v>
      </c>
      <c r="G75">
        <v>1794</v>
      </c>
      <c r="S75">
        <v>2951</v>
      </c>
      <c r="T75">
        <v>40</v>
      </c>
    </row>
    <row r="76" spans="1:20" x14ac:dyDescent="0.2">
      <c r="A76" s="35">
        <v>44997</v>
      </c>
      <c r="B76">
        <v>1794</v>
      </c>
      <c r="C76">
        <v>39.25</v>
      </c>
      <c r="H76">
        <v>2951</v>
      </c>
      <c r="S76">
        <v>2996</v>
      </c>
      <c r="T76">
        <v>40.5</v>
      </c>
    </row>
    <row r="77" spans="1:20" x14ac:dyDescent="0.2">
      <c r="A77" s="35">
        <v>44998</v>
      </c>
      <c r="D77">
        <v>2951</v>
      </c>
      <c r="E77">
        <v>40</v>
      </c>
      <c r="H77">
        <v>2996</v>
      </c>
      <c r="S77">
        <v>2323</v>
      </c>
      <c r="T77">
        <v>41.5</v>
      </c>
    </row>
    <row r="78" spans="1:20" x14ac:dyDescent="0.2">
      <c r="A78" s="35">
        <v>44999</v>
      </c>
      <c r="D78">
        <v>2996</v>
      </c>
      <c r="E78">
        <v>40.5</v>
      </c>
      <c r="H78">
        <v>2323</v>
      </c>
      <c r="S78">
        <v>3102</v>
      </c>
      <c r="T78">
        <v>41</v>
      </c>
    </row>
    <row r="79" spans="1:20" x14ac:dyDescent="0.2">
      <c r="A79" s="35">
        <v>45000</v>
      </c>
      <c r="D79">
        <v>2323</v>
      </c>
      <c r="E79">
        <v>41.5</v>
      </c>
      <c r="H79">
        <v>3102</v>
      </c>
      <c r="S79">
        <v>2261</v>
      </c>
      <c r="T79">
        <v>40.75</v>
      </c>
    </row>
    <row r="80" spans="1:20" x14ac:dyDescent="0.2">
      <c r="A80" s="35">
        <v>45001</v>
      </c>
      <c r="D80">
        <v>3102</v>
      </c>
      <c r="E80">
        <v>41</v>
      </c>
      <c r="H80">
        <v>2261</v>
      </c>
      <c r="Q80">
        <v>2234</v>
      </c>
      <c r="R80">
        <v>41</v>
      </c>
    </row>
    <row r="81" spans="1:20" x14ac:dyDescent="0.2">
      <c r="A81" s="35">
        <v>45002</v>
      </c>
      <c r="D81">
        <v>2261</v>
      </c>
      <c r="E81">
        <v>40.75</v>
      </c>
      <c r="G81">
        <v>2234</v>
      </c>
      <c r="Q81">
        <v>1534</v>
      </c>
      <c r="R81">
        <v>40.5</v>
      </c>
    </row>
    <row r="82" spans="1:20" x14ac:dyDescent="0.2">
      <c r="A82" s="35">
        <v>45003</v>
      </c>
      <c r="B82">
        <v>2234</v>
      </c>
      <c r="C82">
        <v>41</v>
      </c>
      <c r="G82">
        <v>1534</v>
      </c>
      <c r="S82">
        <v>2079</v>
      </c>
      <c r="T82">
        <v>41</v>
      </c>
    </row>
    <row r="83" spans="1:20" x14ac:dyDescent="0.2">
      <c r="A83" s="35">
        <v>45004</v>
      </c>
      <c r="B83">
        <v>1534</v>
      </c>
      <c r="C83">
        <v>40.5</v>
      </c>
      <c r="H83">
        <v>2079</v>
      </c>
      <c r="S83">
        <v>2006</v>
      </c>
      <c r="T83">
        <v>40.25</v>
      </c>
    </row>
    <row r="84" spans="1:20" x14ac:dyDescent="0.2">
      <c r="A84" s="35">
        <v>45005</v>
      </c>
      <c r="D84">
        <v>2079</v>
      </c>
      <c r="E84">
        <v>41</v>
      </c>
      <c r="H84">
        <v>2006</v>
      </c>
      <c r="S84">
        <v>2368</v>
      </c>
      <c r="T84">
        <v>40.5</v>
      </c>
    </row>
    <row r="85" spans="1:20" x14ac:dyDescent="0.2">
      <c r="A85" s="35">
        <v>45006</v>
      </c>
      <c r="D85">
        <v>2006</v>
      </c>
      <c r="E85">
        <v>40.25</v>
      </c>
      <c r="H85">
        <v>2368</v>
      </c>
      <c r="S85">
        <v>2503</v>
      </c>
      <c r="T85">
        <v>39.5</v>
      </c>
    </row>
    <row r="86" spans="1:20" x14ac:dyDescent="0.2">
      <c r="A86" s="35">
        <v>45007</v>
      </c>
      <c r="D86">
        <v>2368</v>
      </c>
      <c r="E86">
        <v>40.5</v>
      </c>
      <c r="H86">
        <v>2503</v>
      </c>
      <c r="S86">
        <v>2354</v>
      </c>
      <c r="T86">
        <v>40.25</v>
      </c>
    </row>
    <row r="87" spans="1:20" x14ac:dyDescent="0.2">
      <c r="A87" s="35">
        <v>45008</v>
      </c>
      <c r="D87">
        <v>2503</v>
      </c>
      <c r="E87">
        <v>39.5</v>
      </c>
      <c r="H87">
        <v>2354</v>
      </c>
      <c r="Q87">
        <v>2393</v>
      </c>
      <c r="R87">
        <v>39.5</v>
      </c>
    </row>
    <row r="88" spans="1:20" x14ac:dyDescent="0.2">
      <c r="A88" s="35">
        <v>45009</v>
      </c>
      <c r="D88">
        <v>2354</v>
      </c>
      <c r="E88">
        <v>40.25</v>
      </c>
      <c r="G88">
        <v>2393</v>
      </c>
      <c r="Q88">
        <v>2510</v>
      </c>
      <c r="R88">
        <v>38.75</v>
      </c>
    </row>
    <row r="89" spans="1:20" x14ac:dyDescent="0.2">
      <c r="A89" s="35">
        <v>45010</v>
      </c>
      <c r="B89">
        <v>2393</v>
      </c>
      <c r="C89">
        <v>39.5</v>
      </c>
      <c r="G89">
        <v>2510</v>
      </c>
      <c r="S89">
        <v>2132</v>
      </c>
      <c r="T89">
        <v>39.25</v>
      </c>
    </row>
    <row r="90" spans="1:20" x14ac:dyDescent="0.2">
      <c r="A90" s="35">
        <v>45011</v>
      </c>
      <c r="B90">
        <v>2510</v>
      </c>
      <c r="C90">
        <v>38.75</v>
      </c>
      <c r="H90">
        <v>2132</v>
      </c>
      <c r="S90">
        <v>2942</v>
      </c>
      <c r="T90">
        <v>40.25</v>
      </c>
    </row>
    <row r="91" spans="1:20" x14ac:dyDescent="0.2">
      <c r="A91" s="35">
        <v>45012</v>
      </c>
      <c r="D91">
        <v>2132</v>
      </c>
      <c r="E91">
        <v>39.25</v>
      </c>
      <c r="H91">
        <v>2942</v>
      </c>
      <c r="S91">
        <v>2303</v>
      </c>
      <c r="T91">
        <v>40.75</v>
      </c>
    </row>
    <row r="92" spans="1:20" x14ac:dyDescent="0.2">
      <c r="A92" s="35">
        <v>45013</v>
      </c>
      <c r="D92">
        <v>2942</v>
      </c>
      <c r="E92">
        <v>40.25</v>
      </c>
      <c r="H92">
        <v>2303</v>
      </c>
      <c r="S92">
        <v>2536</v>
      </c>
      <c r="T92">
        <v>41.5</v>
      </c>
    </row>
    <row r="93" spans="1:20" x14ac:dyDescent="0.2">
      <c r="A93" s="35">
        <v>45014</v>
      </c>
      <c r="D93">
        <v>2303</v>
      </c>
      <c r="E93">
        <v>40.75</v>
      </c>
      <c r="H93">
        <v>2536</v>
      </c>
      <c r="S93">
        <v>2697</v>
      </c>
      <c r="T93">
        <v>42.25</v>
      </c>
    </row>
    <row r="94" spans="1:20" x14ac:dyDescent="0.2">
      <c r="A94" s="35">
        <v>45015</v>
      </c>
      <c r="D94">
        <v>2536</v>
      </c>
      <c r="E94">
        <v>41.5</v>
      </c>
      <c r="H94">
        <v>2697</v>
      </c>
      <c r="Q94">
        <v>1525</v>
      </c>
      <c r="R94">
        <v>42.5</v>
      </c>
    </row>
    <row r="95" spans="1:20" x14ac:dyDescent="0.2">
      <c r="A95" s="35">
        <v>45016</v>
      </c>
      <c r="D95">
        <v>2697</v>
      </c>
      <c r="E95">
        <v>42.25</v>
      </c>
      <c r="G95">
        <v>1525</v>
      </c>
      <c r="Q95">
        <v>1955</v>
      </c>
      <c r="R95">
        <v>43</v>
      </c>
    </row>
    <row r="96" spans="1:20" x14ac:dyDescent="0.2">
      <c r="A96" s="35">
        <v>45017</v>
      </c>
      <c r="B96">
        <v>1525</v>
      </c>
      <c r="C96">
        <v>42.5</v>
      </c>
      <c r="G96">
        <v>1955</v>
      </c>
      <c r="S96">
        <v>2433</v>
      </c>
      <c r="T96">
        <v>42.75</v>
      </c>
    </row>
    <row r="97" spans="1:20" x14ac:dyDescent="0.2">
      <c r="A97" s="35">
        <v>45018</v>
      </c>
      <c r="B97">
        <v>1955</v>
      </c>
      <c r="C97">
        <v>43</v>
      </c>
      <c r="H97">
        <v>2433</v>
      </c>
      <c r="S97">
        <v>2107</v>
      </c>
      <c r="T97">
        <v>42.5</v>
      </c>
    </row>
    <row r="98" spans="1:20" x14ac:dyDescent="0.2">
      <c r="A98" s="35">
        <v>45019</v>
      </c>
      <c r="D98">
        <v>2433</v>
      </c>
      <c r="E98">
        <v>42.75</v>
      </c>
      <c r="H98">
        <v>2107</v>
      </c>
      <c r="S98">
        <v>2448</v>
      </c>
      <c r="T98">
        <v>43.5</v>
      </c>
    </row>
    <row r="99" spans="1:20" x14ac:dyDescent="0.2">
      <c r="A99" s="35">
        <v>45020</v>
      </c>
      <c r="D99">
        <v>2107</v>
      </c>
      <c r="E99">
        <v>42.5</v>
      </c>
      <c r="H99">
        <v>2448</v>
      </c>
      <c r="S99">
        <v>2153</v>
      </c>
      <c r="T99">
        <v>43.75</v>
      </c>
    </row>
    <row r="100" spans="1:20" x14ac:dyDescent="0.2">
      <c r="A100" s="35">
        <v>45021</v>
      </c>
      <c r="D100">
        <v>2448</v>
      </c>
      <c r="E100">
        <v>43.5</v>
      </c>
      <c r="H100">
        <v>2153</v>
      </c>
      <c r="S100">
        <v>2909</v>
      </c>
      <c r="T100">
        <v>43.5</v>
      </c>
    </row>
    <row r="101" spans="1:20" x14ac:dyDescent="0.2">
      <c r="A101" s="35">
        <v>45022</v>
      </c>
      <c r="D101">
        <v>2153</v>
      </c>
      <c r="E101">
        <v>43.75</v>
      </c>
      <c r="H101">
        <v>2909</v>
      </c>
      <c r="Q101">
        <v>2068</v>
      </c>
      <c r="R101">
        <v>42.75</v>
      </c>
    </row>
    <row r="102" spans="1:20" x14ac:dyDescent="0.2">
      <c r="A102" s="35">
        <v>45023</v>
      </c>
      <c r="D102">
        <v>2909</v>
      </c>
      <c r="E102">
        <v>43.5</v>
      </c>
      <c r="G102">
        <v>2068</v>
      </c>
      <c r="Q102">
        <v>1734</v>
      </c>
      <c r="R102">
        <v>43.75</v>
      </c>
    </row>
    <row r="103" spans="1:20" x14ac:dyDescent="0.2">
      <c r="A103" s="35">
        <v>45024</v>
      </c>
      <c r="B103">
        <v>2068</v>
      </c>
      <c r="C103">
        <v>42.75</v>
      </c>
      <c r="G103">
        <v>1734</v>
      </c>
      <c r="S103">
        <v>2220</v>
      </c>
      <c r="T103">
        <v>43</v>
      </c>
    </row>
    <row r="104" spans="1:20" x14ac:dyDescent="0.2">
      <c r="A104" s="35">
        <v>45025</v>
      </c>
      <c r="B104">
        <v>1734</v>
      </c>
      <c r="C104">
        <v>43.75</v>
      </c>
      <c r="H104">
        <v>2220</v>
      </c>
      <c r="S104">
        <v>2414</v>
      </c>
      <c r="T104">
        <v>42.75</v>
      </c>
    </row>
    <row r="105" spans="1:20" x14ac:dyDescent="0.2">
      <c r="A105" s="35">
        <v>45026</v>
      </c>
      <c r="D105">
        <v>2220</v>
      </c>
      <c r="E105">
        <v>43</v>
      </c>
      <c r="H105">
        <v>2414</v>
      </c>
      <c r="S105">
        <v>2816</v>
      </c>
      <c r="T105">
        <v>42.25</v>
      </c>
    </row>
    <row r="106" spans="1:20" x14ac:dyDescent="0.2">
      <c r="A106" s="35">
        <v>45027</v>
      </c>
      <c r="D106">
        <v>2414</v>
      </c>
      <c r="E106">
        <v>42.75</v>
      </c>
      <c r="H106">
        <v>2816</v>
      </c>
      <c r="S106">
        <v>2589</v>
      </c>
      <c r="T106">
        <v>42.5</v>
      </c>
    </row>
    <row r="107" spans="1:20" x14ac:dyDescent="0.2">
      <c r="A107" s="35">
        <v>45028</v>
      </c>
      <c r="D107">
        <v>2816</v>
      </c>
      <c r="E107">
        <v>42.25</v>
      </c>
      <c r="H107">
        <v>2589</v>
      </c>
      <c r="S107">
        <v>2018</v>
      </c>
      <c r="T107">
        <v>43.5</v>
      </c>
    </row>
    <row r="108" spans="1:20" x14ac:dyDescent="0.2">
      <c r="A108" s="35">
        <v>45029</v>
      </c>
      <c r="D108">
        <v>2589</v>
      </c>
      <c r="E108">
        <v>42.5</v>
      </c>
      <c r="H108">
        <v>2018</v>
      </c>
      <c r="Q108">
        <v>1543</v>
      </c>
      <c r="R108">
        <v>43</v>
      </c>
    </row>
    <row r="109" spans="1:20" x14ac:dyDescent="0.2">
      <c r="A109" s="35">
        <v>45030</v>
      </c>
      <c r="D109">
        <v>2018</v>
      </c>
      <c r="E109">
        <v>43.5</v>
      </c>
      <c r="G109">
        <v>1543</v>
      </c>
      <c r="Q109">
        <v>2355</v>
      </c>
      <c r="R109">
        <v>42.25</v>
      </c>
    </row>
    <row r="110" spans="1:20" x14ac:dyDescent="0.2">
      <c r="A110" s="35">
        <v>45031</v>
      </c>
      <c r="B110">
        <v>1543</v>
      </c>
      <c r="C110">
        <v>43</v>
      </c>
      <c r="G110">
        <v>2355</v>
      </c>
      <c r="S110">
        <v>2630</v>
      </c>
      <c r="T110">
        <v>41.75</v>
      </c>
    </row>
    <row r="111" spans="1:20" x14ac:dyDescent="0.2">
      <c r="A111" s="35">
        <v>45032</v>
      </c>
      <c r="B111">
        <v>2355</v>
      </c>
      <c r="C111">
        <v>42.25</v>
      </c>
      <c r="H111">
        <v>2630</v>
      </c>
      <c r="S111">
        <v>2523</v>
      </c>
      <c r="T111">
        <v>41.75</v>
      </c>
    </row>
    <row r="112" spans="1:20" x14ac:dyDescent="0.2">
      <c r="A112" s="35">
        <v>45033</v>
      </c>
      <c r="D112">
        <v>2630</v>
      </c>
      <c r="E112">
        <v>41.75</v>
      </c>
      <c r="H112">
        <v>2523</v>
      </c>
      <c r="S112">
        <v>2458</v>
      </c>
      <c r="T112">
        <v>41.5</v>
      </c>
    </row>
    <row r="113" spans="1:20" x14ac:dyDescent="0.2">
      <c r="A113" s="35">
        <v>45034</v>
      </c>
      <c r="D113">
        <v>2523</v>
      </c>
      <c r="E113">
        <v>41.75</v>
      </c>
      <c r="H113">
        <v>2458</v>
      </c>
      <c r="S113">
        <v>2961</v>
      </c>
      <c r="T113">
        <v>40.75</v>
      </c>
    </row>
    <row r="114" spans="1:20" x14ac:dyDescent="0.2">
      <c r="A114" s="35">
        <v>45035</v>
      </c>
      <c r="D114">
        <v>2458</v>
      </c>
      <c r="E114">
        <v>41.5</v>
      </c>
      <c r="H114">
        <v>2961</v>
      </c>
      <c r="S114">
        <v>2161</v>
      </c>
      <c r="T114">
        <v>39.75</v>
      </c>
    </row>
    <row r="115" spans="1:20" x14ac:dyDescent="0.2">
      <c r="A115" s="35">
        <v>45036</v>
      </c>
      <c r="D115">
        <v>2961</v>
      </c>
      <c r="E115">
        <v>40.75</v>
      </c>
      <c r="H115">
        <v>2161</v>
      </c>
    </row>
    <row r="116" spans="1:20" x14ac:dyDescent="0.2">
      <c r="A116" s="35">
        <v>45037</v>
      </c>
      <c r="D116">
        <v>2161</v>
      </c>
      <c r="E116">
        <v>39.75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BMI_Goal Seak</vt:lpstr>
      <vt:lpstr>IRR</vt:lpstr>
      <vt:lpstr>LR_Forecast</vt:lpstr>
      <vt:lpstr>LR_Line Chart</vt:lpstr>
      <vt:lpstr>LR_Add-ins</vt:lpstr>
      <vt:lpstr>LR_Add-ins2</vt:lpstr>
      <vt:lpstr>LR_Forecast ETS</vt:lpstr>
      <vt:lpstr>Forecast Tools</vt:lpstr>
      <vt:lpstr>Demand_Forecast</vt:lpstr>
      <vt:lpstr>Scatter Plot</vt:lpstr>
      <vt:lpstr>Scatter Plot 2x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Nattapong TH</dc:creator>
  <cp:lastModifiedBy>2010511104009 Phatchara Soroschokchai</cp:lastModifiedBy>
  <dcterms:created xsi:type="dcterms:W3CDTF">2023-04-21T05:23:23Z</dcterms:created>
  <dcterms:modified xsi:type="dcterms:W3CDTF">2024-03-29T15:42:33Z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26c37262-72fe-4467-b3bc-bfe1a6741f1c</vt:lpwstr>
  </property>
</Properties>
</file>