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7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drawings/drawing8.xml" ContentType="application/vnd.openxmlformats-officedocument.drawing+xml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ime_Series_Excel&amp;SPSS\Ch4\"/>
    </mc:Choice>
  </mc:AlternateContent>
  <xr:revisionPtr revIDLastSave="0" documentId="13_ncr:1_{9ABB0C4F-48BA-4D49-8764-AE677C287551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ex4.1_M.A." sheetId="13" r:id="rId1"/>
    <sheet name="ex4.2_M.A._Wg" sheetId="14" r:id="rId2"/>
    <sheet name="ex4.3_S_Exponential" sheetId="15" r:id="rId3"/>
    <sheet name="ex4.4_Double M.A." sheetId="1" r:id="rId4"/>
    <sheet name="ex4.5_brown_0.1" sheetId="2" r:id="rId5"/>
    <sheet name="ex4.9_Holt" sheetId="8" r:id="rId6"/>
    <sheet name="ex4.6_3Exponential" sheetId="3" r:id="rId7"/>
    <sheet name="ex4.7_Simple_seasonal" sheetId="6" r:id="rId8"/>
    <sheet name="ex4.10_Winter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9" l="1"/>
  <c r="H33" i="9"/>
  <c r="H34" i="9"/>
  <c r="H31" i="9"/>
  <c r="L24" i="9"/>
  <c r="L25" i="9"/>
  <c r="L26" i="9"/>
  <c r="L23" i="9"/>
  <c r="L27" i="9" s="1"/>
  <c r="J27" i="9"/>
  <c r="H12" i="9"/>
  <c r="E7" i="9"/>
  <c r="F2" i="9"/>
  <c r="E2" i="9"/>
  <c r="E6" i="6"/>
  <c r="F2" i="6"/>
  <c r="C5" i="1"/>
  <c r="C6" i="1"/>
  <c r="C7" i="1"/>
  <c r="C8" i="1"/>
  <c r="C9" i="1"/>
  <c r="C10" i="1"/>
  <c r="C11" i="1"/>
  <c r="C12" i="1"/>
  <c r="C13" i="1"/>
  <c r="D13" i="1" s="1"/>
  <c r="C14" i="1"/>
  <c r="C15" i="1"/>
  <c r="C16" i="1"/>
  <c r="D9" i="1"/>
  <c r="G23" i="6"/>
  <c r="G24" i="6"/>
  <c r="G25" i="6"/>
  <c r="G22" i="6"/>
  <c r="M17" i="6"/>
  <c r="M18" i="6"/>
  <c r="M19" i="6"/>
  <c r="M16" i="6"/>
  <c r="M20" i="6" s="1"/>
  <c r="F7" i="6"/>
  <c r="F8" i="6"/>
  <c r="F9" i="6"/>
  <c r="F10" i="6"/>
  <c r="E10" i="6"/>
  <c r="E11" i="6" s="1"/>
  <c r="E12" i="6" s="1"/>
  <c r="E13" i="6" s="1"/>
  <c r="E14" i="6" s="1"/>
  <c r="F6" i="6"/>
  <c r="E5" i="6"/>
  <c r="F5" i="6" s="1"/>
  <c r="F20" i="8"/>
  <c r="F21" i="8"/>
  <c r="F22" i="8"/>
  <c r="F23" i="8"/>
  <c r="F1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3" i="8"/>
  <c r="G3" i="2"/>
  <c r="G19" i="2"/>
  <c r="G20" i="2"/>
  <c r="G21" i="2"/>
  <c r="G22" i="2"/>
  <c r="G1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3" i="2"/>
  <c r="D2" i="2"/>
  <c r="C2" i="2"/>
  <c r="D12" i="1"/>
  <c r="D16" i="1"/>
  <c r="D7" i="1"/>
  <c r="F7" i="1" s="1"/>
  <c r="D8" i="1"/>
  <c r="F8" i="1" s="1"/>
  <c r="D6" i="1"/>
  <c r="E6" i="1" s="1"/>
  <c r="C4" i="1"/>
  <c r="C5" i="14"/>
  <c r="D8" i="13"/>
  <c r="D9" i="13"/>
  <c r="D10" i="13"/>
  <c r="D11" i="13"/>
  <c r="D12" i="13"/>
  <c r="D13" i="13"/>
  <c r="D14" i="13"/>
  <c r="D7" i="13"/>
  <c r="G8" i="15"/>
  <c r="D2" i="15" s="1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C12" i="14"/>
  <c r="C6" i="14"/>
  <c r="C7" i="14"/>
  <c r="C8" i="14"/>
  <c r="C9" i="14"/>
  <c r="C10" i="14"/>
  <c r="C11" i="14"/>
  <c r="C6" i="13"/>
  <c r="C7" i="13"/>
  <c r="C8" i="13"/>
  <c r="C9" i="13"/>
  <c r="C10" i="13"/>
  <c r="C11" i="13"/>
  <c r="C12" i="13"/>
  <c r="C13" i="13"/>
  <c r="C14" i="13"/>
  <c r="C5" i="13"/>
  <c r="E8" i="1" l="1"/>
  <c r="G9" i="1" s="1"/>
  <c r="D11" i="1"/>
  <c r="D15" i="1"/>
  <c r="D14" i="1"/>
  <c r="F14" i="1" s="1"/>
  <c r="D10" i="1"/>
  <c r="E10" i="1" s="1"/>
  <c r="F6" i="1"/>
  <c r="G7" i="1" s="1"/>
  <c r="E7" i="1"/>
  <c r="G8" i="1" s="1"/>
  <c r="F13" i="6"/>
  <c r="F12" i="6"/>
  <c r="F14" i="6"/>
  <c r="F11" i="6"/>
  <c r="E15" i="6" s="1"/>
  <c r="F3" i="6"/>
  <c r="F4" i="6"/>
  <c r="E12" i="1"/>
  <c r="G13" i="1" s="1"/>
  <c r="F11" i="1"/>
  <c r="E11" i="1"/>
  <c r="F10" i="1"/>
  <c r="F16" i="1"/>
  <c r="F12" i="1"/>
  <c r="E16" i="1"/>
  <c r="C2" i="15"/>
  <c r="C3" i="15" s="1"/>
  <c r="C4" i="15" s="1"/>
  <c r="C5" i="15" s="1"/>
  <c r="C6" i="15" s="1"/>
  <c r="C7" i="15" s="1"/>
  <c r="C8" i="15" s="1"/>
  <c r="C9" i="15" s="1"/>
  <c r="C10" i="15" s="1"/>
  <c r="C11" i="15" s="1"/>
  <c r="C12" i="15" s="1"/>
  <c r="E2" i="15"/>
  <c r="E3" i="15" s="1"/>
  <c r="E4" i="15" s="1"/>
  <c r="E5" i="15" s="1"/>
  <c r="E6" i="15" s="1"/>
  <c r="E7" i="15" s="1"/>
  <c r="E8" i="15" s="1"/>
  <c r="E9" i="15" s="1"/>
  <c r="E10" i="15" s="1"/>
  <c r="E11" i="15" s="1"/>
  <c r="E12" i="15" s="1"/>
  <c r="H3" i="9"/>
  <c r="E14" i="1" l="1"/>
  <c r="G15" i="1" s="1"/>
  <c r="G20" i="1"/>
  <c r="G19" i="1"/>
  <c r="G17" i="1"/>
  <c r="G18" i="1"/>
  <c r="G12" i="1"/>
  <c r="G11" i="1"/>
  <c r="E16" i="6"/>
  <c r="F15" i="6"/>
  <c r="E7" i="6"/>
  <c r="E8" i="6" s="1"/>
  <c r="E9" i="6" s="1"/>
  <c r="E13" i="1"/>
  <c r="F13" i="1"/>
  <c r="F15" i="1"/>
  <c r="E15" i="1"/>
  <c r="G16" i="1" s="1"/>
  <c r="E9" i="1"/>
  <c r="F9" i="1"/>
  <c r="E3" i="9"/>
  <c r="E2" i="8"/>
  <c r="D3" i="8" s="1"/>
  <c r="E3" i="8" s="1"/>
  <c r="D4" i="8" s="1"/>
  <c r="G14" i="1" l="1"/>
  <c r="G10" i="1"/>
  <c r="E17" i="6"/>
  <c r="F16" i="6"/>
  <c r="E4" i="8"/>
  <c r="D5" i="8" s="1"/>
  <c r="F3" i="9"/>
  <c r="E4" i="9" s="1"/>
  <c r="F4" i="9" s="1"/>
  <c r="C3" i="3"/>
  <c r="H4" i="9" l="1"/>
  <c r="E5" i="9"/>
  <c r="F5" i="9" s="1"/>
  <c r="E6" i="9" s="1"/>
  <c r="F6" i="9" s="1"/>
  <c r="E18" i="6"/>
  <c r="F17" i="6"/>
  <c r="E5" i="8"/>
  <c r="D6" i="8"/>
  <c r="E6" i="8" s="1"/>
  <c r="D7" i="8" s="1"/>
  <c r="E7" i="8" s="1"/>
  <c r="D8" i="8" s="1"/>
  <c r="E8" i="8" s="1"/>
  <c r="D9" i="8" s="1"/>
  <c r="D3" i="3"/>
  <c r="C4" i="3"/>
  <c r="H5" i="9"/>
  <c r="H6" i="9" l="1"/>
  <c r="F7" i="9"/>
  <c r="E19" i="6"/>
  <c r="F18" i="6"/>
  <c r="E9" i="8"/>
  <c r="D10" i="8" s="1"/>
  <c r="H7" i="9"/>
  <c r="D4" i="3"/>
  <c r="C5" i="3"/>
  <c r="E3" i="3"/>
  <c r="H3" i="3"/>
  <c r="G3" i="3"/>
  <c r="F3" i="3"/>
  <c r="I4" i="3" s="1"/>
  <c r="E20" i="6" l="1"/>
  <c r="F19" i="6"/>
  <c r="E10" i="8"/>
  <c r="D11" i="8" s="1"/>
  <c r="E8" i="9"/>
  <c r="F8" i="9" s="1"/>
  <c r="E9" i="9" s="1"/>
  <c r="H8" i="9"/>
  <c r="D5" i="3"/>
  <c r="C6" i="3"/>
  <c r="E4" i="3"/>
  <c r="H4" i="3"/>
  <c r="G4" i="3"/>
  <c r="F4" i="3"/>
  <c r="I5" i="3" s="1"/>
  <c r="G8" i="9" l="1"/>
  <c r="E21" i="6"/>
  <c r="F20" i="6"/>
  <c r="E11" i="8"/>
  <c r="D12" i="8" s="1"/>
  <c r="D6" i="3"/>
  <c r="C7" i="3"/>
  <c r="E5" i="3"/>
  <c r="E6" i="3" s="1"/>
  <c r="H5" i="3"/>
  <c r="G5" i="3"/>
  <c r="F5" i="3"/>
  <c r="I6" i="3" s="1"/>
  <c r="H9" i="9"/>
  <c r="F9" i="9"/>
  <c r="G9" i="9"/>
  <c r="F21" i="6" l="1"/>
  <c r="L20" i="6" s="1"/>
  <c r="E12" i="8"/>
  <c r="D13" i="8" s="1"/>
  <c r="E10" i="9"/>
  <c r="F10" i="9" s="1"/>
  <c r="H10" i="9"/>
  <c r="C8" i="3"/>
  <c r="D7" i="3"/>
  <c r="H6" i="3"/>
  <c r="G6" i="3"/>
  <c r="F6" i="3"/>
  <c r="I7" i="3" s="1"/>
  <c r="G10" i="9" l="1"/>
  <c r="E13" i="8"/>
  <c r="D14" i="8" s="1"/>
  <c r="D8" i="3"/>
  <c r="E7" i="3"/>
  <c r="E8" i="3" s="1"/>
  <c r="H7" i="3"/>
  <c r="G7" i="3"/>
  <c r="F7" i="3"/>
  <c r="I8" i="3" s="1"/>
  <c r="C9" i="3"/>
  <c r="H8" i="3"/>
  <c r="G8" i="3"/>
  <c r="F8" i="3"/>
  <c r="I9" i="3" s="1"/>
  <c r="G7" i="9"/>
  <c r="H11" i="9" s="1"/>
  <c r="E14" i="8" l="1"/>
  <c r="D15" i="8" s="1"/>
  <c r="C10" i="3"/>
  <c r="D9" i="3"/>
  <c r="E11" i="9"/>
  <c r="E15" i="8" l="1"/>
  <c r="D16" i="8" s="1"/>
  <c r="F11" i="9"/>
  <c r="E12" i="9" s="1"/>
  <c r="G12" i="9" s="1"/>
  <c r="D10" i="3"/>
  <c r="E9" i="3"/>
  <c r="C11" i="3"/>
  <c r="G11" i="9"/>
  <c r="F12" i="9" l="1"/>
  <c r="E13" i="9"/>
  <c r="G13" i="9" s="1"/>
  <c r="E16" i="8"/>
  <c r="D17" i="8" s="1"/>
  <c r="C12" i="3"/>
  <c r="E10" i="3"/>
  <c r="H9" i="3"/>
  <c r="G9" i="3"/>
  <c r="F9" i="3"/>
  <c r="I10" i="3" s="1"/>
  <c r="D11" i="3"/>
  <c r="H13" i="9"/>
  <c r="F13" i="9" l="1"/>
  <c r="E17" i="8"/>
  <c r="D18" i="8" s="1"/>
  <c r="E14" i="9"/>
  <c r="F14" i="9" s="1"/>
  <c r="E15" i="9" s="1"/>
  <c r="H14" i="9"/>
  <c r="D12" i="3"/>
  <c r="E11" i="3"/>
  <c r="H10" i="3"/>
  <c r="G10" i="3"/>
  <c r="F10" i="3"/>
  <c r="I11" i="3" s="1"/>
  <c r="C13" i="3"/>
  <c r="G14" i="9" l="1"/>
  <c r="E18" i="8"/>
  <c r="C14" i="3"/>
  <c r="E12" i="3"/>
  <c r="H11" i="3"/>
  <c r="G11" i="3"/>
  <c r="F11" i="3"/>
  <c r="I12" i="3" s="1"/>
  <c r="D13" i="3"/>
  <c r="H15" i="9"/>
  <c r="F15" i="9"/>
  <c r="G15" i="9"/>
  <c r="E16" i="9" l="1"/>
  <c r="G16" i="9" s="1"/>
  <c r="H16" i="9"/>
  <c r="D14" i="3"/>
  <c r="E13" i="3"/>
  <c r="H12" i="3"/>
  <c r="G12" i="3"/>
  <c r="F12" i="3"/>
  <c r="I13" i="3" s="1"/>
  <c r="C15" i="3"/>
  <c r="F16" i="9" l="1"/>
  <c r="E17" i="9" s="1"/>
  <c r="E14" i="3"/>
  <c r="H13" i="3"/>
  <c r="G13" i="3"/>
  <c r="F13" i="3"/>
  <c r="I14" i="3" s="1"/>
  <c r="D15" i="3"/>
  <c r="H17" i="9"/>
  <c r="F17" i="9" l="1"/>
  <c r="H18" i="9" s="1"/>
  <c r="G17" i="9"/>
  <c r="E18" i="9"/>
  <c r="G18" i="9" s="1"/>
  <c r="E15" i="3"/>
  <c r="H14" i="3"/>
  <c r="G14" i="3"/>
  <c r="F14" i="3"/>
  <c r="I15" i="3" s="1"/>
  <c r="F18" i="9" l="1"/>
  <c r="E19" i="9" s="1"/>
  <c r="F19" i="9" s="1"/>
  <c r="E20" i="9" s="1"/>
  <c r="H15" i="3"/>
  <c r="G15" i="3"/>
  <c r="F15" i="3"/>
  <c r="H19" i="9" l="1"/>
  <c r="G19" i="9"/>
  <c r="I18" i="3"/>
  <c r="I17" i="3"/>
  <c r="I16" i="3"/>
  <c r="H20" i="9"/>
  <c r="F20" i="9"/>
  <c r="H21" i="9" s="1"/>
  <c r="G20" i="9"/>
  <c r="E21" i="9" l="1"/>
  <c r="F21" i="9" s="1"/>
  <c r="G21" i="9" l="1"/>
  <c r="H22" i="9"/>
  <c r="E22" i="9"/>
  <c r="F22" i="9" s="1"/>
  <c r="H23" i="9" s="1"/>
  <c r="E23" i="9" l="1"/>
  <c r="G22" i="9"/>
  <c r="F23" i="9"/>
  <c r="G23" i="9"/>
  <c r="E24" i="9" l="1"/>
  <c r="G24" i="9" s="1"/>
  <c r="H24" i="9"/>
  <c r="F24" i="9" l="1"/>
  <c r="E25" i="9" s="1"/>
  <c r="G25" i="9" s="1"/>
  <c r="F25" i="9" l="1"/>
  <c r="H26" i="9" s="1"/>
  <c r="H25" i="9"/>
  <c r="E26" i="9"/>
  <c r="G26" i="9" s="1"/>
  <c r="F26" i="9" l="1"/>
  <c r="E27" i="9" s="1"/>
  <c r="G27" i="9" s="1"/>
  <c r="H27" i="9" l="1"/>
  <c r="F27" i="9"/>
  <c r="E28" i="9" s="1"/>
  <c r="G28" i="9" s="1"/>
  <c r="H28" i="9"/>
  <c r="F28" i="9" l="1"/>
  <c r="H29" i="9" s="1"/>
  <c r="E29" i="9" l="1"/>
  <c r="F29" i="9" l="1"/>
  <c r="G29" i="9"/>
  <c r="H30" i="9" l="1"/>
  <c r="E30" i="9"/>
  <c r="G30" i="9" l="1"/>
  <c r="F30" i="9"/>
</calcChain>
</file>

<file path=xl/sharedStrings.xml><?xml version="1.0" encoding="utf-8"?>
<sst xmlns="http://schemas.openxmlformats.org/spreadsheetml/2006/main" count="148" uniqueCount="110">
  <si>
    <t>Month</t>
  </si>
  <si>
    <t>Y</t>
  </si>
  <si>
    <t>M.A.3 M</t>
  </si>
  <si>
    <t>M.A.5 M</t>
  </si>
  <si>
    <t>Y^t</t>
  </si>
  <si>
    <t>alpha=0.1</t>
  </si>
  <si>
    <t>alpha=0.9</t>
  </si>
  <si>
    <t>t</t>
  </si>
  <si>
    <t>Yt</t>
  </si>
  <si>
    <t>at</t>
  </si>
  <si>
    <t>bt</t>
  </si>
  <si>
    <t>Y^(t+m)</t>
  </si>
  <si>
    <t>K=3</t>
  </si>
  <si>
    <t>2/(K-1) = 1</t>
  </si>
  <si>
    <t>Year</t>
  </si>
  <si>
    <t>year</t>
  </si>
  <si>
    <t xml:space="preserve">Y^t </t>
  </si>
  <si>
    <t>Et1</t>
  </si>
  <si>
    <t>Et2</t>
  </si>
  <si>
    <t>Et3</t>
  </si>
  <si>
    <t>ct</t>
  </si>
  <si>
    <t>ปี</t>
  </si>
  <si>
    <t>ไตรมาส</t>
  </si>
  <si>
    <t>Et</t>
  </si>
  <si>
    <t>S^t</t>
  </si>
  <si>
    <t>S</t>
  </si>
  <si>
    <t>S*</t>
  </si>
  <si>
    <t>sum</t>
  </si>
  <si>
    <t>Q</t>
  </si>
  <si>
    <t>S*^1</t>
  </si>
  <si>
    <t>S*^2</t>
  </si>
  <si>
    <t>S*^3</t>
  </si>
  <si>
    <t>S*^4</t>
  </si>
  <si>
    <t>Y^t เฉลี่ย 3 เดือน</t>
  </si>
  <si>
    <t>yhat initial คือ y hat ค่าแรก</t>
  </si>
  <si>
    <t>ตย.อยู่ในหน้า 78 บท4</t>
  </si>
  <si>
    <t>ถ้าดูจากกราฟจะเห็นว่าข้อมูลไม่ได้มีแนวโน้มเพิ่มขึ้นหรือลดลง</t>
  </si>
  <si>
    <t>ดังนั้นข้อมูลนี้ถือว่าไม่มีแนวโน้ม และเราสามารถพยากรณ์ล่วงหน้าได้ 1 ช่วงเวลา</t>
  </si>
  <si>
    <t>MA มักจะใช้การเฉลี่ยเป็นเลขคี่เพื่อให้ข้อมูลตกอยู่ตรงกลาง</t>
  </si>
  <si>
    <t>ข้อมูลที่ใช้กับวิธีนี้ส่วนใหญ่เป็นจำนวนข้อมูลน้อย ดังนั้นเฉลี่ยเคลื่อนที่คราวละ 3 หรือ 5ก็พอ</t>
  </si>
  <si>
    <t>ค่าเฉลี่ยเคลื่อนที่ที่เราหาได้เราจะถือว่าเป็นค่าที่เราพยากรณ์ได้</t>
  </si>
  <si>
    <t>โดยถ้าเราเฉลี่ยเคลื่อนที่ 3 ตัวแรกเราจะให้ข้อมูลที่พยากรณ์ได้เป็นของตัวที่ 4</t>
  </si>
  <si>
    <t xml:space="preserve"> </t>
  </si>
  <si>
    <t>ดังนั้นข้อมูลตัวที่ 13 ที่ได้จะเป็นข้อมูลที่ใช้ค่าเฉลี่ยของข้อมูล 3 ตัวท้ายพอดี</t>
  </si>
  <si>
    <t>แกว่งกว่าเดิม ?</t>
  </si>
  <si>
    <t>MA 3 กับ 5 เลือกอะไร ? เลือกอันที่ทำให้ค่า MSE ต่ำที่สุด</t>
  </si>
  <si>
    <t>จากที่โจทย์กำหนดให้</t>
  </si>
  <si>
    <t>เป็นตัวที่พยากรณ์</t>
  </si>
  <si>
    <t>ข้อมูลที่เราถ่วงน้ำหนักเราจะให้ข้อมูลตัวที่ 3 เป็น 0.5</t>
  </si>
  <si>
    <t>และตัวที่ 2 เป็น 0.3 และตัวที่ 1 เป็น 0.2</t>
  </si>
  <si>
    <t>ที่กำหนดการถ่วงน้ำหนักแบบนี้เพราะ ตัวที่อยู่ไกล้ควรจะสำคัญกว่า จึงถูกถ่วงน้ำหนักมากกว่า</t>
  </si>
  <si>
    <t>โดยการพยากรณ์แบบบนี้เราจะใช้ก็ต่อเมื่อเราต้องการพยากรณ์ข้อมูลไกล้ๆนี้ หรือไม่ไกลมาก และสามารถทำได้อย่างรวดเร็ว</t>
  </si>
  <si>
    <t>โดยวิธีง่ายๆนี้อาจจะทำให้ข้อมูลที่ได้มีค่าความคลาดเคลื่อนน้อยด้วย</t>
  </si>
  <si>
    <t>และ yhat initial ก็เลือกให้เองโดยไม่บอกว่ามาจากค่าอะไร</t>
  </si>
  <si>
    <t>จริงๆสูตรมีหลายสูตร สูตรนี้เป็นสูตรที่นิยมใช้กัน</t>
  </si>
  <si>
    <t>ถ้าข้อมูลแกว่งมากอาจจะใช้ yhat initial เป็น Y1</t>
  </si>
  <si>
    <t>หรืออาจจะใช้ค่าเฉลี่ยของข้อมูล 2 3 4 ตัวแรก การเลือกจะขึ้นอยู่กับปสก.การพยากรณ์</t>
  </si>
  <si>
    <t>ให้น้ำหนักหรือความสำคัญ
กับข้อมูลจริงมากกว่า</t>
  </si>
  <si>
    <t>ให้น้ำหนักหรือความสำคัญกับ
ข้อมูลพยากรณ์มากกว่า</t>
  </si>
  <si>
    <t>ถ้าไปทำใน spss โปรแกรมจะเลือกค่า alpha ให้เราเลย โดยจะเลือกค่าที่ทำให้ MSE ต่ำที่สุด</t>
  </si>
  <si>
    <t>Ex 4.4 หน้า 88</t>
  </si>
  <si>
    <t>S't = เฉลี่ยเคลื่อนที่ครั้งที่ 1</t>
  </si>
  <si>
    <t>S''t = เฉลี่ยเคลื่อนที่ครั้งที่ 2</t>
  </si>
  <si>
    <t>นิยมใช้ m = 1 เพราะต้องการใช้ข้อมูลที่ล่าสุดที่สุด</t>
  </si>
  <si>
    <t>m</t>
  </si>
  <si>
    <t>ทำให้ใช้ at bt ล่าสุด</t>
  </si>
  <si>
    <t>alpha กำหนดตามปสกของผู้ใช้งาน</t>
  </si>
  <si>
    <t>spss จะกำหนด alpha ให้เลยตาม alpha ที่ทำให้ mse น้อยที่สุด</t>
  </si>
  <si>
    <t>E't</t>
  </si>
  <si>
    <t>E''t</t>
  </si>
  <si>
    <t>Yhat 2539+1</t>
  </si>
  <si>
    <t>Yhat 2539+2</t>
  </si>
  <si>
    <t>Yhat 2539+3</t>
  </si>
  <si>
    <t>Yhat 2539+4</t>
  </si>
  <si>
    <t>Yhat 2539+5</t>
  </si>
  <si>
    <t>ของ at คือ alpha ของ bt คือ gamma</t>
  </si>
  <si>
    <t>ผลรวมควรเท่ากับบ 4</t>
  </si>
  <si>
    <t>ที่หาค่าพยากรณ์แบบนี้เพราะเอาไปคำนวณ mse aberror เพื่อวัดความแม่นยำจากความคลาดเคลื่อน</t>
  </si>
  <si>
    <t>และนำไปเปรียบเที่ยบวิธีพยากรณ์อื่น</t>
  </si>
  <si>
    <t>สรุปได้ว่าเราอยากจะใช้ at และ bt ล่าสุดเพื่อให้ได้ค่าพยากรณ์ที่ดี</t>
  </si>
  <si>
    <t>ex 4.5</t>
  </si>
  <si>
    <t>ถ้าแนวโน้มค่อนข้างคงที่ ยังใช้วิธีของ brown ได้อยู่</t>
  </si>
  <si>
    <t>กรณีที่ข้อมูลมีแนวโน้มแต่ไม่มีฤดูกาล</t>
  </si>
  <si>
    <t>ก็คือบางช่วงชันมากบางช่วงชันน้อยซึ่งก็ควรจะใช้ของ Holt</t>
  </si>
  <si>
    <t xml:space="preserve">โดยบางข้อมูลที่มีค่าความชันไม่คงที่ </t>
  </si>
  <si>
    <t>มี paramiter เพิ่มอีกตัวนึงคือ gamma ที่คล้ายๆตัว y</t>
  </si>
  <si>
    <t>alpha ก็จะเป็นตัวปรับระดับให้เรียบเหมือนวิธีของ brown</t>
  </si>
  <si>
    <t>โดยมันจะเป็นค่าปรับระดับ/ค่าความชัน</t>
  </si>
  <si>
    <t>ถ้าข้อมูลไม่แกว่งมาก ใช้ ybar เป็น a0 ได้</t>
  </si>
  <si>
    <t>ถ้าแกว่งใช้ y1 เป็น a0 แทนได้</t>
  </si>
  <si>
    <t>p=4 คือจำนวนฤดูกาลแต่ละปี ในกรณีนี้เป็นรายไตรมาสคือ 4</t>
  </si>
  <si>
    <t>Et ตัวแรกจะเท่ากับค่าเฉลี่ยของข้อมูล 4 ตัวแรก จะอยู่ตรง t = 4</t>
  </si>
  <si>
    <t>alpha = 0.3</t>
  </si>
  <si>
    <t>delta = 0.25</t>
  </si>
  <si>
    <t>ถ้าเราต้องการพยากรณ์ข้อมูลของไตรมาสที่ 1 ให้ใช้ดัชนีฤดูกาลของไตรมาสที่ 1 ที่ปรับค่าแล้ว</t>
  </si>
  <si>
    <t>สามารถพยากรณ์ล่วงหน้าได้เพียงแค่ 1 ปี</t>
  </si>
  <si>
    <t>อยู่ตั้งแต่หน้า 118 เป็นต้นไป</t>
  </si>
  <si>
    <t>เป็นค่าปรับระดับฤดูกาล</t>
  </si>
  <si>
    <t>ดัชนีฤดูกาล 4 ค่าแรกกำหนดมาแล้ว</t>
  </si>
  <si>
    <t>ดัชนีฤดูกาล 4 ค่าแรก</t>
  </si>
  <si>
    <t>อาจจะใช้วิธีการอื่นอย่างการใช้ Yt/a0</t>
  </si>
  <si>
    <t xml:space="preserve">กำหนดให้ </t>
  </si>
  <si>
    <t>alpya = 0.2</t>
  </si>
  <si>
    <t>gamma = 0.3</t>
  </si>
  <si>
    <t>delta = 0.1</t>
  </si>
  <si>
    <t>และ p = 4 เนื่องจากข้อมูลเป็นรายไตรมาส</t>
  </si>
  <si>
    <t>s หลังปรับค่าแล้ว</t>
  </si>
  <si>
    <t>S หลังปรับค่าแล้ว</t>
  </si>
  <si>
    <t>ที่ไฮท์ไลท์สีเหลืองเยอะๆนี้ไม่ตรงกับใน นส.เพราะในนสผิด</t>
  </si>
  <si>
    <t>คูณกับดัชนีฤดูกาลหลังปรับค่าแล้วของแต่ไตรมาส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</si>
</sst>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8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9"/>
      <color theme="4"/>
      <name val="Calibri"/>
      <family val="2"/>
      <charset val="22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C000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center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0" applyFont="1"/>
    <xf numFmtId="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165" fontId="2" fillId="0" borderId="0" xfId="0" applyNumberFormat="1" applyFont="1"/>
    <xf numFmtId="164" fontId="0" fillId="0" borderId="0" xfId="0" applyNumberFormat="1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'ex4.1_M.A.'!$B$2:$B$13</c:f>
              <c:numCache>
                <c:formatCode>General</c:formatCode>
                <c:ptCount val="12"/>
                <c:pt idx="0">
                  <c:v>1000</c:v>
                </c:pt>
                <c:pt idx="1">
                  <c:v>1050</c:v>
                </c:pt>
                <c:pt idx="2">
                  <c:v>950</c:v>
                </c:pt>
                <c:pt idx="3">
                  <c:v>1150</c:v>
                </c:pt>
                <c:pt idx="4">
                  <c:v>1100</c:v>
                </c:pt>
                <c:pt idx="5">
                  <c:v>900</c:v>
                </c:pt>
                <c:pt idx="6">
                  <c:v>1000</c:v>
                </c:pt>
                <c:pt idx="7">
                  <c:v>1250</c:v>
                </c:pt>
                <c:pt idx="8">
                  <c:v>1150</c:v>
                </c:pt>
                <c:pt idx="9">
                  <c:v>980</c:v>
                </c:pt>
                <c:pt idx="10">
                  <c:v>1080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3-4F5A-B5AB-8FC91419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18128"/>
        <c:axId val="1136524848"/>
      </c:scatterChart>
      <c:valAx>
        <c:axId val="14221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24848"/>
        <c:crosses val="autoZero"/>
        <c:crossBetween val="midCat"/>
      </c:valAx>
      <c:valAx>
        <c:axId val="11365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M.A.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'ex4.1_M.A.'!$C$5:$C$14</c:f>
              <c:numCache>
                <c:formatCode>General</c:formatCode>
                <c:ptCount val="10"/>
                <c:pt idx="0">
                  <c:v>1000</c:v>
                </c:pt>
                <c:pt idx="1">
                  <c:v>1050</c:v>
                </c:pt>
                <c:pt idx="2">
                  <c:v>1066.6666666666667</c:v>
                </c:pt>
                <c:pt idx="3">
                  <c:v>1050</c:v>
                </c:pt>
                <c:pt idx="4">
                  <c:v>1000</c:v>
                </c:pt>
                <c:pt idx="5">
                  <c:v>1050</c:v>
                </c:pt>
                <c:pt idx="6">
                  <c:v>1133.3333333333333</c:v>
                </c:pt>
                <c:pt idx="7">
                  <c:v>1126.6666666666667</c:v>
                </c:pt>
                <c:pt idx="8">
                  <c:v>1070</c:v>
                </c:pt>
                <c:pt idx="9">
                  <c:v>1053.3333333333333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1-4021-8C9D-1792F15B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93680"/>
        <c:axId val="1429385776"/>
      </c:scatterChart>
      <c:valAx>
        <c:axId val="1429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85776"/>
        <c:crosses val="autoZero"/>
        <c:crossBetween val="midCat"/>
      </c:valAx>
      <c:valAx>
        <c:axId val="14293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M.A.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'ex4.1_M.A.'!$D$7:$D$14</c:f>
              <c:numCache>
                <c:formatCode>General</c:formatCode>
                <c:ptCount val="8"/>
                <c:pt idx="0">
                  <c:v>1050</c:v>
                </c:pt>
                <c:pt idx="1">
                  <c:v>1030</c:v>
                </c:pt>
                <c:pt idx="2">
                  <c:v>1020</c:v>
                </c:pt>
                <c:pt idx="3">
                  <c:v>1080</c:v>
                </c:pt>
                <c:pt idx="4">
                  <c:v>1080</c:v>
                </c:pt>
                <c:pt idx="5">
                  <c:v>1056</c:v>
                </c:pt>
                <c:pt idx="6">
                  <c:v>1092</c:v>
                </c:pt>
                <c:pt idx="7">
                  <c:v>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4CC-9FDB-5B2D4143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94096"/>
        <c:axId val="1429384112"/>
      </c:scatterChart>
      <c:valAx>
        <c:axId val="14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84112"/>
        <c:crosses val="autoZero"/>
        <c:crossBetween val="midCat"/>
      </c:valAx>
      <c:valAx>
        <c:axId val="14293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'ex4.5_brown_0.1'!$B$2:$B$17</c:f>
              <c:numCache>
                <c:formatCode>General</c:formatCode>
                <c:ptCount val="16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F-45E4-BE0A-56C985D5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13184"/>
        <c:axId val="238313968"/>
      </c:scatterChart>
      <c:valAx>
        <c:axId val="2383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13968"/>
        <c:crosses val="autoZero"/>
        <c:crossBetween val="midCat"/>
      </c:valAx>
      <c:valAx>
        <c:axId val="238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'ex4.9_Holt'!$C$3:$C$18</c:f>
              <c:numCache>
                <c:formatCode>General</c:formatCode>
                <c:ptCount val="16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E-46F8-9628-78C1CAD6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19760"/>
        <c:axId val="2105156064"/>
      </c:scatterChart>
      <c:valAx>
        <c:axId val="15918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6064"/>
        <c:crosses val="autoZero"/>
        <c:crossBetween val="midCat"/>
      </c:valAx>
      <c:valAx>
        <c:axId val="2105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chart" Target="../charts/chart5.xml"/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7.wmf"/><Relationship Id="rId1" Type="http://schemas.openxmlformats.org/officeDocument/2006/relationships/image" Target="../media/image6.wmf"/><Relationship Id="rId5" Type="http://schemas.openxmlformats.org/officeDocument/2006/relationships/image" Target="../media/image10.wmf"/><Relationship Id="rId4" Type="http://schemas.openxmlformats.org/officeDocument/2006/relationships/image" Target="../media/image9.w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Relationship Id="rId6" Type="http://schemas.openxmlformats.org/officeDocument/2006/relationships/image" Target="../media/image16.wmf"/><Relationship Id="rId5" Type="http://schemas.openxmlformats.org/officeDocument/2006/relationships/image" Target="../media/image15.wmf"/><Relationship Id="rId4" Type="http://schemas.openxmlformats.org/officeDocument/2006/relationships/image" Target="../media/image14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wmf"/><Relationship Id="rId7" Type="http://schemas.openxmlformats.org/officeDocument/2006/relationships/image" Target="../media/image23.wmf"/><Relationship Id="rId2" Type="http://schemas.openxmlformats.org/officeDocument/2006/relationships/image" Target="../media/image20.wmf"/><Relationship Id="rId1" Type="http://schemas.openxmlformats.org/officeDocument/2006/relationships/image" Target="../media/image19.wmf"/><Relationship Id="rId6" Type="http://schemas.openxmlformats.org/officeDocument/2006/relationships/image" Target="../media/image9.wmf"/><Relationship Id="rId5" Type="http://schemas.openxmlformats.org/officeDocument/2006/relationships/image" Target="../media/image8.wmf"/><Relationship Id="rId4" Type="http://schemas.openxmlformats.org/officeDocument/2006/relationships/image" Target="../media/image22.w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wmf"/><Relationship Id="rId2" Type="http://schemas.openxmlformats.org/officeDocument/2006/relationships/image" Target="../media/image25.emf"/><Relationship Id="rId1" Type="http://schemas.openxmlformats.org/officeDocument/2006/relationships/image" Target="../media/image24.w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wmf"/><Relationship Id="rId3" Type="http://schemas.openxmlformats.org/officeDocument/2006/relationships/image" Target="../media/image29.wmf"/><Relationship Id="rId7" Type="http://schemas.openxmlformats.org/officeDocument/2006/relationships/image" Target="../media/image33.wmf"/><Relationship Id="rId2" Type="http://schemas.openxmlformats.org/officeDocument/2006/relationships/image" Target="../media/image28.emf"/><Relationship Id="rId1" Type="http://schemas.openxmlformats.org/officeDocument/2006/relationships/image" Target="../media/image27.wmf"/><Relationship Id="rId6" Type="http://schemas.openxmlformats.org/officeDocument/2006/relationships/image" Target="../media/image32.wmf"/><Relationship Id="rId5" Type="http://schemas.openxmlformats.org/officeDocument/2006/relationships/image" Target="../media/image31.wmf"/><Relationship Id="rId4" Type="http://schemas.openxmlformats.org/officeDocument/2006/relationships/image" Target="../media/image30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23812</xdr:rowOff>
    </xdr:from>
    <xdr:to>
      <xdr:col>7</xdr:col>
      <xdr:colOff>304800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157162</xdr:rowOff>
    </xdr:from>
    <xdr:to>
      <xdr:col>7</xdr:col>
      <xdr:colOff>304800</xdr:colOff>
      <xdr:row>45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128587</xdr:rowOff>
    </xdr:from>
    <xdr:to>
      <xdr:col>7</xdr:col>
      <xdr:colOff>304800</xdr:colOff>
      <xdr:row>60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333375</xdr:colOff>
          <xdr:row>1</xdr:row>
          <xdr:rowOff>114300</xdr:rowOff>
        </xdr:from>
        <xdr:to>
          <xdr:col>8</xdr:col>
          <xdr:colOff>104775</xdr:colOff>
          <xdr:row>3</xdr:row>
          <xdr:rowOff>0</xdr:rowOff>
        </xdr:to>
        <xdr:sp macro="" textlink="">
          <xdr:nvSpPr>
            <xdr:cNvPr id="25602" name="Object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2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352425</xdr:colOff>
          <xdr:row>3</xdr:row>
          <xdr:rowOff>104775</xdr:rowOff>
        </xdr:from>
        <xdr:to>
          <xdr:col>6</xdr:col>
          <xdr:colOff>971550</xdr:colOff>
          <xdr:row>4</xdr:row>
          <xdr:rowOff>180975</xdr:rowOff>
        </xdr:to>
        <xdr:sp macro="" textlink="">
          <xdr:nvSpPr>
            <xdr:cNvPr id="25603" name="Object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2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409575</xdr:colOff>
          <xdr:row>3</xdr:row>
          <xdr:rowOff>76200</xdr:rowOff>
        </xdr:to>
        <xdr:sp macro="" textlink="">
          <xdr:nvSpPr>
            <xdr:cNvPr id="28674" name="Object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3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10</xdr:col>
          <xdr:colOff>238125</xdr:colOff>
          <xdr:row>5</xdr:row>
          <xdr:rowOff>38100</xdr:rowOff>
        </xdr:to>
        <xdr:sp macro="" textlink="">
          <xdr:nvSpPr>
            <xdr:cNvPr id="28676" name="Object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3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5</xdr:row>
          <xdr:rowOff>76200</xdr:rowOff>
        </xdr:from>
        <xdr:to>
          <xdr:col>11</xdr:col>
          <xdr:colOff>161925</xdr:colOff>
          <xdr:row>7</xdr:row>
          <xdr:rowOff>123825</xdr:rowOff>
        </xdr:to>
        <xdr:sp macro="" textlink="">
          <xdr:nvSpPr>
            <xdr:cNvPr id="28678" name="Object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3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147637</xdr:rowOff>
    </xdr:from>
    <xdr:to>
      <xdr:col>18</xdr:col>
      <xdr:colOff>171450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409575</xdr:colOff>
          <xdr:row>3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10</xdr:col>
          <xdr:colOff>238125</xdr:colOff>
          <xdr:row>5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590550</xdr:colOff>
          <xdr:row>9</xdr:row>
          <xdr:rowOff>47625</xdr:rowOff>
        </xdr:from>
        <xdr:to>
          <xdr:col>11</xdr:col>
          <xdr:colOff>133350</xdr:colOff>
          <xdr:row>10</xdr:row>
          <xdr:rowOff>85725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12</xdr:row>
          <xdr:rowOff>0</xdr:rowOff>
        </xdr:from>
        <xdr:to>
          <xdr:col>11</xdr:col>
          <xdr:colOff>161925</xdr:colOff>
          <xdr:row>13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95250</xdr:rowOff>
        </xdr:from>
        <xdr:to>
          <xdr:col>10</xdr:col>
          <xdr:colOff>180975</xdr:colOff>
          <xdr:row>15</xdr:row>
          <xdr:rowOff>133350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6</xdr:row>
      <xdr:rowOff>0</xdr:rowOff>
    </xdr:from>
    <xdr:to>
      <xdr:col>11</xdr:col>
      <xdr:colOff>514929</xdr:colOff>
      <xdr:row>8</xdr:row>
      <xdr:rowOff>31229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619875" y="1143000"/>
              <a:ext cx="1734129" cy="4122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num>
                      <m:den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Sup>
                      <m:sSub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func>
                          <m:func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E</m:t>
                            </m:r>
                          </m:fName>
                          <m:e/>
                        </m:func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Sup>
                      <m:sSub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″</m:t>
                        </m:r>
                      </m:sup>
                    </m:sSub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Object 5">
              <a:extLst>
                <a:ext uri="{63B3BB69-23CF-44E3-9099-C40C66FF867C}">
                  <a14:compatExt xmlns:a14="http://schemas.microsoft.com/office/drawing/2010/main"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 txBox="1"/>
          </xdr:nvSpPr>
          <xdr:spPr>
            <a:xfrm>
              <a:off x="6619875" y="1143000"/>
              <a:ext cx="1734129" cy="4122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𝑏_𝑡=𝛼/((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𝛼))(〖E⁡ 〗_𝑡^′−𝐸_𝑡^″)</a:t>
              </a:r>
              <a:endParaRPr lang="en-US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9</xdr:col>
          <xdr:colOff>409575</xdr:colOff>
          <xdr:row>3</xdr:row>
          <xdr:rowOff>76200</xdr:rowOff>
        </xdr:to>
        <xdr:sp macro="" textlink="">
          <xdr:nvSpPr>
            <xdr:cNvPr id="30722" name="Object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5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</xdr:row>
          <xdr:rowOff>0</xdr:rowOff>
        </xdr:from>
        <xdr:to>
          <xdr:col>11</xdr:col>
          <xdr:colOff>47625</xdr:colOff>
          <xdr:row>5</xdr:row>
          <xdr:rowOff>38100</xdr:rowOff>
        </xdr:to>
        <xdr:sp macro="" textlink="">
          <xdr:nvSpPr>
            <xdr:cNvPr id="30724" name="Object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5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</xdr:row>
          <xdr:rowOff>0</xdr:rowOff>
        </xdr:from>
        <xdr:to>
          <xdr:col>10</xdr:col>
          <xdr:colOff>600075</xdr:colOff>
          <xdr:row>7</xdr:row>
          <xdr:rowOff>38100</xdr:rowOff>
        </xdr:to>
        <xdr:sp macro="" textlink="">
          <xdr:nvSpPr>
            <xdr:cNvPr id="30726" name="Object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5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7</xdr:row>
          <xdr:rowOff>66675</xdr:rowOff>
        </xdr:from>
        <xdr:to>
          <xdr:col>11</xdr:col>
          <xdr:colOff>400050</xdr:colOff>
          <xdr:row>10</xdr:row>
          <xdr:rowOff>104775</xdr:rowOff>
        </xdr:to>
        <xdr:sp macro="" textlink="">
          <xdr:nvSpPr>
            <xdr:cNvPr id="30730" name="Object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05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</xdr:row>
          <xdr:rowOff>0</xdr:rowOff>
        </xdr:from>
        <xdr:to>
          <xdr:col>10</xdr:col>
          <xdr:colOff>400050</xdr:colOff>
          <xdr:row>14</xdr:row>
          <xdr:rowOff>28575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05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11</xdr:row>
          <xdr:rowOff>114300</xdr:rowOff>
        </xdr:from>
        <xdr:to>
          <xdr:col>12</xdr:col>
          <xdr:colOff>600075</xdr:colOff>
          <xdr:row>13</xdr:row>
          <xdr:rowOff>142875</xdr:rowOff>
        </xdr:to>
        <xdr:sp macro="" textlink="">
          <xdr:nvSpPr>
            <xdr:cNvPr id="30734" name="Object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05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9525</xdr:colOff>
      <xdr:row>8</xdr:row>
      <xdr:rowOff>142875</xdr:rowOff>
    </xdr:from>
    <xdr:to>
      <xdr:col>8</xdr:col>
      <xdr:colOff>504763</xdr:colOff>
      <xdr:row>9</xdr:row>
      <xdr:rowOff>180945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1666875"/>
          <a:ext cx="495238" cy="238095"/>
        </a:xfrm>
        <a:prstGeom prst="rect">
          <a:avLst/>
        </a:prstGeom>
      </xdr:spPr>
    </xdr:pic>
    <xdr:clientData/>
  </xdr:twoCellAnchor>
  <xdr:twoCellAnchor>
    <xdr:from>
      <xdr:col>13</xdr:col>
      <xdr:colOff>143410</xdr:colOff>
      <xdr:row>0</xdr:row>
      <xdr:rowOff>169524</xdr:rowOff>
    </xdr:from>
    <xdr:to>
      <xdr:col>20</xdr:col>
      <xdr:colOff>445213</xdr:colOff>
      <xdr:row>15</xdr:row>
      <xdr:rowOff>23117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13607</xdr:colOff>
      <xdr:row>17</xdr:row>
      <xdr:rowOff>47702</xdr:rowOff>
    </xdr:from>
    <xdr:to>
      <xdr:col>22</xdr:col>
      <xdr:colOff>186663</xdr:colOff>
      <xdr:row>39</xdr:row>
      <xdr:rowOff>68035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433A7F-7ED3-4E03-A103-E4D45A1A7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8571" y="3286202"/>
          <a:ext cx="5683949" cy="4211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12</xdr:col>
          <xdr:colOff>304800</xdr:colOff>
          <xdr:row>4</xdr:row>
          <xdr:rowOff>28575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6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5</xdr:row>
          <xdr:rowOff>0</xdr:rowOff>
        </xdr:from>
        <xdr:to>
          <xdr:col>12</xdr:col>
          <xdr:colOff>9525</xdr:colOff>
          <xdr:row>6</xdr:row>
          <xdr:rowOff>38100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6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4</xdr:row>
          <xdr:rowOff>66675</xdr:rowOff>
        </xdr:from>
        <xdr:to>
          <xdr:col>15</xdr:col>
          <xdr:colOff>542925</xdr:colOff>
          <xdr:row>6</xdr:row>
          <xdr:rowOff>133350</xdr:rowOff>
        </xdr:to>
        <xdr:sp macro="" textlink="">
          <xdr:nvSpPr>
            <xdr:cNvPr id="31749" name="Object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06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600075</xdr:colOff>
          <xdr:row>6</xdr:row>
          <xdr:rowOff>114300</xdr:rowOff>
        </xdr:from>
        <xdr:to>
          <xdr:col>15</xdr:col>
          <xdr:colOff>361950</xdr:colOff>
          <xdr:row>8</xdr:row>
          <xdr:rowOff>161925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06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12</xdr:col>
          <xdr:colOff>152400</xdr:colOff>
          <xdr:row>12</xdr:row>
          <xdr:rowOff>38100</xdr:rowOff>
        </xdr:to>
        <xdr:sp macro="" textlink="">
          <xdr:nvSpPr>
            <xdr:cNvPr id="31752" name="Object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06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</xdr:row>
          <xdr:rowOff>0</xdr:rowOff>
        </xdr:from>
        <xdr:to>
          <xdr:col>12</xdr:col>
          <xdr:colOff>161925</xdr:colOff>
          <xdr:row>14</xdr:row>
          <xdr:rowOff>38100</xdr:rowOff>
        </xdr:to>
        <xdr:sp macro="" textlink="">
          <xdr:nvSpPr>
            <xdr:cNvPr id="31754" name="Object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06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</xdr:row>
          <xdr:rowOff>0</xdr:rowOff>
        </xdr:from>
        <xdr:to>
          <xdr:col>12</xdr:col>
          <xdr:colOff>161925</xdr:colOff>
          <xdr:row>16</xdr:row>
          <xdr:rowOff>38100</xdr:rowOff>
        </xdr:to>
        <xdr:sp macro="" textlink="">
          <xdr:nvSpPr>
            <xdr:cNvPr id="31756" name="Object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06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8</xdr:row>
          <xdr:rowOff>66675</xdr:rowOff>
        </xdr:from>
        <xdr:to>
          <xdr:col>13</xdr:col>
          <xdr:colOff>19050</xdr:colOff>
          <xdr:row>13</xdr:row>
          <xdr:rowOff>57150</xdr:rowOff>
        </xdr:to>
        <xdr:sp macro="" textlink="">
          <xdr:nvSpPr>
            <xdr:cNvPr id="23554" name="Object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7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3</xdr:row>
          <xdr:rowOff>9525</xdr:rowOff>
        </xdr:from>
        <xdr:to>
          <xdr:col>12</xdr:col>
          <xdr:colOff>581025</xdr:colOff>
          <xdr:row>8</xdr:row>
          <xdr:rowOff>47625</xdr:rowOff>
        </xdr:to>
        <xdr:sp macro="" textlink="">
          <xdr:nvSpPr>
            <xdr:cNvPr id="23556" name="Object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7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15</xdr:row>
          <xdr:rowOff>0</xdr:rowOff>
        </xdr:from>
        <xdr:to>
          <xdr:col>10</xdr:col>
          <xdr:colOff>257175</xdr:colOff>
          <xdr:row>16</xdr:row>
          <xdr:rowOff>76200</xdr:rowOff>
        </xdr:to>
        <xdr:sp macro="" textlink="">
          <xdr:nvSpPr>
            <xdr:cNvPr id="23558" name="Object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7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104775</xdr:colOff>
          <xdr:row>6</xdr:row>
          <xdr:rowOff>66675</xdr:rowOff>
        </xdr:from>
        <xdr:to>
          <xdr:col>13</xdr:col>
          <xdr:colOff>200025</xdr:colOff>
          <xdr:row>8</xdr:row>
          <xdr:rowOff>133350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8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8</xdr:row>
          <xdr:rowOff>114300</xdr:rowOff>
        </xdr:from>
        <xdr:to>
          <xdr:col>13</xdr:col>
          <xdr:colOff>38100</xdr:colOff>
          <xdr:row>11</xdr:row>
          <xdr:rowOff>9525</xdr:rowOff>
        </xdr:to>
        <xdr:sp macro="" textlink="">
          <xdr:nvSpPr>
            <xdr:cNvPr id="21507" name="Object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8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114300</xdr:colOff>
          <xdr:row>11</xdr:row>
          <xdr:rowOff>9525</xdr:rowOff>
        </xdr:from>
        <xdr:to>
          <xdr:col>11</xdr:col>
          <xdr:colOff>590550</xdr:colOff>
          <xdr:row>12</xdr:row>
          <xdr:rowOff>28575</xdr:rowOff>
        </xdr:to>
        <xdr:sp macro="" textlink="">
          <xdr:nvSpPr>
            <xdr:cNvPr id="21509" name="Object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8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142875</xdr:colOff>
          <xdr:row>12</xdr:row>
          <xdr:rowOff>19050</xdr:rowOff>
        </xdr:from>
        <xdr:to>
          <xdr:col>11</xdr:col>
          <xdr:colOff>514350</xdr:colOff>
          <xdr:row>14</xdr:row>
          <xdr:rowOff>9525</xdr:rowOff>
        </xdr:to>
        <xdr:sp macro="" textlink="">
          <xdr:nvSpPr>
            <xdr:cNvPr id="21511" name="Object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8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</xdr:row>
          <xdr:rowOff>9525</xdr:rowOff>
        </xdr:from>
        <xdr:to>
          <xdr:col>11</xdr:col>
          <xdr:colOff>561975</xdr:colOff>
          <xdr:row>16</xdr:row>
          <xdr:rowOff>57150</xdr:rowOff>
        </xdr:to>
        <xdr:sp macro="" textlink="">
          <xdr:nvSpPr>
            <xdr:cNvPr id="21512" name="Object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8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16</xdr:row>
          <xdr:rowOff>180975</xdr:rowOff>
        </xdr:from>
        <xdr:to>
          <xdr:col>11</xdr:col>
          <xdr:colOff>542925</xdr:colOff>
          <xdr:row>18</xdr:row>
          <xdr:rowOff>47625</xdr:rowOff>
        </xdr:to>
        <xdr:sp macro="" textlink="">
          <xdr:nvSpPr>
            <xdr:cNvPr id="21514" name="Object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8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104775</xdr:colOff>
          <xdr:row>1</xdr:row>
          <xdr:rowOff>171450</xdr:rowOff>
        </xdr:from>
        <xdr:to>
          <xdr:col>10</xdr:col>
          <xdr:colOff>590550</xdr:colOff>
          <xdr:row>3</xdr:row>
          <xdr:rowOff>152400</xdr:rowOff>
        </xdr:to>
        <xdr:sp macro="" textlink="">
          <xdr:nvSpPr>
            <xdr:cNvPr id="21516" name="Object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8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4</xdr:row>
          <xdr:rowOff>38100</xdr:rowOff>
        </xdr:from>
        <xdr:to>
          <xdr:col>14</xdr:col>
          <xdr:colOff>390525</xdr:colOff>
          <xdr:row>6</xdr:row>
          <xdr:rowOff>85725</xdr:rowOff>
        </xdr:to>
        <xdr:sp macro="" textlink="">
          <xdr:nvSpPr>
            <xdr:cNvPr id="21518" name="Object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8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w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image" Target="../media/image10.w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wmf"/><Relationship Id="rId12" Type="http://schemas.openxmlformats.org/officeDocument/2006/relationships/oleObject" Target="../embeddings/oleObject10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9.wmf"/><Relationship Id="rId5" Type="http://schemas.openxmlformats.org/officeDocument/2006/relationships/image" Target="../media/image6.wmf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6.bin"/><Relationship Id="rId9" Type="http://schemas.openxmlformats.org/officeDocument/2006/relationships/image" Target="../media/image8.w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image" Target="../media/image15.w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wmf"/><Relationship Id="rId12" Type="http://schemas.openxmlformats.org/officeDocument/2006/relationships/oleObject" Target="../embeddings/oleObject15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2.bin"/><Relationship Id="rId11" Type="http://schemas.openxmlformats.org/officeDocument/2006/relationships/image" Target="../media/image14.wmf"/><Relationship Id="rId5" Type="http://schemas.openxmlformats.org/officeDocument/2006/relationships/image" Target="../media/image11.wmf"/><Relationship Id="rId15" Type="http://schemas.openxmlformats.org/officeDocument/2006/relationships/image" Target="../media/image16.wmf"/><Relationship Id="rId10" Type="http://schemas.openxmlformats.org/officeDocument/2006/relationships/oleObject" Target="../embeddings/oleObject14.bin"/><Relationship Id="rId4" Type="http://schemas.openxmlformats.org/officeDocument/2006/relationships/oleObject" Target="../embeddings/oleObject11.bin"/><Relationship Id="rId9" Type="http://schemas.openxmlformats.org/officeDocument/2006/relationships/image" Target="../media/image13.wmf"/><Relationship Id="rId14" Type="http://schemas.openxmlformats.org/officeDocument/2006/relationships/oleObject" Target="../embeddings/oleObject1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wmf"/><Relationship Id="rId13" Type="http://schemas.openxmlformats.org/officeDocument/2006/relationships/oleObject" Target="../embeddings/oleObject22.bin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19.bin"/><Relationship Id="rId12" Type="http://schemas.openxmlformats.org/officeDocument/2006/relationships/image" Target="../media/image8.wmf"/><Relationship Id="rId2" Type="http://schemas.openxmlformats.org/officeDocument/2006/relationships/vmlDrawing" Target="../drawings/vmlDrawing5.vml"/><Relationship Id="rId16" Type="http://schemas.openxmlformats.org/officeDocument/2006/relationships/image" Target="../media/image23.wmf"/><Relationship Id="rId1" Type="http://schemas.openxmlformats.org/officeDocument/2006/relationships/drawing" Target="../drawings/drawing6.xml"/><Relationship Id="rId6" Type="http://schemas.openxmlformats.org/officeDocument/2006/relationships/image" Target="../media/image20.wmf"/><Relationship Id="rId11" Type="http://schemas.openxmlformats.org/officeDocument/2006/relationships/oleObject" Target="../embeddings/oleObject21.bin"/><Relationship Id="rId5" Type="http://schemas.openxmlformats.org/officeDocument/2006/relationships/oleObject" Target="../embeddings/oleObject18.bin"/><Relationship Id="rId15" Type="http://schemas.openxmlformats.org/officeDocument/2006/relationships/oleObject" Target="../embeddings/oleObject23.bin"/><Relationship Id="rId10" Type="http://schemas.openxmlformats.org/officeDocument/2006/relationships/image" Target="../media/image22.wmf"/><Relationship Id="rId4" Type="http://schemas.openxmlformats.org/officeDocument/2006/relationships/image" Target="../media/image19.wmf"/><Relationship Id="rId9" Type="http://schemas.openxmlformats.org/officeDocument/2006/relationships/oleObject" Target="../embeddings/oleObject20.bin"/><Relationship Id="rId14" Type="http://schemas.openxmlformats.org/officeDocument/2006/relationships/image" Target="../media/image9.w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6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5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5.bin"/><Relationship Id="rId5" Type="http://schemas.openxmlformats.org/officeDocument/2006/relationships/image" Target="../media/image24.wmf"/><Relationship Id="rId4" Type="http://schemas.openxmlformats.org/officeDocument/2006/relationships/oleObject" Target="../embeddings/oleObject24.bin"/><Relationship Id="rId9" Type="http://schemas.openxmlformats.org/officeDocument/2006/relationships/image" Target="../media/image26.w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9.bin"/><Relationship Id="rId13" Type="http://schemas.openxmlformats.org/officeDocument/2006/relationships/image" Target="../media/image31.wmf"/><Relationship Id="rId18" Type="http://schemas.openxmlformats.org/officeDocument/2006/relationships/oleObject" Target="../embeddings/oleObject34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28.emf"/><Relationship Id="rId12" Type="http://schemas.openxmlformats.org/officeDocument/2006/relationships/oleObject" Target="../embeddings/oleObject31.bin"/><Relationship Id="rId17" Type="http://schemas.openxmlformats.org/officeDocument/2006/relationships/image" Target="../media/image33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33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8.bin"/><Relationship Id="rId11" Type="http://schemas.openxmlformats.org/officeDocument/2006/relationships/image" Target="../media/image30.wmf"/><Relationship Id="rId5" Type="http://schemas.openxmlformats.org/officeDocument/2006/relationships/image" Target="../media/image27.wmf"/><Relationship Id="rId15" Type="http://schemas.openxmlformats.org/officeDocument/2006/relationships/image" Target="../media/image32.wmf"/><Relationship Id="rId10" Type="http://schemas.openxmlformats.org/officeDocument/2006/relationships/oleObject" Target="../embeddings/oleObject30.bin"/><Relationship Id="rId19" Type="http://schemas.openxmlformats.org/officeDocument/2006/relationships/image" Target="../media/image34.wmf"/><Relationship Id="rId4" Type="http://schemas.openxmlformats.org/officeDocument/2006/relationships/oleObject" Target="../embeddings/oleObject27.bin"/><Relationship Id="rId9" Type="http://schemas.openxmlformats.org/officeDocument/2006/relationships/image" Target="../media/image29.wmf"/><Relationship Id="rId14" Type="http://schemas.openxmlformats.org/officeDocument/2006/relationships/oleObject" Target="../embeddings/oleObject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workbookViewId="0">
      <selection activeCell="O13" sqref="O13"/>
    </sheetView>
  </sheetViews>
  <sheetFormatPr defaultColWidth="9.140625" defaultRowHeight="15"/>
  <cols>
    <col min="1" max="8" width="9.140625" style="5"/>
    <col min="9" max="9" width="9.140625" style="13"/>
    <col min="10" max="16384" width="9.140625" style="5"/>
  </cols>
  <sheetData>
    <row r="1" spans="1:23">
      <c r="A1" s="5" t="s">
        <v>0</v>
      </c>
      <c r="B1" s="5" t="s">
        <v>1</v>
      </c>
      <c r="C1" s="5" t="s">
        <v>2</v>
      </c>
      <c r="D1" s="5" t="s">
        <v>3</v>
      </c>
    </row>
    <row r="2" spans="1:23">
      <c r="A2" s="5">
        <v>1</v>
      </c>
      <c r="B2" s="5">
        <v>1000</v>
      </c>
    </row>
    <row r="3" spans="1:23">
      <c r="A3" s="5">
        <v>2</v>
      </c>
      <c r="B3" s="5">
        <v>1050</v>
      </c>
    </row>
    <row r="4" spans="1:23">
      <c r="A4" s="5">
        <v>3</v>
      </c>
      <c r="B4" s="5">
        <v>950</v>
      </c>
      <c r="J4" s="13"/>
    </row>
    <row r="5" spans="1:23">
      <c r="A5" s="5">
        <v>4</v>
      </c>
      <c r="B5" s="5">
        <v>1150</v>
      </c>
      <c r="C5" s="5">
        <f t="shared" ref="C5:C14" si="0">AVERAGE(B2:B4)</f>
        <v>1000</v>
      </c>
      <c r="J5" s="13"/>
    </row>
    <row r="6" spans="1:23">
      <c r="A6" s="5">
        <v>5</v>
      </c>
      <c r="B6" s="5">
        <v>1100</v>
      </c>
      <c r="C6" s="5">
        <f t="shared" si="0"/>
        <v>1050</v>
      </c>
      <c r="J6" s="13"/>
    </row>
    <row r="7" spans="1:23">
      <c r="A7" s="5">
        <v>6</v>
      </c>
      <c r="B7" s="5">
        <v>900</v>
      </c>
      <c r="C7" s="5">
        <f t="shared" si="0"/>
        <v>1066.6666666666667</v>
      </c>
      <c r="D7" s="5">
        <f>AVERAGE(B2:B6)</f>
        <v>1050</v>
      </c>
      <c r="J7" s="13"/>
    </row>
    <row r="8" spans="1:23">
      <c r="A8" s="5">
        <v>7</v>
      </c>
      <c r="B8" s="5">
        <v>1000</v>
      </c>
      <c r="C8" s="5">
        <f t="shared" si="0"/>
        <v>1050</v>
      </c>
      <c r="D8" s="5">
        <f t="shared" ref="D8:D14" si="1">AVERAGE(B3:B7)</f>
        <v>1030</v>
      </c>
      <c r="F8" s="13" t="s">
        <v>45</v>
      </c>
      <c r="J8" s="13"/>
    </row>
    <row r="9" spans="1:23">
      <c r="A9" s="5">
        <v>8</v>
      </c>
      <c r="B9" s="5">
        <v>1250</v>
      </c>
      <c r="C9" s="5">
        <f t="shared" si="0"/>
        <v>1000</v>
      </c>
      <c r="D9" s="5">
        <f t="shared" si="1"/>
        <v>1020</v>
      </c>
      <c r="J9" s="13"/>
    </row>
    <row r="10" spans="1:23">
      <c r="A10" s="5">
        <v>9</v>
      </c>
      <c r="B10" s="5">
        <v>1150</v>
      </c>
      <c r="C10" s="5">
        <f t="shared" si="0"/>
        <v>1050</v>
      </c>
      <c r="D10" s="5">
        <f t="shared" si="1"/>
        <v>1080</v>
      </c>
      <c r="J10" s="13"/>
    </row>
    <row r="11" spans="1:23">
      <c r="A11" s="5">
        <v>10</v>
      </c>
      <c r="B11" s="5">
        <v>980</v>
      </c>
      <c r="C11" s="5">
        <f t="shared" si="0"/>
        <v>1133.3333333333333</v>
      </c>
      <c r="D11" s="5">
        <f t="shared" si="1"/>
        <v>1080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>
      <c r="A12" s="5">
        <v>11</v>
      </c>
      <c r="B12" s="5">
        <v>1080</v>
      </c>
      <c r="C12" s="5">
        <f t="shared" si="0"/>
        <v>1126.6666666666667</v>
      </c>
      <c r="D12" s="5">
        <f t="shared" si="1"/>
        <v>1056</v>
      </c>
      <c r="J12" s="13" t="s">
        <v>42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>
      <c r="A13" s="5">
        <v>12</v>
      </c>
      <c r="B13" s="5">
        <v>1100</v>
      </c>
      <c r="C13" s="5">
        <f t="shared" si="0"/>
        <v>1070</v>
      </c>
      <c r="D13" s="5">
        <f t="shared" si="1"/>
        <v>1092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>
      <c r="A14" s="14">
        <v>13</v>
      </c>
      <c r="C14" s="14">
        <f t="shared" si="0"/>
        <v>1053.3333333333333</v>
      </c>
      <c r="D14" s="14">
        <f t="shared" si="1"/>
        <v>1112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>
      <c r="C15" s="14"/>
      <c r="D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>
      <c r="A16" s="13" t="s">
        <v>35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9:23">
      <c r="I17" s="13" t="s">
        <v>36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9:23">
      <c r="I18" s="13" t="s">
        <v>37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9:23"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9:23">
      <c r="I20" s="13" t="s">
        <v>38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9:23">
      <c r="I21" s="13" t="s">
        <v>39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9:23"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9:23">
      <c r="I23" s="13" t="s">
        <v>40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9:23">
      <c r="I24" s="15" t="s">
        <v>41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9:23"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9:23">
      <c r="I26" s="13" t="s">
        <v>43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9:23"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9:23"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9:23"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9:23"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9:23">
      <c r="J31" s="13"/>
    </row>
    <row r="35" spans="9:9">
      <c r="I35" s="13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C5" sqref="C5"/>
    </sheetView>
  </sheetViews>
  <sheetFormatPr defaultColWidth="9.140625" defaultRowHeight="15"/>
  <cols>
    <col min="1" max="2" width="9.140625" style="5"/>
    <col min="3" max="3" width="15.42578125" style="5" bestFit="1" customWidth="1"/>
    <col min="4" max="16384" width="9.140625" style="5"/>
  </cols>
  <sheetData>
    <row r="1" spans="1:4">
      <c r="A1" s="5" t="s">
        <v>0</v>
      </c>
      <c r="B1" s="5" t="s">
        <v>1</v>
      </c>
      <c r="C1" s="5" t="s">
        <v>33</v>
      </c>
    </row>
    <row r="2" spans="1:4">
      <c r="A2" s="5">
        <v>1</v>
      </c>
      <c r="B2" s="5">
        <v>25</v>
      </c>
    </row>
    <row r="3" spans="1:4">
      <c r="A3" s="5">
        <v>2</v>
      </c>
      <c r="B3" s="5">
        <v>22</v>
      </c>
    </row>
    <row r="4" spans="1:4">
      <c r="A4" s="5">
        <v>3</v>
      </c>
      <c r="B4" s="5">
        <v>26</v>
      </c>
    </row>
    <row r="5" spans="1:4">
      <c r="A5" s="5">
        <v>4</v>
      </c>
      <c r="B5" s="5">
        <v>23</v>
      </c>
      <c r="C5" s="5">
        <f>0.5*B4+0.3*B3+0.2*B2</f>
        <v>24.6</v>
      </c>
    </row>
    <row r="6" spans="1:4">
      <c r="A6" s="5">
        <v>5</v>
      </c>
      <c r="B6" s="5">
        <v>28</v>
      </c>
      <c r="C6" s="5">
        <f t="shared" ref="C6:C11" si="0">0.5*B5+0.3*B4+0.2*B3</f>
        <v>23.700000000000003</v>
      </c>
    </row>
    <row r="7" spans="1:4">
      <c r="A7" s="5">
        <v>6</v>
      </c>
      <c r="B7" s="5">
        <v>20</v>
      </c>
      <c r="C7" s="5">
        <f t="shared" si="0"/>
        <v>26.099999999999998</v>
      </c>
    </row>
    <row r="8" spans="1:4">
      <c r="A8" s="5">
        <v>7</v>
      </c>
      <c r="B8" s="5">
        <v>22</v>
      </c>
      <c r="C8" s="5">
        <f t="shared" si="0"/>
        <v>23</v>
      </c>
    </row>
    <row r="9" spans="1:4">
      <c r="A9" s="5">
        <v>8</v>
      </c>
      <c r="B9" s="5">
        <v>27</v>
      </c>
      <c r="C9" s="5">
        <f t="shared" si="0"/>
        <v>22.6</v>
      </c>
    </row>
    <row r="10" spans="1:4">
      <c r="A10" s="5">
        <v>9</v>
      </c>
      <c r="B10" s="5">
        <v>29</v>
      </c>
      <c r="C10" s="5">
        <f t="shared" si="0"/>
        <v>24.1</v>
      </c>
    </row>
    <row r="11" spans="1:4">
      <c r="A11" s="5">
        <v>10</v>
      </c>
      <c r="B11" s="5">
        <v>25</v>
      </c>
      <c r="C11" s="5">
        <f t="shared" si="0"/>
        <v>27</v>
      </c>
    </row>
    <row r="12" spans="1:4">
      <c r="A12" s="14">
        <v>11</v>
      </c>
      <c r="C12" s="14">
        <f>0.5*B11+0.3*B10+0.2*B9</f>
        <v>26.6</v>
      </c>
      <c r="D12" s="15" t="s">
        <v>47</v>
      </c>
    </row>
    <row r="15" spans="1:4">
      <c r="A15" s="13" t="s">
        <v>48</v>
      </c>
    </row>
    <row r="16" spans="1:4">
      <c r="A16" s="13" t="s">
        <v>49</v>
      </c>
    </row>
    <row r="17" spans="1:1">
      <c r="A17" s="13" t="s">
        <v>46</v>
      </c>
    </row>
    <row r="18" spans="1:1">
      <c r="A18" s="15" t="s">
        <v>50</v>
      </c>
    </row>
    <row r="20" spans="1:1">
      <c r="A20" s="13" t="s">
        <v>51</v>
      </c>
    </row>
    <row r="22" spans="1:1">
      <c r="A22" s="1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E21" sqref="E21"/>
    </sheetView>
  </sheetViews>
  <sheetFormatPr defaultColWidth="9.140625" defaultRowHeight="15"/>
  <cols>
    <col min="1" max="2" width="9.140625" style="5"/>
    <col min="3" max="3" width="22.85546875" style="5" customWidth="1"/>
    <col min="4" max="4" width="18.85546875" style="5" bestFit="1" customWidth="1"/>
    <col min="5" max="5" width="13.7109375" style="5" bestFit="1" customWidth="1"/>
    <col min="6" max="6" width="13.7109375" style="5" customWidth="1"/>
    <col min="7" max="7" width="15" style="5" customWidth="1"/>
    <col min="8" max="16384" width="9.140625" style="5"/>
  </cols>
  <sheetData>
    <row r="1" spans="1:15">
      <c r="A1" s="5" t="s">
        <v>14</v>
      </c>
      <c r="B1" s="5" t="s">
        <v>1</v>
      </c>
      <c r="C1" s="9" t="s">
        <v>5</v>
      </c>
      <c r="D1" s="9" t="s">
        <v>6</v>
      </c>
      <c r="E1" s="5">
        <v>9.4E-2</v>
      </c>
    </row>
    <row r="2" spans="1:15">
      <c r="A2" s="5">
        <v>2533</v>
      </c>
      <c r="B2" s="5">
        <v>30</v>
      </c>
      <c r="C2" s="10">
        <f>$G$8</f>
        <v>32.700000000000003</v>
      </c>
      <c r="D2" s="10">
        <f>$G$8</f>
        <v>32.700000000000003</v>
      </c>
      <c r="E2" s="10">
        <f>$G$8</f>
        <v>32.700000000000003</v>
      </c>
      <c r="F2" s="10"/>
      <c r="G2" s="9"/>
      <c r="H2" s="9"/>
      <c r="I2" s="11"/>
    </row>
    <row r="3" spans="1:15">
      <c r="A3" s="5">
        <v>2534</v>
      </c>
      <c r="B3" s="5">
        <v>35</v>
      </c>
      <c r="C3" s="10">
        <f>0.1*B2+(1-0.1)*C2</f>
        <v>32.430000000000007</v>
      </c>
      <c r="D3" s="10">
        <f>0.9*B2+(1-0.9)*D2</f>
        <v>30.27</v>
      </c>
      <c r="E3" s="10">
        <f>0.094*B2+(1-0.094)*E2</f>
        <v>32.446200000000005</v>
      </c>
      <c r="F3" s="10"/>
      <c r="G3" s="9"/>
      <c r="H3" s="9"/>
      <c r="I3" s="9"/>
      <c r="J3" s="13" t="s">
        <v>54</v>
      </c>
    </row>
    <row r="4" spans="1:15">
      <c r="A4" s="5">
        <v>2535</v>
      </c>
      <c r="B4" s="5">
        <v>32</v>
      </c>
      <c r="C4" s="10">
        <f t="shared" ref="C4:C12" si="0">0.1*B3+(1-0.1)*C3</f>
        <v>32.687000000000012</v>
      </c>
      <c r="D4" s="10">
        <f t="shared" ref="D4:D12" si="1">0.9*B3+(1-0.9)*D3</f>
        <v>34.527000000000001</v>
      </c>
      <c r="E4" s="10">
        <f t="shared" ref="E4:E12" si="2">0.094*B3+(1-0.094)*E3</f>
        <v>32.686257200000007</v>
      </c>
      <c r="F4" s="10"/>
      <c r="G4" s="9"/>
      <c r="H4" s="9"/>
      <c r="I4" s="11"/>
    </row>
    <row r="5" spans="1:15">
      <c r="A5" s="5">
        <v>2536</v>
      </c>
      <c r="B5" s="5">
        <v>33</v>
      </c>
      <c r="C5" s="10">
        <f t="shared" si="0"/>
        <v>32.618300000000012</v>
      </c>
      <c r="D5" s="10">
        <f t="shared" si="1"/>
        <v>32.252699999999997</v>
      </c>
      <c r="E5" s="10">
        <f t="shared" si="2"/>
        <v>32.62174902320001</v>
      </c>
      <c r="F5" s="10"/>
      <c r="G5" s="9"/>
      <c r="H5" s="9"/>
      <c r="I5" s="9"/>
    </row>
    <row r="6" spans="1:15">
      <c r="A6" s="5">
        <v>2537</v>
      </c>
      <c r="B6" s="5">
        <v>34</v>
      </c>
      <c r="C6" s="10">
        <f t="shared" si="0"/>
        <v>32.656470000000013</v>
      </c>
      <c r="D6" s="10">
        <f t="shared" si="1"/>
        <v>32.925269999999998</v>
      </c>
      <c r="E6" s="10">
        <f t="shared" si="2"/>
        <v>32.657304615019207</v>
      </c>
      <c r="F6" s="10"/>
    </row>
    <row r="7" spans="1:15">
      <c r="A7" s="5">
        <v>2538</v>
      </c>
      <c r="B7" s="5">
        <v>35</v>
      </c>
      <c r="C7" s="10">
        <f t="shared" si="0"/>
        <v>32.79082300000001</v>
      </c>
      <c r="D7" s="10">
        <f t="shared" si="1"/>
        <v>33.892527000000001</v>
      </c>
      <c r="E7" s="10">
        <f t="shared" si="2"/>
        <v>32.783517981207403</v>
      </c>
      <c r="F7" s="10"/>
      <c r="G7" s="13" t="s">
        <v>34</v>
      </c>
    </row>
    <row r="8" spans="1:15">
      <c r="A8" s="5">
        <v>2539</v>
      </c>
      <c r="B8" s="5">
        <v>33</v>
      </c>
      <c r="C8" s="10">
        <f t="shared" si="0"/>
        <v>33.011740700000011</v>
      </c>
      <c r="D8" s="10">
        <f t="shared" si="1"/>
        <v>34.8892527</v>
      </c>
      <c r="E8" s="10">
        <f t="shared" si="2"/>
        <v>32.991867290973907</v>
      </c>
      <c r="F8" s="10"/>
      <c r="G8" s="15">
        <f>AVERAGE(B2:B11)</f>
        <v>32.700000000000003</v>
      </c>
      <c r="H8" s="16"/>
    </row>
    <row r="9" spans="1:15">
      <c r="A9" s="5">
        <v>2540</v>
      </c>
      <c r="B9" s="5">
        <v>31</v>
      </c>
      <c r="C9" s="10">
        <f t="shared" si="0"/>
        <v>33.010566630000007</v>
      </c>
      <c r="D9" s="10">
        <f t="shared" si="1"/>
        <v>33.188925269999999</v>
      </c>
      <c r="E9" s="10">
        <f t="shared" si="2"/>
        <v>32.992631765622356</v>
      </c>
      <c r="F9" s="10"/>
      <c r="G9" s="13" t="s">
        <v>55</v>
      </c>
    </row>
    <row r="10" spans="1:15">
      <c r="A10" s="5">
        <v>2541</v>
      </c>
      <c r="B10" s="5">
        <v>30</v>
      </c>
      <c r="C10" s="10">
        <f t="shared" si="0"/>
        <v>32.809509967000004</v>
      </c>
      <c r="D10" s="10">
        <f t="shared" si="1"/>
        <v>31.218892527000001</v>
      </c>
      <c r="E10" s="10">
        <f t="shared" si="2"/>
        <v>32.805324379653854</v>
      </c>
      <c r="F10" s="10"/>
      <c r="G10" s="13" t="s">
        <v>56</v>
      </c>
      <c r="O10" s="5" t="s">
        <v>42</v>
      </c>
    </row>
    <row r="11" spans="1:15">
      <c r="A11" s="5">
        <v>2542</v>
      </c>
      <c r="B11" s="5">
        <v>34</v>
      </c>
      <c r="C11" s="10">
        <f t="shared" si="0"/>
        <v>32.528558970300004</v>
      </c>
      <c r="D11" s="10">
        <f t="shared" si="1"/>
        <v>30.121889252700001</v>
      </c>
      <c r="E11" s="10">
        <f t="shared" si="2"/>
        <v>32.541623887966388</v>
      </c>
      <c r="F11" s="10"/>
    </row>
    <row r="12" spans="1:15">
      <c r="A12" s="14">
        <v>2543</v>
      </c>
      <c r="B12" s="14"/>
      <c r="C12" s="17">
        <f t="shared" si="0"/>
        <v>32.675703073270007</v>
      </c>
      <c r="D12" s="17">
        <f t="shared" si="1"/>
        <v>33.612188925270004</v>
      </c>
      <c r="E12" s="17">
        <f t="shared" si="2"/>
        <v>32.678711242497549</v>
      </c>
      <c r="F12" s="17"/>
      <c r="G12" s="19" t="s">
        <v>59</v>
      </c>
      <c r="H12" s="20"/>
      <c r="I12" s="20"/>
      <c r="J12" s="20"/>
      <c r="K12" s="20"/>
      <c r="L12" s="20"/>
      <c r="M12" s="20"/>
      <c r="N12" s="20"/>
    </row>
    <row r="13" spans="1:15">
      <c r="A13" s="14"/>
      <c r="B13" s="14"/>
      <c r="C13" s="14"/>
      <c r="D13" s="14"/>
      <c r="E13" s="14" t="s">
        <v>42</v>
      </c>
      <c r="F13" s="14"/>
      <c r="G13" s="19" t="s">
        <v>53</v>
      </c>
      <c r="H13" s="20"/>
      <c r="I13" s="20"/>
      <c r="J13" s="20"/>
      <c r="K13" s="20"/>
      <c r="L13" s="20"/>
      <c r="M13" s="20"/>
      <c r="N13" s="20"/>
    </row>
    <row r="14" spans="1:15" ht="45">
      <c r="C14" s="18" t="s">
        <v>58</v>
      </c>
      <c r="D14" s="18" t="s">
        <v>57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5602" r:id="rId4">
          <objectPr defaultSize="0" autoPict="0" r:id="rId5">
            <anchor moveWithCells="1" sizeWithCells="1">
              <from>
                <xdr:col>6</xdr:col>
                <xdr:colOff>333375</xdr:colOff>
                <xdr:row>1</xdr:row>
                <xdr:rowOff>114300</xdr:rowOff>
              </from>
              <to>
                <xdr:col>8</xdr:col>
                <xdr:colOff>104775</xdr:colOff>
                <xdr:row>3</xdr:row>
                <xdr:rowOff>0</xdr:rowOff>
              </to>
            </anchor>
          </objectPr>
        </oleObject>
      </mc:Choice>
      <mc:Fallback>
        <oleObject progId="Equation.DSMT4" shapeId="25602" r:id="rId4"/>
      </mc:Fallback>
    </mc:AlternateContent>
    <mc:AlternateContent xmlns:mc="http://schemas.openxmlformats.org/markup-compatibility/2006">
      <mc:Choice Requires="x14">
        <oleObject progId="Equation.DSMT4" shapeId="25603" r:id="rId6">
          <objectPr defaultSize="0" autoPict="0" r:id="rId7">
            <anchor moveWithCells="1" sizeWithCells="1">
              <from>
                <xdr:col>6</xdr:col>
                <xdr:colOff>352425</xdr:colOff>
                <xdr:row>3</xdr:row>
                <xdr:rowOff>104775</xdr:rowOff>
              </from>
              <to>
                <xdr:col>6</xdr:col>
                <xdr:colOff>971550</xdr:colOff>
                <xdr:row>4</xdr:row>
                <xdr:rowOff>180975</xdr:rowOff>
              </to>
            </anchor>
          </objectPr>
        </oleObject>
      </mc:Choice>
      <mc:Fallback>
        <oleObject progId="Equation.DSMT4" shapeId="25603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workbookViewId="0">
      <selection activeCell="K18" sqref="K18"/>
    </sheetView>
  </sheetViews>
  <sheetFormatPr defaultRowHeight="15"/>
  <cols>
    <col min="3" max="3" width="23.7109375" bestFit="1" customWidth="1"/>
    <col min="4" max="4" width="24.140625" bestFit="1" customWidth="1"/>
    <col min="9" max="9" width="13.42578125" customWidth="1"/>
  </cols>
  <sheetData>
    <row r="1" spans="1:12">
      <c r="A1" t="s">
        <v>7</v>
      </c>
      <c r="B1" t="s">
        <v>8</v>
      </c>
      <c r="C1" s="11" t="s">
        <v>61</v>
      </c>
      <c r="D1" s="11" t="s">
        <v>62</v>
      </c>
      <c r="E1" t="s">
        <v>9</v>
      </c>
      <c r="F1" t="s">
        <v>10</v>
      </c>
      <c r="G1" t="s">
        <v>11</v>
      </c>
      <c r="H1" s="5" t="s">
        <v>64</v>
      </c>
    </row>
    <row r="2" spans="1:12">
      <c r="A2">
        <v>1</v>
      </c>
      <c r="B2">
        <v>85</v>
      </c>
      <c r="J2" s="11"/>
      <c r="K2" s="11"/>
      <c r="L2" s="11"/>
    </row>
    <row r="3" spans="1:12">
      <c r="A3">
        <v>2</v>
      </c>
      <c r="B3">
        <v>90</v>
      </c>
      <c r="I3" t="s">
        <v>12</v>
      </c>
      <c r="J3" s="11"/>
      <c r="K3" s="11"/>
      <c r="L3" s="11"/>
    </row>
    <row r="4" spans="1:12">
      <c r="A4">
        <v>3</v>
      </c>
      <c r="B4">
        <v>95</v>
      </c>
      <c r="C4" s="1">
        <f>AVERAGE(B2:B4)</f>
        <v>90</v>
      </c>
      <c r="I4" t="s">
        <v>13</v>
      </c>
      <c r="J4" s="11"/>
      <c r="K4" s="11"/>
      <c r="L4" s="11"/>
    </row>
    <row r="5" spans="1:12">
      <c r="A5">
        <v>4</v>
      </c>
      <c r="B5">
        <v>107</v>
      </c>
      <c r="C5" s="1">
        <f t="shared" ref="C5:D16" si="0">AVERAGE(B3:B5)</f>
        <v>97.333333333333329</v>
      </c>
      <c r="J5" s="11"/>
      <c r="K5" s="11"/>
      <c r="L5" s="11"/>
    </row>
    <row r="6" spans="1:12">
      <c r="A6">
        <v>5</v>
      </c>
      <c r="B6">
        <v>110</v>
      </c>
      <c r="C6" s="1">
        <f t="shared" si="0"/>
        <v>104</v>
      </c>
      <c r="D6" s="1">
        <f>AVERAGE(C4:C6)</f>
        <v>97.1111111111111</v>
      </c>
      <c r="E6" s="1">
        <f t="shared" ref="E6:E7" si="1">2*C6-D6</f>
        <v>110.8888888888889</v>
      </c>
      <c r="F6" s="1">
        <f t="shared" ref="F6:F7" si="2">(2/(3-1))*(C6-D6)</f>
        <v>6.8888888888888999</v>
      </c>
      <c r="J6" s="11"/>
      <c r="K6" s="11"/>
      <c r="L6" s="11"/>
    </row>
    <row r="7" spans="1:12">
      <c r="A7">
        <v>6</v>
      </c>
      <c r="B7">
        <v>119</v>
      </c>
      <c r="C7" s="1">
        <f t="shared" si="0"/>
        <v>112</v>
      </c>
      <c r="D7" s="1">
        <f t="shared" si="0"/>
        <v>104.44444444444444</v>
      </c>
      <c r="E7" s="1">
        <f t="shared" si="1"/>
        <v>119.55555555555556</v>
      </c>
      <c r="F7" s="1">
        <f t="shared" si="2"/>
        <v>7.5555555555555571</v>
      </c>
      <c r="G7" s="1">
        <f>E6+F6*1</f>
        <v>117.7777777777778</v>
      </c>
      <c r="J7" s="11"/>
      <c r="K7" s="11"/>
      <c r="L7" s="11"/>
    </row>
    <row r="8" spans="1:12">
      <c r="A8">
        <v>7</v>
      </c>
      <c r="B8">
        <v>121</v>
      </c>
      <c r="C8" s="1">
        <f t="shared" si="0"/>
        <v>116.66666666666667</v>
      </c>
      <c r="D8" s="1">
        <f t="shared" si="0"/>
        <v>110.8888888888889</v>
      </c>
      <c r="E8" s="1">
        <f>2*C8-D8</f>
        <v>122.44444444444444</v>
      </c>
      <c r="F8" s="1">
        <f>(2/(3-1))*(C8-D8)</f>
        <v>5.7777777777777715</v>
      </c>
      <c r="G8" s="1">
        <f t="shared" ref="G8:G16" si="3">E7+F7*1</f>
        <v>127.11111111111111</v>
      </c>
      <c r="J8" s="11"/>
      <c r="K8" s="11"/>
      <c r="L8" s="11"/>
    </row>
    <row r="9" spans="1:12">
      <c r="A9">
        <v>8</v>
      </c>
      <c r="B9">
        <v>128</v>
      </c>
      <c r="C9" s="1">
        <f t="shared" si="0"/>
        <v>122.66666666666667</v>
      </c>
      <c r="D9" s="1">
        <f t="shared" si="0"/>
        <v>117.11111111111113</v>
      </c>
      <c r="E9" s="1">
        <f t="shared" ref="E9:E16" si="4">2*C9-D9</f>
        <v>128.22222222222223</v>
      </c>
      <c r="F9" s="1">
        <f t="shared" ref="F9:F16" si="5">(2/(3-1))*(C9-D9)</f>
        <v>5.5555555555555429</v>
      </c>
      <c r="G9" s="1">
        <f t="shared" si="3"/>
        <v>128.22222222222223</v>
      </c>
      <c r="I9" t="s">
        <v>63</v>
      </c>
    </row>
    <row r="10" spans="1:12">
      <c r="A10">
        <v>9</v>
      </c>
      <c r="B10">
        <v>135</v>
      </c>
      <c r="C10" s="1">
        <f t="shared" si="0"/>
        <v>128</v>
      </c>
      <c r="D10" s="1">
        <f t="shared" ref="D10" si="6">AVERAGE(C8:C10)</f>
        <v>122.44444444444446</v>
      </c>
      <c r="E10" s="1">
        <f t="shared" si="4"/>
        <v>133.55555555555554</v>
      </c>
      <c r="F10" s="1">
        <f t="shared" si="5"/>
        <v>5.5555555555555429</v>
      </c>
      <c r="G10" s="1">
        <f t="shared" si="3"/>
        <v>133.77777777777777</v>
      </c>
    </row>
    <row r="11" spans="1:12">
      <c r="A11">
        <v>10</v>
      </c>
      <c r="B11">
        <v>140</v>
      </c>
      <c r="C11" s="1">
        <f t="shared" si="0"/>
        <v>134.33333333333334</v>
      </c>
      <c r="D11" s="1">
        <f t="shared" ref="D11:D12" si="7">AVERAGE(C9:C11)</f>
        <v>128.33333333333334</v>
      </c>
      <c r="E11" s="1">
        <f t="shared" si="4"/>
        <v>140.33333333333334</v>
      </c>
      <c r="F11" s="1">
        <f t="shared" si="5"/>
        <v>6</v>
      </c>
      <c r="G11" s="1">
        <f t="shared" si="3"/>
        <v>139.11111111111109</v>
      </c>
    </row>
    <row r="12" spans="1:12">
      <c r="A12">
        <v>11</v>
      </c>
      <c r="B12">
        <v>143</v>
      </c>
      <c r="C12" s="1">
        <f t="shared" si="0"/>
        <v>139.33333333333334</v>
      </c>
      <c r="D12" s="1">
        <f t="shared" si="7"/>
        <v>133.88888888888891</v>
      </c>
      <c r="E12" s="1">
        <f t="shared" si="4"/>
        <v>144.77777777777777</v>
      </c>
      <c r="F12" s="1">
        <f t="shared" si="5"/>
        <v>5.4444444444444287</v>
      </c>
      <c r="G12" s="1">
        <f t="shared" si="3"/>
        <v>146.33333333333334</v>
      </c>
    </row>
    <row r="13" spans="1:12">
      <c r="A13">
        <v>12</v>
      </c>
      <c r="B13">
        <v>147</v>
      </c>
      <c r="C13" s="1">
        <f t="shared" si="0"/>
        <v>143.33333333333334</v>
      </c>
      <c r="D13" s="1">
        <f t="shared" ref="D13" si="8">AVERAGE(C11:C13)</f>
        <v>139</v>
      </c>
      <c r="E13" s="1">
        <f t="shared" si="4"/>
        <v>147.66666666666669</v>
      </c>
      <c r="F13" s="1">
        <f t="shared" si="5"/>
        <v>4.3333333333333428</v>
      </c>
      <c r="G13" s="1">
        <f t="shared" si="3"/>
        <v>150.2222222222222</v>
      </c>
      <c r="H13" t="s">
        <v>77</v>
      </c>
    </row>
    <row r="14" spans="1:12">
      <c r="A14">
        <v>13</v>
      </c>
      <c r="B14">
        <v>152</v>
      </c>
      <c r="C14" s="1">
        <f t="shared" si="0"/>
        <v>147.33333333333334</v>
      </c>
      <c r="D14" s="1">
        <f t="shared" ref="D14:D15" si="9">AVERAGE(C12:C14)</f>
        <v>143.33333333333334</v>
      </c>
      <c r="E14" s="1">
        <f t="shared" si="4"/>
        <v>151.33333333333334</v>
      </c>
      <c r="F14" s="1">
        <f t="shared" si="5"/>
        <v>4</v>
      </c>
      <c r="G14" s="1">
        <f t="shared" si="3"/>
        <v>152.00000000000003</v>
      </c>
      <c r="H14" t="s">
        <v>78</v>
      </c>
    </row>
    <row r="15" spans="1:12">
      <c r="A15">
        <v>14</v>
      </c>
      <c r="B15">
        <v>158</v>
      </c>
      <c r="C15" s="1">
        <f t="shared" si="0"/>
        <v>152.33333333333334</v>
      </c>
      <c r="D15" s="1">
        <f t="shared" si="9"/>
        <v>147.66666666666666</v>
      </c>
      <c r="E15" s="1">
        <f t="shared" si="4"/>
        <v>157.00000000000003</v>
      </c>
      <c r="F15" s="1">
        <f t="shared" si="5"/>
        <v>4.6666666666666856</v>
      </c>
      <c r="G15" s="1">
        <f t="shared" si="3"/>
        <v>155.33333333333334</v>
      </c>
    </row>
    <row r="16" spans="1:12">
      <c r="A16">
        <v>15</v>
      </c>
      <c r="B16">
        <v>164</v>
      </c>
      <c r="C16" s="1">
        <f t="shared" si="0"/>
        <v>158</v>
      </c>
      <c r="D16" s="1">
        <f t="shared" ref="D16" si="10">AVERAGE(C14:C16)</f>
        <v>152.55555555555557</v>
      </c>
      <c r="E16" s="1">
        <f t="shared" si="4"/>
        <v>163.44444444444443</v>
      </c>
      <c r="F16" s="1">
        <f t="shared" si="5"/>
        <v>5.4444444444444287</v>
      </c>
      <c r="G16" s="1">
        <f t="shared" si="3"/>
        <v>161.66666666666671</v>
      </c>
      <c r="H16" s="4"/>
    </row>
    <row r="17" spans="1:11">
      <c r="A17" s="21">
        <v>16</v>
      </c>
      <c r="B17" s="21"/>
      <c r="C17" s="22"/>
      <c r="D17" s="22"/>
      <c r="E17" s="21"/>
      <c r="F17" s="21"/>
      <c r="G17" s="22">
        <f>$E$16+$F$16*H17</f>
        <v>168.88888888888886</v>
      </c>
      <c r="H17" s="21">
        <v>1</v>
      </c>
      <c r="I17" t="s">
        <v>65</v>
      </c>
      <c r="K17" t="s">
        <v>79</v>
      </c>
    </row>
    <row r="18" spans="1:11">
      <c r="A18" s="21">
        <v>17</v>
      </c>
      <c r="B18" s="21"/>
      <c r="C18" s="21"/>
      <c r="D18" s="22"/>
      <c r="E18" s="21"/>
      <c r="F18" s="21"/>
      <c r="G18" s="22">
        <f t="shared" ref="G18:G20" si="11">$E$16+$F$16*H18</f>
        <v>174.33333333333329</v>
      </c>
      <c r="H18" s="23">
        <v>2</v>
      </c>
      <c r="I18" t="s">
        <v>65</v>
      </c>
    </row>
    <row r="19" spans="1:11">
      <c r="A19" s="21">
        <v>18</v>
      </c>
      <c r="B19" s="21"/>
      <c r="C19" s="21"/>
      <c r="D19" s="21" t="s">
        <v>42</v>
      </c>
      <c r="E19" s="21"/>
      <c r="F19" s="21"/>
      <c r="G19" s="22">
        <f t="shared" si="11"/>
        <v>179.77777777777771</v>
      </c>
      <c r="H19" s="23">
        <v>3</v>
      </c>
      <c r="I19" t="s">
        <v>65</v>
      </c>
    </row>
    <row r="20" spans="1:11">
      <c r="A20" s="21">
        <v>19</v>
      </c>
      <c r="B20" s="21"/>
      <c r="C20" s="21"/>
      <c r="D20" s="21"/>
      <c r="E20" s="21"/>
      <c r="F20" s="21"/>
      <c r="G20" s="22">
        <f t="shared" si="11"/>
        <v>185.22222222222214</v>
      </c>
      <c r="H20" s="23">
        <v>4</v>
      </c>
      <c r="I20" t="s">
        <v>65</v>
      </c>
    </row>
    <row r="22" spans="1:11">
      <c r="A22" t="s">
        <v>60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8674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409575</xdr:colOff>
                <xdr:row>3</xdr:row>
                <xdr:rowOff>76200</xdr:rowOff>
              </to>
            </anchor>
          </objectPr>
        </oleObject>
      </mc:Choice>
      <mc:Fallback>
        <oleObject progId="Equation.DSMT4" shapeId="28674" r:id="rId4"/>
      </mc:Fallback>
    </mc:AlternateContent>
    <mc:AlternateContent xmlns:mc="http://schemas.openxmlformats.org/markup-compatibility/2006">
      <mc:Choice Requires="x14">
        <oleObject progId="Equation.DSMT4" shapeId="28676" r:id="rId6">
          <objectPr defaultSize="0" autoPict="0" r:id="rId7">
            <anchor moveWithCells="1" siz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238125</xdr:colOff>
                <xdr:row>5</xdr:row>
                <xdr:rowOff>38100</xdr:rowOff>
              </to>
            </anchor>
          </objectPr>
        </oleObject>
      </mc:Choice>
      <mc:Fallback>
        <oleObject progId="Equation.DSMT4" shapeId="28676" r:id="rId6"/>
      </mc:Fallback>
    </mc:AlternateContent>
    <mc:AlternateContent xmlns:mc="http://schemas.openxmlformats.org/markup-compatibility/2006">
      <mc:Choice Requires="x14">
        <oleObject progId="Equation.DSMT4" shapeId="28678" r:id="rId8">
          <objectPr defaultSize="0" autoPict="0" r:id="rId9">
            <anchor moveWithCells="1" sizeWithCells="1">
              <from>
                <xdr:col>9</xdr:col>
                <xdr:colOff>19050</xdr:colOff>
                <xdr:row>5</xdr:row>
                <xdr:rowOff>76200</xdr:rowOff>
              </from>
              <to>
                <xdr:col>11</xdr:col>
                <xdr:colOff>161925</xdr:colOff>
                <xdr:row>7</xdr:row>
                <xdr:rowOff>123825</xdr:rowOff>
              </to>
            </anchor>
          </objectPr>
        </oleObject>
      </mc:Choice>
      <mc:Fallback>
        <oleObject progId="Equation.DSMT4" shapeId="28678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"/>
  <sheetViews>
    <sheetView workbookViewId="0">
      <selection activeCell="F2" sqref="F2"/>
    </sheetView>
  </sheetViews>
  <sheetFormatPr defaultRowHeight="15"/>
  <cols>
    <col min="1" max="2" width="9.140625" style="5"/>
    <col min="3" max="4" width="13.140625" style="5" customWidth="1"/>
    <col min="5" max="5" width="13.42578125" style="5" customWidth="1"/>
    <col min="6" max="6" width="13.85546875" style="5" customWidth="1"/>
    <col min="7" max="8" width="9.140625" style="5"/>
  </cols>
  <sheetData>
    <row r="1" spans="1:12">
      <c r="A1" s="5" t="s">
        <v>14</v>
      </c>
      <c r="B1" s="5" t="s">
        <v>8</v>
      </c>
      <c r="C1" s="5" t="s">
        <v>68</v>
      </c>
      <c r="D1" s="5" t="s">
        <v>69</v>
      </c>
      <c r="E1" s="5" t="s">
        <v>9</v>
      </c>
      <c r="F1" s="5" t="s">
        <v>10</v>
      </c>
      <c r="G1" s="5" t="s">
        <v>4</v>
      </c>
      <c r="I1" s="5" t="s">
        <v>80</v>
      </c>
    </row>
    <row r="2" spans="1:12">
      <c r="A2" s="5">
        <v>2524</v>
      </c>
      <c r="B2" s="5">
        <v>15</v>
      </c>
      <c r="C2" s="6">
        <f>$B$2</f>
        <v>15</v>
      </c>
      <c r="D2" s="6">
        <f>$B$2</f>
        <v>15</v>
      </c>
      <c r="E2" s="7">
        <f>2*C2-D2</f>
        <v>15</v>
      </c>
      <c r="F2" s="6">
        <f t="shared" ref="F2:F17" si="0">(0.1/(1-0.1))*(C2-D2)</f>
        <v>0</v>
      </c>
      <c r="G2" s="6"/>
      <c r="I2" s="11"/>
      <c r="J2" s="11"/>
      <c r="K2" s="11"/>
      <c r="L2" s="11"/>
    </row>
    <row r="3" spans="1:12">
      <c r="A3" s="5">
        <v>2525</v>
      </c>
      <c r="B3" s="5">
        <v>18</v>
      </c>
      <c r="C3" s="6">
        <f>0.1*B3+(1-0.1)*C2</f>
        <v>15.3</v>
      </c>
      <c r="D3" s="6">
        <f>0.1*C3+(1-0.1)*D2</f>
        <v>15.030000000000001</v>
      </c>
      <c r="E3" s="7">
        <f t="shared" ref="E3:E17" si="1">2*C3-D3</f>
        <v>15.57</v>
      </c>
      <c r="F3" s="6">
        <f t="shared" si="0"/>
        <v>2.9999999999999954E-2</v>
      </c>
      <c r="G3" s="6">
        <f>E2+F2*H3</f>
        <v>15</v>
      </c>
      <c r="H3" s="5">
        <v>1</v>
      </c>
      <c r="I3" s="11"/>
      <c r="J3" s="11"/>
      <c r="K3" s="11"/>
      <c r="L3" s="11"/>
    </row>
    <row r="4" spans="1:12">
      <c r="A4" s="5">
        <v>2526</v>
      </c>
      <c r="B4" s="5">
        <v>20</v>
      </c>
      <c r="C4" s="6">
        <f t="shared" ref="C4:C17" si="2">0.1*B4+(1-0.1)*C3</f>
        <v>15.770000000000001</v>
      </c>
      <c r="D4" s="6">
        <f t="shared" ref="D4:D17" si="3">0.1*C4+(1-0.1)*D3</f>
        <v>15.104000000000001</v>
      </c>
      <c r="E4" s="7">
        <f t="shared" si="1"/>
        <v>16.436</v>
      </c>
      <c r="F4" s="6">
        <f t="shared" si="0"/>
        <v>7.4000000000000052E-2</v>
      </c>
      <c r="G4" s="6">
        <f t="shared" ref="G4:G17" si="4">E3+F3*H4</f>
        <v>15.6</v>
      </c>
      <c r="H4" s="5">
        <v>1</v>
      </c>
      <c r="I4" s="11"/>
      <c r="J4" s="11"/>
      <c r="K4" s="11"/>
      <c r="L4" s="11"/>
    </row>
    <row r="5" spans="1:12">
      <c r="A5" s="5">
        <v>2527</v>
      </c>
      <c r="B5" s="5">
        <v>23</v>
      </c>
      <c r="C5" s="6">
        <f t="shared" si="2"/>
        <v>16.493000000000002</v>
      </c>
      <c r="D5" s="6">
        <f t="shared" si="3"/>
        <v>15.242900000000001</v>
      </c>
      <c r="E5" s="7">
        <f t="shared" si="1"/>
        <v>17.743100000000005</v>
      </c>
      <c r="F5" s="6">
        <f t="shared" si="0"/>
        <v>0.13890000000000019</v>
      </c>
      <c r="G5" s="6">
        <f t="shared" si="4"/>
        <v>16.510000000000002</v>
      </c>
      <c r="H5" s="5">
        <v>1</v>
      </c>
      <c r="I5" s="11"/>
      <c r="J5" s="11"/>
      <c r="K5" s="11"/>
      <c r="L5" s="11"/>
    </row>
    <row r="6" spans="1:12">
      <c r="A6" s="5">
        <v>2528</v>
      </c>
      <c r="B6" s="5">
        <v>27</v>
      </c>
      <c r="C6" s="6">
        <f t="shared" si="2"/>
        <v>17.543700000000001</v>
      </c>
      <c r="D6" s="6">
        <f t="shared" si="3"/>
        <v>15.47298</v>
      </c>
      <c r="E6" s="7">
        <f t="shared" si="1"/>
        <v>19.614420000000003</v>
      </c>
      <c r="F6" s="6">
        <f t="shared" si="0"/>
        <v>0.23008000000000017</v>
      </c>
      <c r="G6" s="6">
        <f t="shared" si="4"/>
        <v>17.882000000000005</v>
      </c>
      <c r="H6" s="5">
        <v>1</v>
      </c>
      <c r="I6" s="11"/>
      <c r="J6" s="11"/>
      <c r="K6" s="11"/>
      <c r="L6" s="11"/>
    </row>
    <row r="7" spans="1:12">
      <c r="A7" s="5">
        <v>2529</v>
      </c>
      <c r="B7" s="5">
        <v>32</v>
      </c>
      <c r="C7" s="6">
        <f t="shared" si="2"/>
        <v>18.989330000000002</v>
      </c>
      <c r="D7" s="6">
        <f t="shared" si="3"/>
        <v>15.824615000000001</v>
      </c>
      <c r="E7" s="7">
        <f t="shared" si="1"/>
        <v>22.154045000000004</v>
      </c>
      <c r="F7" s="6">
        <f t="shared" si="0"/>
        <v>0.35163500000000014</v>
      </c>
      <c r="G7" s="6">
        <f t="shared" si="4"/>
        <v>19.844500000000004</v>
      </c>
      <c r="H7" s="5">
        <v>1</v>
      </c>
      <c r="I7" s="11"/>
      <c r="J7" s="11"/>
      <c r="K7" s="11"/>
      <c r="L7" s="11"/>
    </row>
    <row r="8" spans="1:12">
      <c r="A8" s="5">
        <v>2530</v>
      </c>
      <c r="B8" s="5">
        <v>34</v>
      </c>
      <c r="C8" s="6">
        <f t="shared" si="2"/>
        <v>20.490397000000002</v>
      </c>
      <c r="D8" s="6">
        <f t="shared" si="3"/>
        <v>16.291193200000002</v>
      </c>
      <c r="E8" s="7">
        <f t="shared" si="1"/>
        <v>24.689600800000001</v>
      </c>
      <c r="F8" s="6">
        <f t="shared" si="0"/>
        <v>0.46657819999999994</v>
      </c>
      <c r="G8" s="6">
        <f t="shared" si="4"/>
        <v>22.505680000000005</v>
      </c>
      <c r="H8" s="5">
        <v>1</v>
      </c>
      <c r="I8" s="11"/>
      <c r="J8" s="11"/>
      <c r="K8" s="11"/>
      <c r="L8" s="11"/>
    </row>
    <row r="9" spans="1:12">
      <c r="A9" s="5">
        <v>2531</v>
      </c>
      <c r="B9" s="5">
        <v>38</v>
      </c>
      <c r="C9" s="6">
        <f t="shared" si="2"/>
        <v>22.241357300000004</v>
      </c>
      <c r="D9" s="6">
        <f t="shared" si="3"/>
        <v>16.886209610000002</v>
      </c>
      <c r="E9" s="7">
        <f t="shared" si="1"/>
        <v>27.596504990000007</v>
      </c>
      <c r="F9" s="6">
        <f t="shared" si="0"/>
        <v>0.59501641000000027</v>
      </c>
      <c r="G9" s="6">
        <f t="shared" si="4"/>
        <v>25.156179000000002</v>
      </c>
      <c r="H9" s="5">
        <v>1</v>
      </c>
      <c r="I9" s="11"/>
      <c r="J9" s="11"/>
      <c r="K9" s="11"/>
      <c r="L9" s="11"/>
    </row>
    <row r="10" spans="1:12">
      <c r="A10" s="5">
        <v>2532</v>
      </c>
      <c r="B10" s="5">
        <v>42</v>
      </c>
      <c r="C10" s="6">
        <f t="shared" si="2"/>
        <v>24.217221570000003</v>
      </c>
      <c r="D10" s="6">
        <f t="shared" si="3"/>
        <v>17.619310806000001</v>
      </c>
      <c r="E10" s="7">
        <f t="shared" si="1"/>
        <v>30.815132334000005</v>
      </c>
      <c r="F10" s="6">
        <f t="shared" si="0"/>
        <v>0.73310119600000023</v>
      </c>
      <c r="G10" s="6">
        <f t="shared" si="4"/>
        <v>28.191521400000006</v>
      </c>
      <c r="H10" s="5">
        <v>1</v>
      </c>
      <c r="I10" s="11"/>
      <c r="J10" s="11"/>
      <c r="K10" s="11"/>
      <c r="L10" s="11"/>
    </row>
    <row r="11" spans="1:12">
      <c r="A11" s="5">
        <v>2533</v>
      </c>
      <c r="B11" s="5">
        <v>44</v>
      </c>
      <c r="C11" s="6">
        <f t="shared" si="2"/>
        <v>26.195499413</v>
      </c>
      <c r="D11" s="6">
        <f t="shared" si="3"/>
        <v>18.476929666700002</v>
      </c>
      <c r="E11" s="7">
        <f t="shared" si="1"/>
        <v>33.914069159299999</v>
      </c>
      <c r="F11" s="6">
        <f t="shared" si="0"/>
        <v>0.85761886069999982</v>
      </c>
      <c r="G11" s="6">
        <f t="shared" si="4"/>
        <v>31.548233530000005</v>
      </c>
      <c r="H11" s="5">
        <v>1</v>
      </c>
      <c r="I11" s="11"/>
      <c r="J11" s="11"/>
      <c r="K11" s="11"/>
      <c r="L11" s="11"/>
    </row>
    <row r="12" spans="1:12">
      <c r="A12" s="5">
        <v>2534</v>
      </c>
      <c r="B12" s="5">
        <v>49</v>
      </c>
      <c r="C12" s="6">
        <f t="shared" si="2"/>
        <v>28.475949471699998</v>
      </c>
      <c r="D12" s="6">
        <f t="shared" si="3"/>
        <v>19.476831647200001</v>
      </c>
      <c r="E12" s="7">
        <f t="shared" si="1"/>
        <v>37.475067296199995</v>
      </c>
      <c r="F12" s="6">
        <f t="shared" si="0"/>
        <v>0.99990198049999979</v>
      </c>
      <c r="G12" s="6">
        <f t="shared" si="4"/>
        <v>34.771688019999999</v>
      </c>
      <c r="H12" s="5">
        <v>1</v>
      </c>
      <c r="I12" s="11"/>
      <c r="J12" s="11"/>
      <c r="K12" s="11"/>
      <c r="L12" s="11"/>
    </row>
    <row r="13" spans="1:12">
      <c r="A13" s="5">
        <v>2535</v>
      </c>
      <c r="B13" s="5">
        <v>50</v>
      </c>
      <c r="C13" s="6">
        <f t="shared" si="2"/>
        <v>30.62835452453</v>
      </c>
      <c r="D13" s="6">
        <f t="shared" si="3"/>
        <v>20.591983934933001</v>
      </c>
      <c r="E13" s="7">
        <f t="shared" si="1"/>
        <v>40.664725114126995</v>
      </c>
      <c r="F13" s="6">
        <f t="shared" si="0"/>
        <v>1.115152287733</v>
      </c>
      <c r="G13" s="6">
        <f t="shared" si="4"/>
        <v>38.474969276699994</v>
      </c>
      <c r="H13" s="5">
        <v>1</v>
      </c>
      <c r="I13" s="11"/>
      <c r="J13" s="11"/>
      <c r="K13" s="11"/>
      <c r="L13" s="11"/>
    </row>
    <row r="14" spans="1:12">
      <c r="A14" s="5">
        <v>2536</v>
      </c>
      <c r="B14" s="5">
        <v>55</v>
      </c>
      <c r="C14" s="6">
        <f t="shared" si="2"/>
        <v>33.065519072076995</v>
      </c>
      <c r="D14" s="6">
        <f t="shared" si="3"/>
        <v>21.839337448647399</v>
      </c>
      <c r="E14" s="7">
        <f t="shared" si="1"/>
        <v>44.291700695506592</v>
      </c>
      <c r="F14" s="6">
        <f t="shared" si="0"/>
        <v>1.2473535137143996</v>
      </c>
      <c r="G14" s="6">
        <f t="shared" si="4"/>
        <v>41.779877401859991</v>
      </c>
      <c r="H14" s="5">
        <v>1</v>
      </c>
      <c r="I14" s="11"/>
      <c r="J14" s="11"/>
      <c r="K14" s="11"/>
      <c r="L14" s="11"/>
    </row>
    <row r="15" spans="1:12">
      <c r="A15" s="5">
        <v>2537</v>
      </c>
      <c r="B15" s="5">
        <v>57</v>
      </c>
      <c r="C15" s="6">
        <f t="shared" si="2"/>
        <v>35.4589671648693</v>
      </c>
      <c r="D15" s="6">
        <f t="shared" si="3"/>
        <v>23.20130042026959</v>
      </c>
      <c r="E15" s="7">
        <f t="shared" si="1"/>
        <v>47.71663390946901</v>
      </c>
      <c r="F15" s="6">
        <f t="shared" si="0"/>
        <v>1.3619629716221902</v>
      </c>
      <c r="G15" s="6">
        <f t="shared" si="4"/>
        <v>45.539054209220993</v>
      </c>
      <c r="H15" s="5">
        <v>1</v>
      </c>
      <c r="I15" s="11"/>
      <c r="J15" s="11"/>
      <c r="K15" s="11"/>
      <c r="L15" s="11"/>
    </row>
    <row r="16" spans="1:12">
      <c r="A16" s="5">
        <v>2538</v>
      </c>
      <c r="B16" s="5">
        <v>59</v>
      </c>
      <c r="C16" s="6">
        <f t="shared" si="2"/>
        <v>37.813070448382369</v>
      </c>
      <c r="D16" s="6">
        <f t="shared" si="3"/>
        <v>24.662477423080869</v>
      </c>
      <c r="E16" s="7">
        <f t="shared" si="1"/>
        <v>50.963663473683866</v>
      </c>
      <c r="F16" s="6">
        <f t="shared" si="0"/>
        <v>1.4611770028112778</v>
      </c>
      <c r="G16" s="6">
        <f t="shared" si="4"/>
        <v>49.078596881091201</v>
      </c>
      <c r="H16" s="5">
        <v>1</v>
      </c>
      <c r="I16" s="11"/>
      <c r="J16" s="11"/>
      <c r="K16" s="11"/>
      <c r="L16" s="11"/>
    </row>
    <row r="17" spans="1:16">
      <c r="A17" s="5">
        <v>2539</v>
      </c>
      <c r="B17" s="5">
        <v>63</v>
      </c>
      <c r="C17" s="6">
        <f t="shared" si="2"/>
        <v>40.33176340354413</v>
      </c>
      <c r="D17" s="6">
        <f t="shared" si="3"/>
        <v>26.229406021127193</v>
      </c>
      <c r="E17" s="7">
        <f t="shared" si="1"/>
        <v>54.434120785961071</v>
      </c>
      <c r="F17" s="6">
        <f t="shared" si="0"/>
        <v>1.5669285980463263</v>
      </c>
      <c r="G17" s="6">
        <f t="shared" si="4"/>
        <v>52.424840476495142</v>
      </c>
      <c r="H17" s="5">
        <v>1</v>
      </c>
    </row>
    <row r="18" spans="1:16">
      <c r="A18" s="14">
        <v>2540</v>
      </c>
      <c r="B18" s="14"/>
      <c r="C18" s="24"/>
      <c r="D18" s="24"/>
      <c r="E18" s="14"/>
      <c r="F18" s="14" t="s">
        <v>70</v>
      </c>
      <c r="G18" s="24">
        <f>$E$17+$F$17*H18</f>
        <v>56.001049384007395</v>
      </c>
      <c r="H18" s="14">
        <v>1</v>
      </c>
      <c r="I18" t="s">
        <v>66</v>
      </c>
    </row>
    <row r="19" spans="1:16">
      <c r="A19" s="14">
        <v>2541</v>
      </c>
      <c r="B19" s="14"/>
      <c r="C19" s="24"/>
      <c r="D19" s="24"/>
      <c r="E19" s="14"/>
      <c r="F19" s="14" t="s">
        <v>71</v>
      </c>
      <c r="G19" s="24">
        <f t="shared" ref="G19:G22" si="5">$E$17+$F$17*H19</f>
        <v>57.567977982053726</v>
      </c>
      <c r="H19" s="14">
        <v>2</v>
      </c>
      <c r="I19" t="s">
        <v>67</v>
      </c>
    </row>
    <row r="20" spans="1:16">
      <c r="A20" s="14">
        <v>2542</v>
      </c>
      <c r="B20" s="14"/>
      <c r="C20" s="24"/>
      <c r="D20" s="24"/>
      <c r="E20" s="14"/>
      <c r="F20" s="14" t="s">
        <v>72</v>
      </c>
      <c r="G20" s="24">
        <f t="shared" si="5"/>
        <v>59.134906580100051</v>
      </c>
      <c r="H20" s="14">
        <v>3</v>
      </c>
      <c r="P20" t="s">
        <v>42</v>
      </c>
    </row>
    <row r="21" spans="1:16">
      <c r="A21" s="14">
        <v>2543</v>
      </c>
      <c r="B21" s="14"/>
      <c r="C21" s="24"/>
      <c r="D21" s="24"/>
      <c r="E21" s="14"/>
      <c r="F21" s="14" t="s">
        <v>73</v>
      </c>
      <c r="G21" s="24">
        <f t="shared" si="5"/>
        <v>60.701835178146375</v>
      </c>
      <c r="H21" s="14">
        <v>4</v>
      </c>
    </row>
    <row r="22" spans="1:16">
      <c r="A22" s="14">
        <v>2544</v>
      </c>
      <c r="B22" s="14"/>
      <c r="C22" s="24"/>
      <c r="D22" s="24"/>
      <c r="E22" s="14"/>
      <c r="F22" s="14" t="s">
        <v>74</v>
      </c>
      <c r="G22" s="24">
        <f t="shared" si="5"/>
        <v>62.268763776192699</v>
      </c>
      <c r="H22" s="14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409575</xdr:colOff>
                <xdr:row>3</xdr:row>
                <xdr:rowOff>76200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238125</xdr:colOff>
                <xdr:row>5</xdr:row>
                <xdr:rowOff>38100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31" r:id="rId8">
          <objectPr defaultSize="0" autoPict="0" r:id="rId9">
            <anchor moveWithCells="1" sizeWithCells="1">
              <from>
                <xdr:col>8</xdr:col>
                <xdr:colOff>590550</xdr:colOff>
                <xdr:row>9</xdr:row>
                <xdr:rowOff>47625</xdr:rowOff>
              </from>
              <to>
                <xdr:col>11</xdr:col>
                <xdr:colOff>133350</xdr:colOff>
                <xdr:row>10</xdr:row>
                <xdr:rowOff>85725</xdr:rowOff>
              </to>
            </anchor>
          </objectPr>
        </oleObject>
      </mc:Choice>
      <mc:Fallback>
        <oleObject progId="Equation.DSMT4" shapeId="1031" r:id="rId8"/>
      </mc:Fallback>
    </mc:AlternateContent>
    <mc:AlternateContent xmlns:mc="http://schemas.openxmlformats.org/markup-compatibility/2006">
      <mc:Choice Requires="x14">
        <oleObject progId="Equation.DSMT4" shapeId="1033" r:id="rId10">
          <objectPr defaultSize="0" autoPict="0" r:id="rId11">
            <anchor moveWithCells="1" sizeWithCells="1">
              <from>
                <xdr:col>9</xdr:col>
                <xdr:colOff>0</xdr:colOff>
                <xdr:row>12</xdr:row>
                <xdr:rowOff>0</xdr:rowOff>
              </from>
              <to>
                <xdr:col>11</xdr:col>
                <xdr:colOff>161925</xdr:colOff>
                <xdr:row>13</xdr:row>
                <xdr:rowOff>38100</xdr:rowOff>
              </to>
            </anchor>
          </objectPr>
        </oleObject>
      </mc:Choice>
      <mc:Fallback>
        <oleObject progId="Equation.DSMT4" shapeId="1033" r:id="rId10"/>
      </mc:Fallback>
    </mc:AlternateContent>
    <mc:AlternateContent xmlns:mc="http://schemas.openxmlformats.org/markup-compatibility/2006">
      <mc:Choice Requires="x14">
        <oleObject progId="Equation.DSMT4" shapeId="1035" r:id="rId12">
          <objectPr defaultSize="0" autoPict="0" r:id="rId13">
            <anchor moveWithCells="1" sizeWithCells="1">
              <from>
                <xdr:col>9</xdr:col>
                <xdr:colOff>0</xdr:colOff>
                <xdr:row>14</xdr:row>
                <xdr:rowOff>95250</xdr:rowOff>
              </from>
              <to>
                <xdr:col>10</xdr:col>
                <xdr:colOff>180975</xdr:colOff>
                <xdr:row>15</xdr:row>
                <xdr:rowOff>133350</xdr:rowOff>
              </to>
            </anchor>
          </objectPr>
        </oleObject>
      </mc:Choice>
      <mc:Fallback>
        <oleObject progId="Equation.DSMT4" shapeId="1035" r:id="rId1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topLeftCell="A7" zoomScaleNormal="100" workbookViewId="0">
      <selection activeCell="D2" sqref="D2"/>
    </sheetView>
  </sheetViews>
  <sheetFormatPr defaultColWidth="9.140625" defaultRowHeight="15"/>
  <cols>
    <col min="1" max="3" width="9.140625" style="5"/>
    <col min="4" max="4" width="15.42578125" style="5" customWidth="1"/>
    <col min="5" max="5" width="12.7109375" style="5" customWidth="1"/>
    <col min="6" max="7" width="9.85546875" style="5" customWidth="1"/>
    <col min="8" max="8" width="9.140625" style="13"/>
    <col min="9" max="16384" width="9.140625" style="5"/>
  </cols>
  <sheetData>
    <row r="1" spans="1:13">
      <c r="A1" s="5" t="s">
        <v>15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16</v>
      </c>
      <c r="G1" s="5" t="s">
        <v>64</v>
      </c>
      <c r="J1" s="5" t="s">
        <v>75</v>
      </c>
    </row>
    <row r="2" spans="1:13">
      <c r="B2" s="5">
        <v>0</v>
      </c>
      <c r="D2" s="5">
        <v>15</v>
      </c>
      <c r="E2" s="5">
        <f>C4-C3</f>
        <v>3</v>
      </c>
      <c r="H2" s="26"/>
      <c r="I2" s="9"/>
      <c r="J2" s="9"/>
      <c r="K2" s="9"/>
      <c r="L2" s="9"/>
      <c r="M2" s="9"/>
    </row>
    <row r="3" spans="1:13">
      <c r="A3" s="5">
        <v>2524</v>
      </c>
      <c r="B3" s="5">
        <v>1</v>
      </c>
      <c r="C3" s="5">
        <v>15</v>
      </c>
      <c r="D3" s="7">
        <f>0.1*C3+(1-0.1)*(D2+E2)</f>
        <v>17.7</v>
      </c>
      <c r="E3" s="7">
        <f>0.2*(D3-D2)+(1-0.2)*E2</f>
        <v>2.9400000000000004</v>
      </c>
      <c r="F3" s="7">
        <f>D2+E2*G3</f>
        <v>18</v>
      </c>
      <c r="G3" s="7">
        <v>1</v>
      </c>
      <c r="H3" s="26"/>
      <c r="I3" s="9"/>
      <c r="J3" s="9"/>
      <c r="K3" s="9"/>
      <c r="L3" s="9"/>
      <c r="M3" s="9"/>
    </row>
    <row r="4" spans="1:13">
      <c r="A4" s="5">
        <v>2525</v>
      </c>
      <c r="B4" s="5">
        <v>2</v>
      </c>
      <c r="C4" s="5">
        <v>18</v>
      </c>
      <c r="D4" s="7">
        <f t="shared" ref="D4:D18" si="0">0.1*C4+(1-0.1)*(D3+E3)</f>
        <v>20.376000000000001</v>
      </c>
      <c r="E4" s="7">
        <f t="shared" ref="E4:E18" si="1">0.2*(D4-D3)+(1-0.2)*E3</f>
        <v>2.8872000000000009</v>
      </c>
      <c r="F4" s="7">
        <f t="shared" ref="F4:F18" si="2">D3+E3*G4</f>
        <v>20.64</v>
      </c>
      <c r="G4" s="7">
        <v>1</v>
      </c>
      <c r="H4" s="26"/>
      <c r="I4" s="9"/>
      <c r="J4" s="9"/>
      <c r="K4" s="9"/>
      <c r="L4" s="9"/>
      <c r="M4" s="9"/>
    </row>
    <row r="5" spans="1:13">
      <c r="A5" s="5">
        <v>2526</v>
      </c>
      <c r="B5" s="5">
        <v>3</v>
      </c>
      <c r="C5" s="5">
        <v>20</v>
      </c>
      <c r="D5" s="7">
        <f t="shared" si="0"/>
        <v>22.936880000000002</v>
      </c>
      <c r="E5" s="7">
        <f t="shared" si="1"/>
        <v>2.8219360000000009</v>
      </c>
      <c r="F5" s="7">
        <f t="shared" si="2"/>
        <v>23.263200000000001</v>
      </c>
      <c r="G5" s="7">
        <v>1</v>
      </c>
      <c r="H5" s="26"/>
      <c r="I5" s="9"/>
      <c r="J5" s="9"/>
      <c r="K5" s="9"/>
      <c r="L5" s="9"/>
      <c r="M5" s="9"/>
    </row>
    <row r="6" spans="1:13">
      <c r="A6" s="5">
        <v>2527</v>
      </c>
      <c r="B6" s="5">
        <v>4</v>
      </c>
      <c r="C6" s="5">
        <v>23</v>
      </c>
      <c r="D6" s="7">
        <f t="shared" si="0"/>
        <v>25.482934400000005</v>
      </c>
      <c r="E6" s="7">
        <f t="shared" si="1"/>
        <v>2.7667596800000016</v>
      </c>
      <c r="F6" s="7">
        <f t="shared" si="2"/>
        <v>25.758816000000003</v>
      </c>
      <c r="G6" s="7">
        <v>1</v>
      </c>
      <c r="H6" s="26"/>
      <c r="I6" s="9"/>
      <c r="J6" s="9"/>
      <c r="K6" s="9"/>
      <c r="L6" s="9"/>
      <c r="M6" s="9"/>
    </row>
    <row r="7" spans="1:13">
      <c r="A7" s="5">
        <v>2528</v>
      </c>
      <c r="B7" s="5">
        <v>5</v>
      </c>
      <c r="C7" s="5">
        <v>27</v>
      </c>
      <c r="D7" s="7">
        <f t="shared" si="0"/>
        <v>28.124724672000003</v>
      </c>
      <c r="E7" s="7">
        <f t="shared" si="1"/>
        <v>2.7417657984000008</v>
      </c>
      <c r="F7" s="7">
        <f t="shared" si="2"/>
        <v>28.249694080000005</v>
      </c>
      <c r="G7" s="7">
        <v>1</v>
      </c>
      <c r="H7" s="26"/>
      <c r="I7" s="9"/>
      <c r="J7" s="9"/>
      <c r="K7" s="9"/>
      <c r="L7" s="9"/>
      <c r="M7" s="9"/>
    </row>
    <row r="8" spans="1:13">
      <c r="A8" s="5">
        <v>2529</v>
      </c>
      <c r="B8" s="5">
        <v>6</v>
      </c>
      <c r="C8" s="5">
        <v>32</v>
      </c>
      <c r="D8" s="7">
        <f t="shared" si="0"/>
        <v>30.979841423360003</v>
      </c>
      <c r="E8" s="7">
        <f t="shared" si="1"/>
        <v>2.7644359889920009</v>
      </c>
      <c r="F8" s="7">
        <f t="shared" si="2"/>
        <v>30.866490470400002</v>
      </c>
      <c r="G8" s="7">
        <v>1</v>
      </c>
      <c r="H8" s="26"/>
      <c r="I8" s="9"/>
      <c r="J8" s="9"/>
      <c r="K8" s="9"/>
      <c r="L8" s="9"/>
      <c r="M8" s="9"/>
    </row>
    <row r="9" spans="1:13">
      <c r="A9" s="5">
        <v>2530</v>
      </c>
      <c r="B9" s="5">
        <v>7</v>
      </c>
      <c r="C9" s="5">
        <v>34</v>
      </c>
      <c r="D9" s="7">
        <f t="shared" si="0"/>
        <v>33.769849671116809</v>
      </c>
      <c r="E9" s="7">
        <f t="shared" si="1"/>
        <v>2.769550440744962</v>
      </c>
      <c r="F9" s="7">
        <f t="shared" si="2"/>
        <v>33.744277412352005</v>
      </c>
      <c r="G9" s="7">
        <v>1</v>
      </c>
      <c r="H9" s="26"/>
      <c r="I9" s="9"/>
      <c r="J9" s="9"/>
      <c r="K9" s="9"/>
      <c r="L9" s="9"/>
      <c r="M9" s="9"/>
    </row>
    <row r="10" spans="1:13">
      <c r="A10" s="5">
        <v>2531</v>
      </c>
      <c r="B10" s="5">
        <v>8</v>
      </c>
      <c r="C10" s="5">
        <v>38</v>
      </c>
      <c r="D10" s="7">
        <f t="shared" si="0"/>
        <v>36.685460100675591</v>
      </c>
      <c r="E10" s="7">
        <f t="shared" si="1"/>
        <v>2.7987624385077261</v>
      </c>
      <c r="F10" s="7">
        <f t="shared" si="2"/>
        <v>36.539400111861774</v>
      </c>
      <c r="G10" s="7">
        <v>1</v>
      </c>
      <c r="H10" s="26"/>
      <c r="I10" s="9"/>
      <c r="J10" s="9"/>
      <c r="K10" s="9"/>
      <c r="L10" s="9"/>
      <c r="M10" s="9"/>
    </row>
    <row r="11" spans="1:13">
      <c r="A11" s="5">
        <v>2532</v>
      </c>
      <c r="B11" s="5">
        <v>9</v>
      </c>
      <c r="C11" s="5">
        <v>42</v>
      </c>
      <c r="D11" s="7">
        <f t="shared" si="0"/>
        <v>39.735800285264993</v>
      </c>
      <c r="E11" s="7">
        <f t="shared" si="1"/>
        <v>2.8490779877240615</v>
      </c>
      <c r="F11" s="7">
        <f t="shared" si="2"/>
        <v>39.484222539183321</v>
      </c>
      <c r="G11" s="7">
        <v>1</v>
      </c>
      <c r="H11" s="26"/>
      <c r="I11" s="9"/>
      <c r="J11" s="9"/>
      <c r="K11" s="9"/>
      <c r="L11" s="9"/>
      <c r="M11" s="9"/>
    </row>
    <row r="12" spans="1:13">
      <c r="A12" s="5">
        <v>2533</v>
      </c>
      <c r="B12" s="5">
        <v>10</v>
      </c>
      <c r="C12" s="5">
        <v>44</v>
      </c>
      <c r="D12" s="7">
        <f t="shared" si="0"/>
        <v>42.726390445690143</v>
      </c>
      <c r="E12" s="7">
        <f t="shared" si="1"/>
        <v>2.8773804222642796</v>
      </c>
      <c r="F12" s="7">
        <f t="shared" si="2"/>
        <v>42.584878272989052</v>
      </c>
      <c r="G12" s="7">
        <v>1</v>
      </c>
      <c r="H12" s="26"/>
      <c r="I12" s="9"/>
      <c r="J12" s="9"/>
      <c r="K12" s="9"/>
      <c r="L12" s="9"/>
      <c r="M12" s="9"/>
    </row>
    <row r="13" spans="1:13">
      <c r="A13" s="5">
        <v>2534</v>
      </c>
      <c r="B13" s="5">
        <v>11</v>
      </c>
      <c r="C13" s="5">
        <v>49</v>
      </c>
      <c r="D13" s="7">
        <f t="shared" si="0"/>
        <v>45.943393781158981</v>
      </c>
      <c r="E13" s="7">
        <f t="shared" si="1"/>
        <v>2.9453050049051912</v>
      </c>
      <c r="F13" s="7">
        <f t="shared" si="2"/>
        <v>45.603770867954424</v>
      </c>
      <c r="G13" s="7">
        <v>1</v>
      </c>
      <c r="H13" s="26"/>
      <c r="I13" s="9"/>
      <c r="J13" s="9"/>
      <c r="K13" s="9"/>
      <c r="L13" s="9"/>
      <c r="M13" s="9"/>
    </row>
    <row r="14" spans="1:13">
      <c r="A14" s="5">
        <v>2535</v>
      </c>
      <c r="B14" s="5">
        <v>12</v>
      </c>
      <c r="C14" s="5">
        <v>50</v>
      </c>
      <c r="D14" s="7">
        <f t="shared" si="0"/>
        <v>48.999828907457761</v>
      </c>
      <c r="E14" s="7">
        <f t="shared" si="1"/>
        <v>2.9675310291839092</v>
      </c>
      <c r="F14" s="7">
        <f t="shared" si="2"/>
        <v>48.888698786064175</v>
      </c>
      <c r="G14" s="7">
        <v>1</v>
      </c>
      <c r="H14" s="26"/>
      <c r="I14" s="9"/>
      <c r="J14" s="9"/>
      <c r="K14" s="9"/>
      <c r="L14" s="9"/>
      <c r="M14" s="9"/>
    </row>
    <row r="15" spans="1:13">
      <c r="A15" s="5">
        <v>2536</v>
      </c>
      <c r="B15" s="5">
        <v>13</v>
      </c>
      <c r="C15" s="5">
        <v>55</v>
      </c>
      <c r="D15" s="7">
        <f t="shared" si="0"/>
        <v>52.270623942977508</v>
      </c>
      <c r="E15" s="7">
        <f t="shared" si="1"/>
        <v>3.0281838304510766</v>
      </c>
      <c r="F15" s="7">
        <f t="shared" si="2"/>
        <v>51.967359936641671</v>
      </c>
      <c r="G15" s="7">
        <v>1</v>
      </c>
      <c r="H15" s="26"/>
      <c r="I15" s="9"/>
      <c r="J15" s="9"/>
      <c r="K15" s="9"/>
      <c r="L15" s="9"/>
      <c r="M15" s="9"/>
    </row>
    <row r="16" spans="1:13">
      <c r="A16" s="5">
        <v>2537</v>
      </c>
      <c r="B16" s="5">
        <v>14</v>
      </c>
      <c r="C16" s="5">
        <v>57</v>
      </c>
      <c r="D16" s="7">
        <f t="shared" si="0"/>
        <v>55.468926996085727</v>
      </c>
      <c r="E16" s="7">
        <f t="shared" si="1"/>
        <v>3.0622076749825053</v>
      </c>
      <c r="F16" s="7">
        <f t="shared" si="2"/>
        <v>55.298807773428585</v>
      </c>
      <c r="G16" s="7">
        <v>1</v>
      </c>
    </row>
    <row r="17" spans="1:14">
      <c r="A17" s="5">
        <v>2538</v>
      </c>
      <c r="B17" s="5">
        <v>15</v>
      </c>
      <c r="C17" s="5">
        <v>59</v>
      </c>
      <c r="D17" s="7">
        <f t="shared" si="0"/>
        <v>58.578021203961406</v>
      </c>
      <c r="E17" s="7">
        <f t="shared" si="1"/>
        <v>3.07158498156114</v>
      </c>
      <c r="F17" s="7">
        <f t="shared" si="2"/>
        <v>58.53113467106823</v>
      </c>
      <c r="G17" s="7">
        <v>1</v>
      </c>
      <c r="H17" s="13" t="s">
        <v>82</v>
      </c>
      <c r="N17" s="13" t="s">
        <v>81</v>
      </c>
    </row>
    <row r="18" spans="1:14">
      <c r="A18" s="5">
        <v>2539</v>
      </c>
      <c r="B18" s="5">
        <v>16</v>
      </c>
      <c r="C18" s="5">
        <v>63</v>
      </c>
      <c r="D18" s="7">
        <f t="shared" si="0"/>
        <v>61.784645566970298</v>
      </c>
      <c r="E18" s="7">
        <f t="shared" si="1"/>
        <v>3.0985928578506905</v>
      </c>
      <c r="F18" s="7">
        <f t="shared" si="2"/>
        <v>61.649606185522543</v>
      </c>
      <c r="G18" s="7">
        <v>1</v>
      </c>
      <c r="H18" s="13" t="s">
        <v>84</v>
      </c>
    </row>
    <row r="19" spans="1:14">
      <c r="A19" s="5">
        <v>2540</v>
      </c>
      <c r="D19" s="7"/>
      <c r="E19" s="7"/>
      <c r="F19" s="7">
        <f>$D$18+$E$18*G19</f>
        <v>64.883238424820988</v>
      </c>
      <c r="G19" s="7">
        <v>1</v>
      </c>
      <c r="H19" s="13" t="s">
        <v>83</v>
      </c>
    </row>
    <row r="20" spans="1:14">
      <c r="A20" s="5">
        <v>2541</v>
      </c>
      <c r="D20" s="7"/>
      <c r="E20" s="7"/>
      <c r="F20" s="7">
        <f t="shared" ref="F20:F23" si="3">$D$18+$E$18*G20</f>
        <v>67.981831282671678</v>
      </c>
      <c r="G20" s="8">
        <v>2</v>
      </c>
    </row>
    <row r="21" spans="1:14">
      <c r="A21" s="5">
        <v>2542</v>
      </c>
      <c r="D21" s="7"/>
      <c r="E21" s="7"/>
      <c r="F21" s="7">
        <f t="shared" si="3"/>
        <v>71.080424140522368</v>
      </c>
      <c r="G21" s="8">
        <v>3</v>
      </c>
      <c r="H21" s="27" t="s">
        <v>85</v>
      </c>
    </row>
    <row r="22" spans="1:14">
      <c r="A22" s="5">
        <v>2543</v>
      </c>
      <c r="D22" s="7"/>
      <c r="E22" s="7"/>
      <c r="F22" s="7">
        <f t="shared" si="3"/>
        <v>74.179016998373058</v>
      </c>
      <c r="G22" s="8">
        <v>4</v>
      </c>
      <c r="H22" s="27" t="s">
        <v>87</v>
      </c>
    </row>
    <row r="23" spans="1:14">
      <c r="A23" s="5">
        <v>2544</v>
      </c>
      <c r="D23" s="7"/>
      <c r="E23" s="7"/>
      <c r="F23" s="7">
        <f t="shared" si="3"/>
        <v>77.277609856223748</v>
      </c>
      <c r="G23" s="8">
        <v>5</v>
      </c>
      <c r="H23" s="27" t="s">
        <v>86</v>
      </c>
    </row>
    <row r="26" spans="1:14">
      <c r="H26" s="13" t="s">
        <v>88</v>
      </c>
    </row>
    <row r="27" spans="1:14">
      <c r="H27" s="13" t="s">
        <v>89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22" r:id="rId4">
          <objectPr defaultSize="0" autoPict="0" r:id="rId5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9</xdr:col>
                <xdr:colOff>409575</xdr:colOff>
                <xdr:row>3</xdr:row>
                <xdr:rowOff>76200</xdr:rowOff>
              </to>
            </anchor>
          </objectPr>
        </oleObject>
      </mc:Choice>
      <mc:Fallback>
        <oleObject progId="Equation.DSMT4" shapeId="30722" r:id="rId4"/>
      </mc:Fallback>
    </mc:AlternateContent>
    <mc:AlternateContent xmlns:mc="http://schemas.openxmlformats.org/markup-compatibility/2006">
      <mc:Choice Requires="x14">
        <oleObject progId="Equation.DSMT4" shapeId="30724" r:id="rId6">
          <objectPr defaultSize="0" autoPict="0" r:id="rId7">
            <anchor moveWithCells="1" sizeWithCells="1">
              <from>
                <xdr:col>8</xdr:col>
                <xdr:colOff>0</xdr:colOff>
                <xdr:row>4</xdr:row>
                <xdr:rowOff>0</xdr:rowOff>
              </from>
              <to>
                <xdr:col>11</xdr:col>
                <xdr:colOff>47625</xdr:colOff>
                <xdr:row>5</xdr:row>
                <xdr:rowOff>38100</xdr:rowOff>
              </to>
            </anchor>
          </objectPr>
        </oleObject>
      </mc:Choice>
      <mc:Fallback>
        <oleObject progId="Equation.DSMT4" shapeId="30724" r:id="rId6"/>
      </mc:Fallback>
    </mc:AlternateContent>
    <mc:AlternateContent xmlns:mc="http://schemas.openxmlformats.org/markup-compatibility/2006">
      <mc:Choice Requires="x14">
        <oleObject progId="Equation.DSMT4" shapeId="30726" r:id="rId8">
          <objectPr defaultSize="0" autoPict="0" r:id="rId9">
            <anchor moveWithCells="1" sizeWithCells="1">
              <from>
                <xdr:col>8</xdr:col>
                <xdr:colOff>0</xdr:colOff>
                <xdr:row>6</xdr:row>
                <xdr:rowOff>0</xdr:rowOff>
              </from>
              <to>
                <xdr:col>10</xdr:col>
                <xdr:colOff>600075</xdr:colOff>
                <xdr:row>7</xdr:row>
                <xdr:rowOff>38100</xdr:rowOff>
              </to>
            </anchor>
          </objectPr>
        </oleObject>
      </mc:Choice>
      <mc:Fallback>
        <oleObject progId="Equation.DSMT4" shapeId="30726" r:id="rId8"/>
      </mc:Fallback>
    </mc:AlternateContent>
    <mc:AlternateContent xmlns:mc="http://schemas.openxmlformats.org/markup-compatibility/2006">
      <mc:Choice Requires="x14">
        <oleObject progId="Equation.DSMT4" shapeId="30730" r:id="rId10">
          <objectPr defaultSize="0" autoPict="0" r:id="rId11">
            <anchor moveWithCells="1" sizeWithCells="1">
              <from>
                <xdr:col>10</xdr:col>
                <xdr:colOff>28575</xdr:colOff>
                <xdr:row>7</xdr:row>
                <xdr:rowOff>66675</xdr:rowOff>
              </from>
              <to>
                <xdr:col>11</xdr:col>
                <xdr:colOff>400050</xdr:colOff>
                <xdr:row>10</xdr:row>
                <xdr:rowOff>104775</xdr:rowOff>
              </to>
            </anchor>
          </objectPr>
        </oleObject>
      </mc:Choice>
      <mc:Fallback>
        <oleObject progId="Equation.DSMT4" shapeId="30730" r:id="rId10"/>
      </mc:Fallback>
    </mc:AlternateContent>
    <mc:AlternateContent xmlns:mc="http://schemas.openxmlformats.org/markup-compatibility/2006">
      <mc:Choice Requires="x14">
        <oleObject progId="Equation.DSMT4" shapeId="30732" r:id="rId12">
          <objectPr defaultSize="0" autoPict="0" r:id="rId13">
            <anchor moveWithCells="1" sizeWithCells="1">
              <from>
                <xdr:col>8</xdr:col>
                <xdr:colOff>0</xdr:colOff>
                <xdr:row>12</xdr:row>
                <xdr:rowOff>0</xdr:rowOff>
              </from>
              <to>
                <xdr:col>10</xdr:col>
                <xdr:colOff>400050</xdr:colOff>
                <xdr:row>14</xdr:row>
                <xdr:rowOff>28575</xdr:rowOff>
              </to>
            </anchor>
          </objectPr>
        </oleObject>
      </mc:Choice>
      <mc:Fallback>
        <oleObject progId="Equation.DSMT4" shapeId="30732" r:id="rId12"/>
      </mc:Fallback>
    </mc:AlternateContent>
    <mc:AlternateContent xmlns:mc="http://schemas.openxmlformats.org/markup-compatibility/2006">
      <mc:Choice Requires="x14">
        <oleObject progId="Equation.DSMT4" shapeId="30734" r:id="rId14">
          <objectPr defaultSize="0" autoPict="0" r:id="rId15">
            <anchor moveWithCells="1" sizeWithCells="1">
              <from>
                <xdr:col>11</xdr:col>
                <xdr:colOff>381000</xdr:colOff>
                <xdr:row>11</xdr:row>
                <xdr:rowOff>114300</xdr:rowOff>
              </from>
              <to>
                <xdr:col>12</xdr:col>
                <xdr:colOff>600075</xdr:colOff>
                <xdr:row>13</xdr:row>
                <xdr:rowOff>142875</xdr:rowOff>
              </to>
            </anchor>
          </objectPr>
        </oleObject>
      </mc:Choice>
      <mc:Fallback>
        <oleObject progId="Equation.DSMT4" shapeId="30734" r:id="rId1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8"/>
  <sheetViews>
    <sheetView workbookViewId="0">
      <selection activeCell="E3" sqref="E3"/>
    </sheetView>
  </sheetViews>
  <sheetFormatPr defaultRowHeight="15"/>
  <sheetData>
    <row r="1" spans="1:16">
      <c r="A1" t="s">
        <v>15</v>
      </c>
      <c r="B1" t="s">
        <v>8</v>
      </c>
      <c r="C1" t="s">
        <v>17</v>
      </c>
      <c r="D1" t="s">
        <v>18</v>
      </c>
      <c r="E1" t="s">
        <v>19</v>
      </c>
      <c r="F1" t="s">
        <v>9</v>
      </c>
      <c r="G1" t="s">
        <v>10</v>
      </c>
      <c r="H1" t="s">
        <v>20</v>
      </c>
      <c r="I1" t="s">
        <v>4</v>
      </c>
    </row>
    <row r="2" spans="1:16">
      <c r="A2">
        <v>2530</v>
      </c>
      <c r="B2">
        <v>250</v>
      </c>
      <c r="C2">
        <v>250</v>
      </c>
      <c r="D2">
        <v>250</v>
      </c>
      <c r="E2">
        <v>250</v>
      </c>
      <c r="J2" s="11"/>
      <c r="K2" s="11"/>
      <c r="L2" s="11"/>
      <c r="M2" s="11"/>
      <c r="N2" s="11"/>
      <c r="O2" s="11"/>
      <c r="P2" s="11"/>
    </row>
    <row r="3" spans="1:16">
      <c r="A3">
        <v>2531</v>
      </c>
      <c r="B3">
        <v>265</v>
      </c>
      <c r="C3">
        <f>0.03*B3+0.97*C2</f>
        <v>250.45</v>
      </c>
      <c r="D3">
        <f>0.03*C3+0.97*D2</f>
        <v>250.01349999999999</v>
      </c>
      <c r="E3">
        <f>0.03*D3+0.97*E2</f>
        <v>250.000405</v>
      </c>
      <c r="F3">
        <f>3*C3-3*D3+E3</f>
        <v>251.30990499999996</v>
      </c>
      <c r="G3" s="2">
        <f>(0.03/(2*0.97^2))*((6-5*0.03)*C3-(10-8*0.03)*D3+(4-3*0.03)*E3)</f>
        <v>3.9892500000004071E-2</v>
      </c>
      <c r="H3" s="3">
        <f>(0.03^2/0.97^2)*(C3-2*D3+E3)</f>
        <v>4.0500000000000236E-4</v>
      </c>
      <c r="J3" s="11"/>
      <c r="K3" s="11"/>
      <c r="L3" s="11"/>
      <c r="M3" s="11"/>
      <c r="N3" s="11"/>
      <c r="O3" s="11"/>
      <c r="P3" s="11"/>
    </row>
    <row r="4" spans="1:16">
      <c r="A4">
        <v>2532</v>
      </c>
      <c r="B4">
        <v>276</v>
      </c>
      <c r="C4">
        <f t="shared" ref="C4:C15" si="0">0.03*B4+0.97*C3</f>
        <v>251.2165</v>
      </c>
      <c r="D4">
        <f t="shared" ref="D4:D15" si="1">0.03*C4+0.97*D3</f>
        <v>250.04958999999999</v>
      </c>
      <c r="E4">
        <f t="shared" ref="E4:E15" si="2">0.03*D4+0.97*E3</f>
        <v>250.00188055000001</v>
      </c>
      <c r="F4">
        <f t="shared" ref="F4:F15" si="3">3*C4-3*D4+E4</f>
        <v>253.50261054999999</v>
      </c>
      <c r="G4" s="2">
        <f t="shared" ref="G4:G15" si="4">(0.03/(2*0.97^2))*((6-5*0.03)*C4-(10-8*0.03)*D4+(4-3*0.03)*E4)</f>
        <v>0.10585417499999883</v>
      </c>
      <c r="H4" s="3">
        <f t="shared" ref="H4:H15" si="5">(0.03^2/0.97^2)*(C4-2*D4+E4)</f>
        <v>1.0705500000000158E-3</v>
      </c>
      <c r="I4">
        <f>F3+G3*1+(H3/2)*1^2</f>
        <v>251.34999999999997</v>
      </c>
      <c r="J4" s="11"/>
      <c r="K4" s="11"/>
      <c r="L4" s="11"/>
      <c r="M4" s="11"/>
      <c r="N4" s="11"/>
      <c r="O4" s="11"/>
      <c r="P4" s="11"/>
    </row>
    <row r="5" spans="1:16">
      <c r="A5">
        <v>2533</v>
      </c>
      <c r="B5">
        <v>285</v>
      </c>
      <c r="C5">
        <f t="shared" si="0"/>
        <v>252.23000500000001</v>
      </c>
      <c r="D5">
        <f t="shared" si="1"/>
        <v>250.11500244999999</v>
      </c>
      <c r="E5">
        <f t="shared" si="2"/>
        <v>250.00527420700001</v>
      </c>
      <c r="F5">
        <f t="shared" si="3"/>
        <v>256.35028185700008</v>
      </c>
      <c r="G5" s="2">
        <f t="shared" si="4"/>
        <v>0.19040908950000335</v>
      </c>
      <c r="H5" s="3">
        <f t="shared" si="5"/>
        <v>1.9181070000000345E-3</v>
      </c>
      <c r="I5">
        <f t="shared" ref="I5:I15" si="6">F4+G4*1+(H4/2)*1^2</f>
        <v>253.60899999999998</v>
      </c>
      <c r="J5" s="11"/>
      <c r="K5" s="11"/>
      <c r="L5" s="11"/>
      <c r="M5" s="11"/>
      <c r="N5" s="11"/>
      <c r="O5" s="11"/>
      <c r="P5" s="11"/>
    </row>
    <row r="6" spans="1:16">
      <c r="A6">
        <v>2534</v>
      </c>
      <c r="B6">
        <v>290</v>
      </c>
      <c r="C6">
        <f t="shared" si="0"/>
        <v>253.36310484999998</v>
      </c>
      <c r="D6">
        <f t="shared" si="1"/>
        <v>250.212445522</v>
      </c>
      <c r="E6">
        <f t="shared" si="2"/>
        <v>250.01148934645002</v>
      </c>
      <c r="F6">
        <f t="shared" si="3"/>
        <v>259.46346733045004</v>
      </c>
      <c r="G6" s="2">
        <f t="shared" si="4"/>
        <v>0.28130967832499965</v>
      </c>
      <c r="H6" s="3">
        <f t="shared" si="5"/>
        <v>2.8214824500000127E-3</v>
      </c>
      <c r="I6">
        <f t="shared" si="6"/>
        <v>256.54165000000012</v>
      </c>
      <c r="J6" s="11"/>
      <c r="K6" s="11"/>
      <c r="L6" s="11"/>
      <c r="M6" s="11"/>
      <c r="N6" s="11"/>
      <c r="O6" s="11"/>
      <c r="P6" s="11"/>
    </row>
    <row r="7" spans="1:16">
      <c r="A7">
        <v>2535</v>
      </c>
      <c r="B7">
        <v>296</v>
      </c>
      <c r="C7">
        <f t="shared" si="0"/>
        <v>254.64221170449997</v>
      </c>
      <c r="D7">
        <f t="shared" si="1"/>
        <v>250.34533850747499</v>
      </c>
      <c r="E7">
        <f t="shared" si="2"/>
        <v>250.02150482128076</v>
      </c>
      <c r="F7">
        <f t="shared" si="3"/>
        <v>262.91212441235569</v>
      </c>
      <c r="G7" s="2">
        <f t="shared" si="4"/>
        <v>0.38054817445387507</v>
      </c>
      <c r="H7" s="3">
        <f t="shared" si="5"/>
        <v>3.8003353807499951E-3</v>
      </c>
      <c r="I7">
        <f t="shared" si="6"/>
        <v>259.74618775000005</v>
      </c>
      <c r="J7" s="11"/>
      <c r="K7" s="11"/>
      <c r="L7" s="11"/>
      <c r="M7" s="11"/>
      <c r="N7" s="11"/>
      <c r="O7" s="11"/>
      <c r="P7" s="11"/>
    </row>
    <row r="8" spans="1:16">
      <c r="A8">
        <v>2536</v>
      </c>
      <c r="B8">
        <v>300</v>
      </c>
      <c r="C8">
        <f t="shared" si="0"/>
        <v>256.00294535336496</v>
      </c>
      <c r="D8">
        <f t="shared" si="1"/>
        <v>250.51506671285171</v>
      </c>
      <c r="E8">
        <f t="shared" si="2"/>
        <v>250.03631167802786</v>
      </c>
      <c r="F8">
        <f t="shared" si="3"/>
        <v>266.49994759956752</v>
      </c>
      <c r="G8" s="2">
        <f t="shared" si="4"/>
        <v>0.4819665935940266</v>
      </c>
      <c r="H8" s="3">
        <f t="shared" si="5"/>
        <v>4.7913819163784349E-3</v>
      </c>
      <c r="I8">
        <f t="shared" si="6"/>
        <v>263.29457275449994</v>
      </c>
      <c r="J8" s="11"/>
      <c r="K8" s="11"/>
      <c r="L8" s="11"/>
      <c r="M8" s="11"/>
      <c r="N8" s="11"/>
      <c r="O8" s="11"/>
      <c r="P8" s="11"/>
    </row>
    <row r="9" spans="1:16">
      <c r="A9">
        <v>2537</v>
      </c>
      <c r="B9">
        <v>310</v>
      </c>
      <c r="C9">
        <f t="shared" si="0"/>
        <v>257.62285699276401</v>
      </c>
      <c r="D9">
        <f t="shared" si="1"/>
        <v>250.72830042124906</v>
      </c>
      <c r="E9">
        <f t="shared" si="2"/>
        <v>250.05707134032448</v>
      </c>
      <c r="F9">
        <f t="shared" si="3"/>
        <v>270.74074105486932</v>
      </c>
      <c r="G9" s="2">
        <f t="shared" si="4"/>
        <v>0.60115820337358816</v>
      </c>
      <c r="H9" s="3">
        <f t="shared" si="5"/>
        <v>5.9528055495072169E-3</v>
      </c>
      <c r="I9">
        <f t="shared" si="6"/>
        <v>266.98430988411974</v>
      </c>
      <c r="J9" s="11"/>
      <c r="K9" s="11"/>
      <c r="L9" s="11"/>
      <c r="M9" s="11"/>
      <c r="N9" s="11"/>
      <c r="O9" s="11"/>
      <c r="P9" s="11"/>
    </row>
    <row r="10" spans="1:16">
      <c r="A10">
        <v>2538</v>
      </c>
      <c r="B10">
        <v>320</v>
      </c>
      <c r="C10">
        <f t="shared" si="0"/>
        <v>259.49417128298109</v>
      </c>
      <c r="D10">
        <f t="shared" si="1"/>
        <v>250.99127654710099</v>
      </c>
      <c r="E10">
        <f t="shared" si="2"/>
        <v>250.08509749652777</v>
      </c>
      <c r="F10">
        <f t="shared" si="3"/>
        <v>275.59378170416801</v>
      </c>
      <c r="G10" s="2">
        <f t="shared" si="4"/>
        <v>0.73650931210261938</v>
      </c>
      <c r="H10" s="3">
        <f t="shared" si="5"/>
        <v>7.2664939066597678E-3</v>
      </c>
      <c r="I10">
        <f t="shared" si="6"/>
        <v>271.34487566101768</v>
      </c>
      <c r="J10" s="11"/>
      <c r="K10" s="11"/>
      <c r="L10" s="11"/>
      <c r="M10" s="11"/>
      <c r="N10" s="11"/>
      <c r="O10" s="11"/>
      <c r="P10" s="11"/>
    </row>
    <row r="11" spans="1:16">
      <c r="A11">
        <v>2539</v>
      </c>
      <c r="B11">
        <v>312</v>
      </c>
      <c r="C11">
        <f t="shared" si="0"/>
        <v>261.06934614449165</v>
      </c>
      <c r="D11">
        <f t="shared" si="1"/>
        <v>251.29361863502271</v>
      </c>
      <c r="E11">
        <f t="shared" si="2"/>
        <v>250.12135313068262</v>
      </c>
      <c r="F11">
        <f t="shared" si="3"/>
        <v>279.44853565908949</v>
      </c>
      <c r="G11" s="2">
        <f t="shared" si="4"/>
        <v>0.83862973443124067</v>
      </c>
      <c r="H11" s="3">
        <f t="shared" si="5"/>
        <v>8.2294779515527296E-3</v>
      </c>
      <c r="I11">
        <f t="shared" si="6"/>
        <v>276.33392426322393</v>
      </c>
      <c r="J11" s="11"/>
      <c r="K11" s="11"/>
      <c r="L11" s="11"/>
      <c r="M11" s="11"/>
      <c r="N11" s="11"/>
      <c r="O11" s="11"/>
      <c r="P11" s="11"/>
    </row>
    <row r="12" spans="1:16">
      <c r="A12">
        <v>2540</v>
      </c>
      <c r="B12">
        <v>300</v>
      </c>
      <c r="C12">
        <f t="shared" si="0"/>
        <v>262.2372657601569</v>
      </c>
      <c r="D12">
        <f t="shared" si="1"/>
        <v>251.62192804877674</v>
      </c>
      <c r="E12">
        <f t="shared" si="2"/>
        <v>250.16637037822542</v>
      </c>
      <c r="F12">
        <f t="shared" si="3"/>
        <v>282.01238351236589</v>
      </c>
      <c r="G12" s="2">
        <f t="shared" si="4"/>
        <v>0.8992745528704158</v>
      </c>
      <c r="H12" s="3">
        <f t="shared" si="5"/>
        <v>8.7616133879753044E-3</v>
      </c>
      <c r="I12">
        <f t="shared" si="6"/>
        <v>280.29128013249652</v>
      </c>
      <c r="J12" s="11"/>
      <c r="K12" s="11"/>
      <c r="L12" s="11"/>
      <c r="M12" s="11"/>
      <c r="N12" s="11"/>
      <c r="O12" s="11"/>
      <c r="P12" s="11"/>
    </row>
    <row r="13" spans="1:16">
      <c r="A13">
        <v>2541</v>
      </c>
      <c r="B13">
        <v>290</v>
      </c>
      <c r="C13">
        <f t="shared" si="0"/>
        <v>263.0701477873522</v>
      </c>
      <c r="D13">
        <f t="shared" si="1"/>
        <v>251.96537464093402</v>
      </c>
      <c r="E13">
        <f t="shared" si="2"/>
        <v>250.22034050610665</v>
      </c>
      <c r="F13">
        <f t="shared" si="3"/>
        <v>283.53465994536117</v>
      </c>
      <c r="G13" s="2">
        <f t="shared" si="4"/>
        <v>0.92687596087848922</v>
      </c>
      <c r="H13" s="3">
        <f t="shared" si="5"/>
        <v>8.9528803384331355E-3</v>
      </c>
      <c r="I13">
        <f t="shared" si="6"/>
        <v>282.91603887193025</v>
      </c>
      <c r="J13" s="11"/>
      <c r="K13" s="11"/>
      <c r="L13" s="11"/>
      <c r="M13" s="11"/>
      <c r="N13" s="11"/>
      <c r="O13" s="11"/>
      <c r="P13" s="11"/>
    </row>
    <row r="14" spans="1:16">
      <c r="A14">
        <v>2542</v>
      </c>
      <c r="B14">
        <v>275</v>
      </c>
      <c r="C14">
        <f t="shared" si="0"/>
        <v>263.4280433537316</v>
      </c>
      <c r="D14">
        <f t="shared" si="1"/>
        <v>252.30925470231793</v>
      </c>
      <c r="E14">
        <f t="shared" si="2"/>
        <v>250.28300793199298</v>
      </c>
      <c r="F14">
        <f t="shared" si="3"/>
        <v>283.63937388623401</v>
      </c>
      <c r="G14" s="2">
        <f t="shared" si="4"/>
        <v>0.91065398138164444</v>
      </c>
      <c r="H14" s="3">
        <f t="shared" si="5"/>
        <v>8.6972980050800813E-3</v>
      </c>
      <c r="I14">
        <f t="shared" si="6"/>
        <v>284.46601234640889</v>
      </c>
      <c r="J14" s="11"/>
      <c r="K14" s="11"/>
      <c r="L14" s="11"/>
      <c r="M14" s="11"/>
      <c r="N14" s="11"/>
      <c r="O14" s="11"/>
      <c r="P14" s="11"/>
    </row>
    <row r="15" spans="1:16">
      <c r="A15">
        <v>2543</v>
      </c>
      <c r="B15">
        <v>260</v>
      </c>
      <c r="C15">
        <f t="shared" si="0"/>
        <v>263.32520205311965</v>
      </c>
      <c r="D15">
        <f t="shared" si="1"/>
        <v>252.63973312284199</v>
      </c>
      <c r="E15">
        <f t="shared" si="2"/>
        <v>250.35370968771846</v>
      </c>
      <c r="F15">
        <f t="shared" si="3"/>
        <v>282.41011647855146</v>
      </c>
      <c r="G15" s="2">
        <f t="shared" si="4"/>
        <v>0.8540489150407794</v>
      </c>
      <c r="H15" s="3">
        <f t="shared" si="5"/>
        <v>8.0343298391313909E-3</v>
      </c>
      <c r="I15">
        <f t="shared" si="6"/>
        <v>284.55437651661822</v>
      </c>
      <c r="J15" s="11"/>
      <c r="K15" s="11"/>
      <c r="L15" s="11"/>
      <c r="M15" s="11"/>
      <c r="N15" s="11"/>
      <c r="O15" s="11"/>
      <c r="P15" s="11"/>
    </row>
    <row r="16" spans="1:16">
      <c r="A16">
        <v>2544</v>
      </c>
      <c r="G16" s="2"/>
      <c r="H16" s="3"/>
      <c r="I16">
        <f>$F$15+$G$15*1+($H$15/2)*1^2</f>
        <v>283.2681825585118</v>
      </c>
      <c r="J16" s="11"/>
      <c r="K16" s="11"/>
      <c r="L16" s="11"/>
      <c r="M16" s="11"/>
      <c r="N16" s="11"/>
      <c r="O16" s="11"/>
      <c r="P16" s="11"/>
    </row>
    <row r="17" spans="1:16">
      <c r="A17">
        <v>2545</v>
      </c>
      <c r="G17" s="2"/>
      <c r="H17" s="3"/>
      <c r="I17">
        <f>$F$15+$G$15*2+($H$15/2)*2^2</f>
        <v>284.13428296831125</v>
      </c>
      <c r="J17" s="11"/>
      <c r="K17" s="11"/>
      <c r="L17" s="11"/>
      <c r="M17" s="11"/>
      <c r="N17" s="11"/>
      <c r="O17" s="11"/>
      <c r="P17" s="11"/>
    </row>
    <row r="18" spans="1:16">
      <c r="A18">
        <v>2546</v>
      </c>
      <c r="G18" s="2"/>
      <c r="H18" s="3"/>
      <c r="I18">
        <f>$F$15+$G$15*3+($H$15/2)*3^2</f>
        <v>285.00841770794989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1745" r:id="rId3">
          <objectPr defaultSize="0" autoPict="0" r:id="rId4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12</xdr:col>
                <xdr:colOff>304800</xdr:colOff>
                <xdr:row>4</xdr:row>
                <xdr:rowOff>28575</xdr:rowOff>
              </to>
            </anchor>
          </objectPr>
        </oleObject>
      </mc:Choice>
      <mc:Fallback>
        <oleObject progId="Equation.DSMT4" shapeId="31745" r:id="rId3"/>
      </mc:Fallback>
    </mc:AlternateContent>
    <mc:AlternateContent xmlns:mc="http://schemas.openxmlformats.org/markup-compatibility/2006">
      <mc:Choice Requires="x14">
        <oleObject progId="Equation.DSMT4" shapeId="31747" r:id="rId5">
          <objectPr defaultSize="0" autoPict="0" r:id="rId6">
            <anchor moveWithCells="1" sizeWithCells="1">
              <from>
                <xdr:col>10</xdr:col>
                <xdr:colOff>0</xdr:colOff>
                <xdr:row>5</xdr:row>
                <xdr:rowOff>0</xdr:rowOff>
              </from>
              <to>
                <xdr:col>12</xdr:col>
                <xdr:colOff>9525</xdr:colOff>
                <xdr:row>6</xdr:row>
                <xdr:rowOff>38100</xdr:rowOff>
              </to>
            </anchor>
          </objectPr>
        </oleObject>
      </mc:Choice>
      <mc:Fallback>
        <oleObject progId="Equation.DSMT4" shapeId="31747" r:id="rId5"/>
      </mc:Fallback>
    </mc:AlternateContent>
    <mc:AlternateContent xmlns:mc="http://schemas.openxmlformats.org/markup-compatibility/2006">
      <mc:Choice Requires="x14">
        <oleObject progId="Equation.DSMT4" shapeId="31749" r:id="rId7">
          <objectPr defaultSize="0" autoPict="0" r:id="rId8">
            <anchor moveWithCells="1" sizeWithCells="1">
              <from>
                <xdr:col>13</xdr:col>
                <xdr:colOff>0</xdr:colOff>
                <xdr:row>4</xdr:row>
                <xdr:rowOff>66675</xdr:rowOff>
              </from>
              <to>
                <xdr:col>15</xdr:col>
                <xdr:colOff>542925</xdr:colOff>
                <xdr:row>6</xdr:row>
                <xdr:rowOff>133350</xdr:rowOff>
              </to>
            </anchor>
          </objectPr>
        </oleObject>
      </mc:Choice>
      <mc:Fallback>
        <oleObject progId="Equation.DSMT4" shapeId="31749" r:id="rId7"/>
      </mc:Fallback>
    </mc:AlternateContent>
    <mc:AlternateContent xmlns:mc="http://schemas.openxmlformats.org/markup-compatibility/2006">
      <mc:Choice Requires="x14">
        <oleObject progId="Equation.DSMT4" shapeId="31750" r:id="rId9">
          <objectPr defaultSize="0" autoPict="0" r:id="rId10">
            <anchor moveWithCells="1" sizeWithCells="1">
              <from>
                <xdr:col>9</xdr:col>
                <xdr:colOff>600075</xdr:colOff>
                <xdr:row>6</xdr:row>
                <xdr:rowOff>114300</xdr:rowOff>
              </from>
              <to>
                <xdr:col>15</xdr:col>
                <xdr:colOff>361950</xdr:colOff>
                <xdr:row>8</xdr:row>
                <xdr:rowOff>161925</xdr:rowOff>
              </to>
            </anchor>
          </objectPr>
        </oleObject>
      </mc:Choice>
      <mc:Fallback>
        <oleObject progId="Equation.DSMT4" shapeId="31750" r:id="rId9"/>
      </mc:Fallback>
    </mc:AlternateContent>
    <mc:AlternateContent xmlns:mc="http://schemas.openxmlformats.org/markup-compatibility/2006">
      <mc:Choice Requires="x14">
        <oleObject progId="Equation.DSMT4" shapeId="31752" r:id="rId11">
          <objectPr defaultSize="0" autoPict="0" r:id="rId12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12</xdr:col>
                <xdr:colOff>152400</xdr:colOff>
                <xdr:row>12</xdr:row>
                <xdr:rowOff>38100</xdr:rowOff>
              </to>
            </anchor>
          </objectPr>
        </oleObject>
      </mc:Choice>
      <mc:Fallback>
        <oleObject progId="Equation.DSMT4" shapeId="31752" r:id="rId11"/>
      </mc:Fallback>
    </mc:AlternateContent>
    <mc:AlternateContent xmlns:mc="http://schemas.openxmlformats.org/markup-compatibility/2006">
      <mc:Choice Requires="x14">
        <oleObject progId="Equation.DSMT4" shapeId="31754" r:id="rId13">
          <objectPr defaultSize="0" autoPict="0" r:id="rId14">
            <anchor moveWithCells="1" sizeWithCells="1">
              <from>
                <xdr:col>10</xdr:col>
                <xdr:colOff>0</xdr:colOff>
                <xdr:row>13</xdr:row>
                <xdr:rowOff>0</xdr:rowOff>
              </from>
              <to>
                <xdr:col>12</xdr:col>
                <xdr:colOff>161925</xdr:colOff>
                <xdr:row>14</xdr:row>
                <xdr:rowOff>38100</xdr:rowOff>
              </to>
            </anchor>
          </objectPr>
        </oleObject>
      </mc:Choice>
      <mc:Fallback>
        <oleObject progId="Equation.DSMT4" shapeId="31754" r:id="rId13"/>
      </mc:Fallback>
    </mc:AlternateContent>
    <mc:AlternateContent xmlns:mc="http://schemas.openxmlformats.org/markup-compatibility/2006">
      <mc:Choice Requires="x14">
        <oleObject progId="Equation.DSMT4" shapeId="31756" r:id="rId15">
          <objectPr defaultSize="0" autoPict="0" r:id="rId16">
            <anchor moveWithCells="1" sizeWithCells="1">
              <from>
                <xdr:col>10</xdr:col>
                <xdr:colOff>0</xdr:colOff>
                <xdr:row>15</xdr:row>
                <xdr:rowOff>0</xdr:rowOff>
              </from>
              <to>
                <xdr:col>12</xdr:col>
                <xdr:colOff>161925</xdr:colOff>
                <xdr:row>16</xdr:row>
                <xdr:rowOff>38100</xdr:rowOff>
              </to>
            </anchor>
          </objectPr>
        </oleObject>
      </mc:Choice>
      <mc:Fallback>
        <oleObject progId="Equation.DSMT4" shapeId="31756" r:id="rId1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workbookViewId="0">
      <selection activeCell="Q10" sqref="Q10"/>
    </sheetView>
  </sheetViews>
  <sheetFormatPr defaultRowHeight="15"/>
  <cols>
    <col min="7" max="7" width="8.7109375" customWidth="1"/>
  </cols>
  <sheetData>
    <row r="1" spans="1:17">
      <c r="A1" t="s">
        <v>21</v>
      </c>
      <c r="B1" t="s">
        <v>22</v>
      </c>
      <c r="C1" t="s">
        <v>7</v>
      </c>
      <c r="D1" t="s">
        <v>8</v>
      </c>
      <c r="E1" t="s">
        <v>23</v>
      </c>
      <c r="F1" t="s">
        <v>24</v>
      </c>
      <c r="G1" t="s">
        <v>4</v>
      </c>
    </row>
    <row r="2" spans="1:17">
      <c r="A2">
        <v>2536</v>
      </c>
      <c r="B2">
        <v>1</v>
      </c>
      <c r="C2">
        <v>1</v>
      </c>
      <c r="D2">
        <v>16</v>
      </c>
      <c r="F2" s="2">
        <f>D2/E5</f>
        <v>0.92753623188405798</v>
      </c>
      <c r="I2" t="s">
        <v>90</v>
      </c>
    </row>
    <row r="3" spans="1:17">
      <c r="B3">
        <v>2</v>
      </c>
      <c r="C3">
        <v>2</v>
      </c>
      <c r="D3">
        <v>20</v>
      </c>
      <c r="F3" s="2">
        <f>D3/E5</f>
        <v>1.1594202898550725</v>
      </c>
      <c r="I3" s="11"/>
      <c r="J3" s="11"/>
      <c r="K3" s="11"/>
      <c r="L3" s="11"/>
      <c r="M3" s="11"/>
      <c r="N3" s="11"/>
    </row>
    <row r="4" spans="1:17">
      <c r="B4">
        <v>3</v>
      </c>
      <c r="C4">
        <v>3</v>
      </c>
      <c r="D4">
        <v>15</v>
      </c>
      <c r="F4" s="2">
        <f>D4/E5</f>
        <v>0.86956521739130432</v>
      </c>
      <c r="I4" s="11"/>
      <c r="J4" s="11"/>
      <c r="K4" s="11"/>
      <c r="L4" s="11"/>
      <c r="M4" s="11"/>
      <c r="N4" s="11"/>
    </row>
    <row r="5" spans="1:17">
      <c r="B5">
        <v>4</v>
      </c>
      <c r="C5">
        <v>4</v>
      </c>
      <c r="D5">
        <v>18</v>
      </c>
      <c r="E5" s="2">
        <f>AVERAGE(D2:D5)</f>
        <v>17.25</v>
      </c>
      <c r="F5" s="2">
        <f>D5/E5</f>
        <v>1.0434782608695652</v>
      </c>
      <c r="I5" s="11"/>
      <c r="J5" s="11"/>
      <c r="K5" s="11"/>
      <c r="L5" s="11"/>
      <c r="M5" s="11"/>
      <c r="N5" s="11"/>
      <c r="O5" t="s">
        <v>91</v>
      </c>
    </row>
    <row r="6" spans="1:17">
      <c r="A6">
        <v>2537</v>
      </c>
      <c r="B6">
        <v>1</v>
      </c>
      <c r="C6">
        <v>5</v>
      </c>
      <c r="D6">
        <v>15</v>
      </c>
      <c r="E6" s="2">
        <f>0.3*D6/F2+(1-0.3)*E5</f>
        <v>16.926562499999999</v>
      </c>
      <c r="F6" s="2">
        <f>0.25*D6/E6+(1-0.25)*F2</f>
        <v>0.91719745222929938</v>
      </c>
      <c r="I6" s="11"/>
      <c r="J6" s="11"/>
      <c r="K6" s="11"/>
      <c r="L6" s="11"/>
      <c r="M6" s="11"/>
      <c r="N6" s="11"/>
    </row>
    <row r="7" spans="1:17">
      <c r="B7">
        <v>2</v>
      </c>
      <c r="C7">
        <v>6</v>
      </c>
      <c r="D7">
        <v>21</v>
      </c>
      <c r="E7" s="2">
        <f>0.3*D7/F3+(1-0.3)*E6</f>
        <v>17.282343749999999</v>
      </c>
      <c r="F7" s="2">
        <f t="shared" ref="F7:F25" si="0">0.25*D7/E7+(1-0.25)*F3</f>
        <v>1.1733434592747296</v>
      </c>
      <c r="I7" s="11"/>
      <c r="J7" s="11"/>
      <c r="K7" s="11"/>
      <c r="L7" s="11"/>
      <c r="M7" s="11"/>
      <c r="N7" s="11"/>
    </row>
    <row r="8" spans="1:17">
      <c r="B8">
        <v>3</v>
      </c>
      <c r="C8">
        <v>7</v>
      </c>
      <c r="D8">
        <v>17</v>
      </c>
      <c r="E8" s="2">
        <f t="shared" ref="E8:E25" si="1">0.3*D8/F4+(1-0.3)*E7</f>
        <v>17.962640624999999</v>
      </c>
      <c r="F8" s="2">
        <f t="shared" si="0"/>
        <v>0.88877609691642989</v>
      </c>
      <c r="I8" s="11"/>
      <c r="J8" s="11"/>
      <c r="K8" s="11"/>
      <c r="L8" s="11"/>
      <c r="M8" s="11"/>
      <c r="N8" s="11"/>
      <c r="O8" t="s">
        <v>92</v>
      </c>
    </row>
    <row r="9" spans="1:17">
      <c r="B9">
        <v>4</v>
      </c>
      <c r="C9">
        <v>8</v>
      </c>
      <c r="D9">
        <v>19</v>
      </c>
      <c r="E9" s="2">
        <f t="shared" si="1"/>
        <v>18.036348437499999</v>
      </c>
      <c r="F9" s="2">
        <f t="shared" si="0"/>
        <v>1.0459657724163436</v>
      </c>
      <c r="I9" s="11"/>
      <c r="J9" s="11"/>
      <c r="K9" s="11"/>
      <c r="L9" s="11"/>
      <c r="M9" s="11"/>
      <c r="N9" s="11"/>
      <c r="O9" t="s">
        <v>93</v>
      </c>
      <c r="Q9" t="s">
        <v>97</v>
      </c>
    </row>
    <row r="10" spans="1:17">
      <c r="A10">
        <v>2538</v>
      </c>
      <c r="B10">
        <v>1</v>
      </c>
      <c r="C10">
        <v>9</v>
      </c>
      <c r="D10">
        <v>17</v>
      </c>
      <c r="E10" s="2">
        <f t="shared" si="1"/>
        <v>18.185860572916663</v>
      </c>
      <c r="F10" s="2">
        <f t="shared" si="0"/>
        <v>0.92159613073341284</v>
      </c>
      <c r="I10" s="11"/>
      <c r="J10" s="11"/>
      <c r="K10" s="11"/>
      <c r="L10" s="11"/>
      <c r="M10" s="11"/>
      <c r="N10" s="11"/>
    </row>
    <row r="11" spans="1:17">
      <c r="B11">
        <v>2</v>
      </c>
      <c r="C11">
        <v>10</v>
      </c>
      <c r="D11">
        <v>22</v>
      </c>
      <c r="E11" s="2">
        <f t="shared" si="1"/>
        <v>18.355053857352342</v>
      </c>
      <c r="F11" s="2">
        <f t="shared" si="0"/>
        <v>1.1796525882950006</v>
      </c>
      <c r="I11" s="11"/>
      <c r="J11" s="11"/>
      <c r="K11" s="11"/>
      <c r="L11" s="11"/>
      <c r="M11" s="11"/>
      <c r="N11" s="11"/>
    </row>
    <row r="12" spans="1:17">
      <c r="B12">
        <v>3</v>
      </c>
      <c r="C12">
        <v>11</v>
      </c>
      <c r="D12">
        <v>18</v>
      </c>
      <c r="E12" s="2">
        <f t="shared" si="1"/>
        <v>18.924308660611331</v>
      </c>
      <c r="F12" s="2">
        <f t="shared" si="0"/>
        <v>0.90437147259106676</v>
      </c>
      <c r="I12" s="11"/>
      <c r="J12" s="11"/>
      <c r="K12" s="11"/>
      <c r="L12" s="11"/>
      <c r="M12" s="11"/>
      <c r="N12" s="11"/>
    </row>
    <row r="13" spans="1:17">
      <c r="B13">
        <v>4</v>
      </c>
      <c r="C13">
        <v>12</v>
      </c>
      <c r="D13">
        <v>16</v>
      </c>
      <c r="E13" s="2">
        <f t="shared" si="1"/>
        <v>17.836076361132786</v>
      </c>
      <c r="F13" s="2">
        <f t="shared" si="0"/>
        <v>1.0087388995580175</v>
      </c>
      <c r="I13" s="11"/>
      <c r="J13" s="11"/>
      <c r="K13" s="11"/>
      <c r="L13" s="11"/>
      <c r="M13" s="11"/>
      <c r="N13" s="11"/>
    </row>
    <row r="14" spans="1:17">
      <c r="A14">
        <v>2539</v>
      </c>
      <c r="B14">
        <v>1</v>
      </c>
      <c r="C14">
        <v>13</v>
      </c>
      <c r="D14">
        <v>17</v>
      </c>
      <c r="E14" s="2">
        <f t="shared" si="1"/>
        <v>18.019130853017472</v>
      </c>
      <c r="F14" s="2">
        <f t="shared" si="0"/>
        <v>0.92705753075723973</v>
      </c>
      <c r="I14" s="11"/>
      <c r="J14" s="11"/>
      <c r="K14" s="11"/>
      <c r="L14" s="11"/>
      <c r="M14" s="11"/>
      <c r="N14" s="11"/>
    </row>
    <row r="15" spans="1:17">
      <c r="B15">
        <v>2</v>
      </c>
      <c r="C15">
        <v>14</v>
      </c>
      <c r="D15">
        <v>21</v>
      </c>
      <c r="E15" s="2">
        <f t="shared" si="1"/>
        <v>17.953946996652057</v>
      </c>
      <c r="F15" s="2">
        <f t="shared" si="0"/>
        <v>1.1771542512337223</v>
      </c>
      <c r="I15" s="11"/>
      <c r="J15" s="11"/>
      <c r="K15" s="11"/>
      <c r="L15" s="11" t="s">
        <v>25</v>
      </c>
      <c r="M15" s="11" t="s">
        <v>26</v>
      </c>
      <c r="N15" s="11"/>
    </row>
    <row r="16" spans="1:17">
      <c r="B16">
        <v>3</v>
      </c>
      <c r="C16">
        <v>15</v>
      </c>
      <c r="D16">
        <v>16</v>
      </c>
      <c r="E16" s="2">
        <f t="shared" si="1"/>
        <v>17.875316425685995</v>
      </c>
      <c r="F16" s="2">
        <f t="shared" si="0"/>
        <v>0.90205086697243697</v>
      </c>
      <c r="I16" s="11"/>
      <c r="J16" s="11"/>
      <c r="K16" s="11"/>
      <c r="L16" s="11">
        <v>0.90073294320278485</v>
      </c>
      <c r="M16" s="11">
        <f>L16*4/$L$20</f>
        <v>0.91247471827837523</v>
      </c>
      <c r="N16" s="11"/>
    </row>
    <row r="17" spans="1:17">
      <c r="B17">
        <v>4</v>
      </c>
      <c r="C17">
        <v>16</v>
      </c>
      <c r="D17">
        <v>18</v>
      </c>
      <c r="E17" s="2">
        <f t="shared" si="1"/>
        <v>17.865940256933605</v>
      </c>
      <c r="F17" s="2">
        <f t="shared" si="0"/>
        <v>1.0084300868950522</v>
      </c>
      <c r="I17" s="11"/>
      <c r="J17" s="11"/>
      <c r="K17" s="11"/>
      <c r="L17" s="11">
        <v>1.1661463827891776</v>
      </c>
      <c r="M17" s="11">
        <f t="shared" ref="M17:M19" si="2">L17*4/$L$20</f>
        <v>1.1813480345498384</v>
      </c>
      <c r="N17" s="11"/>
    </row>
    <row r="18" spans="1:17">
      <c r="A18">
        <v>2540</v>
      </c>
      <c r="B18">
        <v>1</v>
      </c>
      <c r="C18">
        <v>17</v>
      </c>
      <c r="D18">
        <v>14</v>
      </c>
      <c r="E18" s="2">
        <f t="shared" si="1"/>
        <v>17.03662135032079</v>
      </c>
      <c r="F18" s="29">
        <f t="shared" si="0"/>
        <v>0.90073294320278485</v>
      </c>
      <c r="I18" s="11"/>
      <c r="J18" s="12"/>
      <c r="K18" s="11"/>
      <c r="L18" s="11">
        <v>0.89003699302372041</v>
      </c>
      <c r="M18" s="11">
        <f t="shared" si="2"/>
        <v>0.90163933782514338</v>
      </c>
      <c r="N18" s="11"/>
    </row>
    <row r="19" spans="1:17">
      <c r="B19">
        <v>2</v>
      </c>
      <c r="C19">
        <v>18</v>
      </c>
      <c r="D19">
        <v>19</v>
      </c>
      <c r="E19" s="2">
        <f t="shared" si="1"/>
        <v>16.767821085253427</v>
      </c>
      <c r="F19" s="29">
        <f t="shared" si="0"/>
        <v>1.1661463827891776</v>
      </c>
      <c r="I19" s="11"/>
      <c r="J19" s="11"/>
      <c r="K19" s="11"/>
      <c r="L19" s="11">
        <v>0.99161146004325129</v>
      </c>
      <c r="M19" s="11">
        <f t="shared" si="2"/>
        <v>1.0045379093466429</v>
      </c>
      <c r="N19" s="11"/>
    </row>
    <row r="20" spans="1:17">
      <c r="B20">
        <v>3</v>
      </c>
      <c r="C20">
        <v>19</v>
      </c>
      <c r="D20">
        <v>14</v>
      </c>
      <c r="E20" s="2">
        <f t="shared" si="1"/>
        <v>16.393531478625526</v>
      </c>
      <c r="F20" s="29">
        <f t="shared" si="0"/>
        <v>0.89003699302372041</v>
      </c>
      <c r="I20" s="11"/>
      <c r="J20" s="11"/>
      <c r="K20" s="11" t="s">
        <v>27</v>
      </c>
      <c r="L20" s="12">
        <f>SUM(F18:F21)</f>
        <v>3.9485277790589342</v>
      </c>
      <c r="M20" s="11">
        <f>SUM(M16:M19)</f>
        <v>3.9999999999999996</v>
      </c>
      <c r="N20" s="11"/>
    </row>
    <row r="21" spans="1:17">
      <c r="B21">
        <v>4</v>
      </c>
      <c r="C21">
        <v>20</v>
      </c>
      <c r="D21">
        <v>15</v>
      </c>
      <c r="E21" s="2">
        <f t="shared" si="1"/>
        <v>15.937853769259487</v>
      </c>
      <c r="F21" s="29">
        <f t="shared" si="0"/>
        <v>0.99161146004325129</v>
      </c>
      <c r="L21" t="s">
        <v>76</v>
      </c>
    </row>
    <row r="22" spans="1:17">
      <c r="A22" s="21">
        <v>2541</v>
      </c>
      <c r="B22" s="21">
        <v>1</v>
      </c>
      <c r="C22" s="21">
        <v>21</v>
      </c>
      <c r="D22" s="21"/>
      <c r="E22" s="25"/>
      <c r="F22" s="25"/>
      <c r="G22" s="28">
        <f>$E$21*M16</f>
        <v>14.542888628066992</v>
      </c>
      <c r="H22" s="21">
        <v>1</v>
      </c>
      <c r="I22" t="s">
        <v>94</v>
      </c>
    </row>
    <row r="23" spans="1:17">
      <c r="A23" s="21"/>
      <c r="B23" s="21">
        <v>2</v>
      </c>
      <c r="C23" s="21">
        <v>22</v>
      </c>
      <c r="D23" s="21"/>
      <c r="E23" s="25"/>
      <c r="F23" s="25"/>
      <c r="G23" s="28">
        <f t="shared" ref="G23:G25" si="3">$E$21*M17</f>
        <v>18.82815222525743</v>
      </c>
      <c r="H23" s="21">
        <v>2</v>
      </c>
    </row>
    <row r="24" spans="1:17">
      <c r="A24" s="21"/>
      <c r="B24" s="21">
        <v>3</v>
      </c>
      <c r="C24" s="21">
        <v>23</v>
      </c>
      <c r="D24" s="21"/>
      <c r="E24" s="25"/>
      <c r="F24" s="25"/>
      <c r="G24" s="28">
        <f t="shared" si="3"/>
        <v>14.37019591886909</v>
      </c>
      <c r="H24" s="21">
        <v>3</v>
      </c>
      <c r="Q24" t="s">
        <v>42</v>
      </c>
    </row>
    <row r="25" spans="1:17">
      <c r="A25" s="21"/>
      <c r="B25" s="21">
        <v>4</v>
      </c>
      <c r="C25" s="21">
        <v>24</v>
      </c>
      <c r="D25" s="21"/>
      <c r="E25" s="25"/>
      <c r="F25" s="25"/>
      <c r="G25" s="28">
        <f t="shared" si="3"/>
        <v>16.010178304844437</v>
      </c>
      <c r="H25" s="21">
        <v>4</v>
      </c>
    </row>
    <row r="27" spans="1:17">
      <c r="H27" t="s">
        <v>95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3554" r:id="rId4">
          <objectPr defaultSize="0" autoPict="0" r:id="rId5">
            <anchor moveWithCells="1" sizeWithCells="1">
              <from>
                <xdr:col>9</xdr:col>
                <xdr:colOff>123825</xdr:colOff>
                <xdr:row>8</xdr:row>
                <xdr:rowOff>66675</xdr:rowOff>
              </from>
              <to>
                <xdr:col>13</xdr:col>
                <xdr:colOff>19050</xdr:colOff>
                <xdr:row>13</xdr:row>
                <xdr:rowOff>57150</xdr:rowOff>
              </to>
            </anchor>
          </objectPr>
        </oleObject>
      </mc:Choice>
      <mc:Fallback>
        <oleObject progId="Equation.DSMT4" shapeId="23554" r:id="rId4"/>
      </mc:Fallback>
    </mc:AlternateContent>
    <mc:AlternateContent xmlns:mc="http://schemas.openxmlformats.org/markup-compatibility/2006">
      <mc:Choice Requires="x14">
        <oleObject progId="Equation.DSMT4" shapeId="23556" r:id="rId6">
          <objectPr defaultSize="0" autoPict="0" r:id="rId7">
            <anchor moveWithCells="1" sizeWithCells="1">
              <from>
                <xdr:col>9</xdr:col>
                <xdr:colOff>85725</xdr:colOff>
                <xdr:row>3</xdr:row>
                <xdr:rowOff>9525</xdr:rowOff>
              </from>
              <to>
                <xdr:col>12</xdr:col>
                <xdr:colOff>581025</xdr:colOff>
                <xdr:row>8</xdr:row>
                <xdr:rowOff>47625</xdr:rowOff>
              </to>
            </anchor>
          </objectPr>
        </oleObject>
      </mc:Choice>
      <mc:Fallback>
        <oleObject progId="Equation.DSMT4" shapeId="23556" r:id="rId6"/>
      </mc:Fallback>
    </mc:AlternateContent>
    <mc:AlternateContent xmlns:mc="http://schemas.openxmlformats.org/markup-compatibility/2006">
      <mc:Choice Requires="x14">
        <oleObject progId="Equation.DSMT4" shapeId="23558" r:id="rId8">
          <objectPr defaultSize="0" autoPict="0" r:id="rId9">
            <anchor moveWithCells="1" sizeWithCells="1">
              <from>
                <xdr:col>9</xdr:col>
                <xdr:colOff>0</xdr:colOff>
                <xdr:row>15</xdr:row>
                <xdr:rowOff>0</xdr:rowOff>
              </from>
              <to>
                <xdr:col>10</xdr:col>
                <xdr:colOff>257175</xdr:colOff>
                <xdr:row>16</xdr:row>
                <xdr:rowOff>76200</xdr:rowOff>
              </to>
            </anchor>
          </objectPr>
        </oleObject>
      </mc:Choice>
      <mc:Fallback>
        <oleObject progId="Equation.DSMT4" shapeId="23558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4"/>
  <sheetViews>
    <sheetView tabSelected="1" topLeftCell="A13" workbookViewId="0">
      <selection activeCell="Q21" sqref="Q21"/>
    </sheetView>
  </sheetViews>
  <sheetFormatPr defaultRowHeight="15"/>
  <cols>
    <col min="1" max="7" width="9.140625" style="5"/>
    <col min="8" max="8" width="10.85546875" style="5" customWidth="1"/>
    <col min="9" max="10" width="9.140625" style="5"/>
  </cols>
  <sheetData>
    <row r="1" spans="1:17">
      <c r="A1" s="5" t="s">
        <v>14</v>
      </c>
      <c r="B1" s="5" t="s">
        <v>28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24</v>
      </c>
      <c r="H1" s="5" t="s">
        <v>4</v>
      </c>
      <c r="J1" s="13" t="s">
        <v>96</v>
      </c>
      <c r="K1" s="5"/>
    </row>
    <row r="2" spans="1:17">
      <c r="C2" s="5">
        <v>0</v>
      </c>
      <c r="E2" s="5">
        <f>AVERAGE(D3:D6)</f>
        <v>12.75</v>
      </c>
      <c r="F2" s="5">
        <f>((D7-D3)+(D8-D4)+(D9-D5)+(D10-D6))/4^2</f>
        <v>0.375</v>
      </c>
      <c r="G2" s="31" t="s">
        <v>98</v>
      </c>
      <c r="J2" s="9"/>
      <c r="K2" s="11"/>
      <c r="L2" s="11"/>
      <c r="M2" s="11"/>
      <c r="N2" s="11"/>
      <c r="O2" s="11"/>
    </row>
    <row r="3" spans="1:17">
      <c r="A3" s="5">
        <v>1993</v>
      </c>
      <c r="B3" s="5">
        <v>1</v>
      </c>
      <c r="C3" s="5">
        <v>1</v>
      </c>
      <c r="D3" s="5">
        <v>15</v>
      </c>
      <c r="E3" s="9">
        <f>0.2*D3/G3+0.8*(E2+F2)</f>
        <v>12.960387757110521</v>
      </c>
      <c r="F3" s="5">
        <f>0.3*(E3-E2)+0.7*F2</f>
        <v>0.32561632713315619</v>
      </c>
      <c r="G3" s="30">
        <v>1.21932</v>
      </c>
      <c r="H3" s="5">
        <f>(E2+F2*1)*G3</f>
        <v>16.003574999999998</v>
      </c>
      <c r="J3" s="9"/>
      <c r="K3" s="11"/>
      <c r="L3" s="11"/>
      <c r="M3" s="11"/>
      <c r="N3" s="11"/>
      <c r="O3" s="11"/>
      <c r="Q3" s="32" t="s">
        <v>99</v>
      </c>
    </row>
    <row r="4" spans="1:17">
      <c r="A4" s="5">
        <v>1993</v>
      </c>
      <c r="B4" s="5">
        <v>2</v>
      </c>
      <c r="C4" s="5">
        <v>2</v>
      </c>
      <c r="D4" s="5">
        <v>12</v>
      </c>
      <c r="E4" s="9">
        <f t="shared" ref="E4:E6" si="0">0.2*D4/G4+0.8*(E3+F3)</f>
        <v>13.164970062631177</v>
      </c>
      <c r="F4" s="5">
        <f t="shared" ref="F4:F30" si="1">0.3*(E4-E3)+0.7*F3</f>
        <v>0.28930612064940614</v>
      </c>
      <c r="G4" s="30">
        <v>0.94630999999999998</v>
      </c>
      <c r="H4" s="5">
        <f t="shared" ref="H4:H6" si="2">(E3+F3*1)*G4</f>
        <v>12.572678524960633</v>
      </c>
      <c r="J4" s="9"/>
      <c r="K4" s="11"/>
      <c r="L4" s="11"/>
      <c r="M4" s="11"/>
      <c r="N4" s="11"/>
      <c r="O4" s="11"/>
      <c r="Q4" s="32" t="s">
        <v>100</v>
      </c>
    </row>
    <row r="5" spans="1:17">
      <c r="A5" s="5">
        <v>1993</v>
      </c>
      <c r="B5" s="5">
        <v>3</v>
      </c>
      <c r="C5" s="5">
        <v>3</v>
      </c>
      <c r="D5" s="5">
        <v>10</v>
      </c>
      <c r="E5" s="9">
        <f t="shared" si="0"/>
        <v>13.228296470410516</v>
      </c>
      <c r="F5" s="5">
        <f t="shared" si="1"/>
        <v>0.22151220678838604</v>
      </c>
      <c r="G5" s="30">
        <v>0.81140000000000001</v>
      </c>
      <c r="H5" s="5">
        <f t="shared" si="2"/>
        <v>10.916799695113866</v>
      </c>
      <c r="J5" s="9"/>
      <c r="K5" s="11"/>
      <c r="L5" s="11"/>
      <c r="M5" s="11"/>
      <c r="N5" s="11"/>
      <c r="O5" s="11"/>
    </row>
    <row r="6" spans="1:17">
      <c r="A6" s="5">
        <v>1993</v>
      </c>
      <c r="B6" s="5">
        <v>4</v>
      </c>
      <c r="C6" s="5">
        <v>4</v>
      </c>
      <c r="D6" s="5">
        <v>14</v>
      </c>
      <c r="E6" s="9">
        <f t="shared" si="0"/>
        <v>13.496975107785497</v>
      </c>
      <c r="F6" s="5">
        <f t="shared" si="1"/>
        <v>0.23566213596436447</v>
      </c>
      <c r="G6" s="30">
        <v>1.0229699999999999</v>
      </c>
      <c r="H6" s="5">
        <f t="shared" si="2"/>
        <v>13.758750782514161</v>
      </c>
      <c r="J6" s="9"/>
      <c r="K6" s="11"/>
      <c r="L6" s="11"/>
      <c r="M6" s="11"/>
      <c r="N6" s="11"/>
      <c r="O6" s="11"/>
      <c r="Q6" t="s">
        <v>101</v>
      </c>
    </row>
    <row r="7" spans="1:17">
      <c r="A7" s="5">
        <v>1994</v>
      </c>
      <c r="B7" s="5">
        <v>1</v>
      </c>
      <c r="C7" s="5">
        <v>5</v>
      </c>
      <c r="D7" s="5">
        <v>16</v>
      </c>
      <c r="E7" s="5">
        <f>(0.2*D7/G3)+0.8*(E6+F6)</f>
        <v>13.610523402584446</v>
      </c>
      <c r="F7" s="5">
        <f t="shared" si="1"/>
        <v>0.19902798361473995</v>
      </c>
      <c r="G7" s="5">
        <f>0.1*D7/E7+0.9*G3</f>
        <v>1.2149440963141347</v>
      </c>
      <c r="H7" s="5">
        <f>(E6+F6)*G3</f>
        <v>16.744479244049082</v>
      </c>
      <c r="J7" s="9"/>
      <c r="K7" s="11"/>
      <c r="L7" s="11"/>
      <c r="M7" s="11"/>
      <c r="N7" s="11"/>
      <c r="O7" s="11"/>
      <c r="Q7" t="s">
        <v>102</v>
      </c>
    </row>
    <row r="8" spans="1:17">
      <c r="A8" s="5">
        <v>1994</v>
      </c>
      <c r="B8" s="5">
        <v>2</v>
      </c>
      <c r="C8" s="5">
        <v>6</v>
      </c>
      <c r="D8" s="5">
        <v>13</v>
      </c>
      <c r="E8" s="5">
        <f t="shared" ref="E8:E30" si="3">(0.2*D8/G4)+0.8*(E7+F7)</f>
        <v>13.795155137131935</v>
      </c>
      <c r="F8" s="5">
        <f t="shared" si="1"/>
        <v>0.19470910889456466</v>
      </c>
      <c r="G8" s="5">
        <f t="shared" ref="G8:G30" si="4">0.1*D8/E8+0.9*G4</f>
        <v>0.94591498263863194</v>
      </c>
      <c r="H8" s="5">
        <f t="shared" ref="H8:H30" si="5">(E7+F7)*G4</f>
        <v>13.068116572274151</v>
      </c>
      <c r="J8" s="9"/>
      <c r="K8" s="11"/>
      <c r="L8" s="11"/>
      <c r="M8" s="11"/>
      <c r="N8" s="11"/>
      <c r="O8" s="11"/>
      <c r="Q8" t="s">
        <v>103</v>
      </c>
    </row>
    <row r="9" spans="1:17">
      <c r="A9" s="5">
        <v>1994</v>
      </c>
      <c r="B9" s="5">
        <v>3</v>
      </c>
      <c r="C9" s="5">
        <v>7</v>
      </c>
      <c r="D9" s="5">
        <v>12</v>
      </c>
      <c r="E9" s="5">
        <f t="shared" si="3"/>
        <v>14.149742025364459</v>
      </c>
      <c r="F9" s="5">
        <f t="shared" si="1"/>
        <v>0.24267244269595228</v>
      </c>
      <c r="G9" s="5">
        <f t="shared" si="4"/>
        <v>0.81506719986618215</v>
      </c>
      <c r="H9" s="5">
        <f t="shared" si="5"/>
        <v>11.351375849225901</v>
      </c>
      <c r="J9" s="9"/>
      <c r="K9" s="11"/>
      <c r="L9" s="11"/>
      <c r="M9" s="11"/>
      <c r="N9" s="11"/>
      <c r="O9" s="11"/>
      <c r="Q9" t="s">
        <v>104</v>
      </c>
    </row>
    <row r="10" spans="1:17">
      <c r="A10" s="5">
        <v>1994</v>
      </c>
      <c r="B10" s="5">
        <v>4</v>
      </c>
      <c r="C10" s="5">
        <v>8</v>
      </c>
      <c r="D10" s="5">
        <v>16</v>
      </c>
      <c r="E10" s="5">
        <f t="shared" si="3"/>
        <v>14.642078049907042</v>
      </c>
      <c r="F10" s="5">
        <f t="shared" si="1"/>
        <v>0.31757151724994148</v>
      </c>
      <c r="G10" s="5">
        <f t="shared" si="4"/>
        <v>1.0299471067590578</v>
      </c>
      <c r="H10" s="5">
        <f t="shared" si="5"/>
        <v>14.723008228391757</v>
      </c>
      <c r="J10" s="9"/>
      <c r="K10" s="11"/>
      <c r="L10" s="11"/>
      <c r="M10" s="11"/>
      <c r="N10" s="11"/>
      <c r="O10" s="11"/>
    </row>
    <row r="11" spans="1:17">
      <c r="A11" s="5">
        <v>1995</v>
      </c>
      <c r="B11" s="5">
        <v>1</v>
      </c>
      <c r="C11" s="5">
        <v>9</v>
      </c>
      <c r="D11" s="5">
        <v>19</v>
      </c>
      <c r="E11" s="5">
        <f t="shared" si="3"/>
        <v>15.095435580349982</v>
      </c>
      <c r="F11" s="5">
        <f t="shared" si="1"/>
        <v>0.35830732120784098</v>
      </c>
      <c r="G11" s="5">
        <f t="shared" si="4"/>
        <v>1.2193155479151898</v>
      </c>
      <c r="H11" s="5">
        <f t="shared" si="5"/>
        <v>18.175137924545677</v>
      </c>
      <c r="J11" s="9"/>
      <c r="K11" s="11"/>
      <c r="L11" s="11"/>
      <c r="M11" s="11"/>
      <c r="N11" s="11"/>
      <c r="O11" s="11"/>
      <c r="Q11" t="s">
        <v>105</v>
      </c>
    </row>
    <row r="12" spans="1:17">
      <c r="A12" s="5">
        <v>1995</v>
      </c>
      <c r="B12" s="5">
        <v>2</v>
      </c>
      <c r="C12" s="5">
        <v>10</v>
      </c>
      <c r="D12" s="5">
        <v>15</v>
      </c>
      <c r="E12" s="5">
        <f t="shared" si="3"/>
        <v>15.534526705299943</v>
      </c>
      <c r="F12" s="5">
        <f t="shared" si="1"/>
        <v>0.38254246233047695</v>
      </c>
      <c r="G12" s="5">
        <f t="shared" si="4"/>
        <v>0.94788258967974359</v>
      </c>
      <c r="H12" s="5">
        <f>(E11+F11)*G8</f>
        <v>14.617926948428948</v>
      </c>
      <c r="J12" s="9"/>
      <c r="K12" s="11"/>
      <c r="L12" s="11"/>
      <c r="M12" s="11"/>
      <c r="N12" s="11"/>
      <c r="O12" s="11"/>
      <c r="Q12" t="s">
        <v>42</v>
      </c>
    </row>
    <row r="13" spans="1:17">
      <c r="A13" s="5">
        <v>1995</v>
      </c>
      <c r="B13" s="5">
        <v>3</v>
      </c>
      <c r="C13" s="5">
        <v>11</v>
      </c>
      <c r="D13" s="5">
        <v>13</v>
      </c>
      <c r="E13" s="5">
        <f t="shared" si="3"/>
        <v>15.923576361998562</v>
      </c>
      <c r="F13" s="5">
        <f t="shared" si="1"/>
        <v>0.38449462064091955</v>
      </c>
      <c r="G13" s="5">
        <f t="shared" si="4"/>
        <v>0.81520043126023722</v>
      </c>
      <c r="H13" s="5">
        <f t="shared" si="5"/>
        <v>12.973480996536869</v>
      </c>
      <c r="J13" s="9"/>
      <c r="K13" s="11"/>
      <c r="L13" s="11"/>
      <c r="M13" s="11"/>
      <c r="N13" s="11"/>
      <c r="O13" s="11"/>
    </row>
    <row r="14" spans="1:17">
      <c r="A14" s="5">
        <v>1995</v>
      </c>
      <c r="B14" s="5">
        <v>4</v>
      </c>
      <c r="C14" s="5">
        <v>12</v>
      </c>
      <c r="D14" s="5">
        <v>18</v>
      </c>
      <c r="E14" s="9">
        <f t="shared" si="3"/>
        <v>16.541781911426174</v>
      </c>
      <c r="F14" s="9">
        <f t="shared" si="1"/>
        <v>0.45460789927692735</v>
      </c>
      <c r="G14" s="9">
        <f t="shared" si="4"/>
        <v>1.0357677588801102</v>
      </c>
      <c r="H14" s="9">
        <f t="shared" si="5"/>
        <v>16.796450525390878</v>
      </c>
      <c r="J14" s="9"/>
      <c r="K14" s="11"/>
      <c r="L14" s="11"/>
      <c r="M14" s="11"/>
      <c r="N14" s="11"/>
      <c r="O14" s="11"/>
    </row>
    <row r="15" spans="1:17">
      <c r="A15" s="5">
        <v>1996</v>
      </c>
      <c r="B15" s="5">
        <v>1</v>
      </c>
      <c r="C15" s="5">
        <v>13</v>
      </c>
      <c r="D15" s="5">
        <v>22</v>
      </c>
      <c r="E15" s="9">
        <f t="shared" si="3"/>
        <v>17.20569373495211</v>
      </c>
      <c r="F15" s="9">
        <f t="shared" si="1"/>
        <v>0.51739907655162998</v>
      </c>
      <c r="G15" s="9">
        <f t="shared" si="4"/>
        <v>1.2252486426920204</v>
      </c>
      <c r="H15" s="9">
        <f t="shared" si="5"/>
        <v>20.723962354617601</v>
      </c>
      <c r="J15" s="9"/>
      <c r="K15" s="11"/>
      <c r="L15" s="11"/>
      <c r="M15" s="11"/>
      <c r="N15" s="11"/>
      <c r="O15" s="11"/>
    </row>
    <row r="16" spans="1:17">
      <c r="A16" s="5">
        <v>1996</v>
      </c>
      <c r="B16" s="5">
        <v>2</v>
      </c>
      <c r="C16" s="5">
        <v>14</v>
      </c>
      <c r="D16" s="5">
        <v>17</v>
      </c>
      <c r="E16" s="9">
        <f t="shared" si="3"/>
        <v>17.765416384250269</v>
      </c>
      <c r="F16" s="9">
        <f t="shared" si="1"/>
        <v>0.53009614837558861</v>
      </c>
      <c r="G16" s="9">
        <f t="shared" si="4"/>
        <v>0.94878586775376705</v>
      </c>
      <c r="H16" s="9">
        <f t="shared" si="5"/>
        <v>16.799411111302614</v>
      </c>
      <c r="J16" s="9"/>
      <c r="K16" s="11"/>
      <c r="L16" s="11"/>
      <c r="M16" s="11"/>
      <c r="N16" s="11"/>
      <c r="O16" s="11"/>
    </row>
    <row r="17" spans="1:15">
      <c r="A17" s="5">
        <v>1996</v>
      </c>
      <c r="B17" s="5">
        <v>3</v>
      </c>
      <c r="C17" s="5">
        <v>15</v>
      </c>
      <c r="D17" s="5">
        <v>15</v>
      </c>
      <c r="E17" s="9">
        <f t="shared" si="3"/>
        <v>18.31648658759395</v>
      </c>
      <c r="F17" s="9">
        <f t="shared" si="1"/>
        <v>0.53638836486601615</v>
      </c>
      <c r="G17" s="9">
        <f t="shared" si="4"/>
        <v>0.81557382292732361</v>
      </c>
      <c r="H17" s="9">
        <f t="shared" si="5"/>
        <v>14.914509706723674</v>
      </c>
      <c r="J17" s="9"/>
      <c r="K17" s="11"/>
      <c r="L17" s="11"/>
      <c r="M17" s="11"/>
      <c r="N17" s="11"/>
      <c r="O17" s="11"/>
    </row>
    <row r="18" spans="1:15">
      <c r="A18" s="5">
        <v>1996</v>
      </c>
      <c r="B18" s="5">
        <v>4</v>
      </c>
      <c r="C18" s="5">
        <v>16</v>
      </c>
      <c r="D18" s="5">
        <v>20</v>
      </c>
      <c r="E18" s="9">
        <f t="shared" si="3"/>
        <v>18.944169542002854</v>
      </c>
      <c r="F18" s="9">
        <f t="shared" si="1"/>
        <v>0.56377674172888248</v>
      </c>
      <c r="G18" s="9">
        <f t="shared" si="4"/>
        <v>1.0377643624725572</v>
      </c>
      <c r="H18" s="9">
        <f t="shared" si="5"/>
        <v>19.527200037956423</v>
      </c>
      <c r="J18" s="9"/>
      <c r="K18" s="11"/>
      <c r="L18" s="11"/>
      <c r="M18" s="11"/>
      <c r="N18" s="11"/>
      <c r="O18" s="11"/>
    </row>
    <row r="19" spans="1:15">
      <c r="A19" s="5">
        <v>1997</v>
      </c>
      <c r="B19" s="5">
        <v>1</v>
      </c>
      <c r="C19" s="5">
        <v>17</v>
      </c>
      <c r="D19" s="5">
        <v>26</v>
      </c>
      <c r="E19" s="9">
        <f t="shared" si="3"/>
        <v>19.850393558684758</v>
      </c>
      <c r="F19" s="9">
        <f t="shared" si="1"/>
        <v>0.66651092421478886</v>
      </c>
      <c r="G19" s="9">
        <f t="shared" si="4"/>
        <v>1.2337035492930273</v>
      </c>
      <c r="H19" s="9">
        <f t="shared" si="5"/>
        <v>23.902084705851156</v>
      </c>
      <c r="J19" s="9"/>
      <c r="K19" s="11"/>
      <c r="L19" s="11"/>
      <c r="M19" s="11"/>
      <c r="N19" s="11"/>
      <c r="O19" s="11"/>
    </row>
    <row r="20" spans="1:15">
      <c r="A20" s="5">
        <v>1997</v>
      </c>
      <c r="B20" s="5">
        <v>2</v>
      </c>
      <c r="C20" s="5">
        <v>18</v>
      </c>
      <c r="D20" s="5">
        <v>20</v>
      </c>
      <c r="E20" s="9">
        <f t="shared" si="3"/>
        <v>20.629437983811588</v>
      </c>
      <c r="F20" s="9">
        <f t="shared" si="1"/>
        <v>0.70027097448840125</v>
      </c>
      <c r="G20" s="9">
        <f t="shared" si="4"/>
        <v>0.95085611698494799</v>
      </c>
      <c r="H20" s="9">
        <f t="shared" si="5"/>
        <v>19.466149023429001</v>
      </c>
    </row>
    <row r="21" spans="1:15">
      <c r="A21" s="5">
        <v>1997</v>
      </c>
      <c r="B21" s="5">
        <v>3</v>
      </c>
      <c r="C21" s="5">
        <v>19</v>
      </c>
      <c r="D21" s="5">
        <v>18</v>
      </c>
      <c r="E21" s="9">
        <f t="shared" si="3"/>
        <v>21.477837234605865</v>
      </c>
      <c r="F21" s="9">
        <f t="shared" si="1"/>
        <v>0.74470945738016381</v>
      </c>
      <c r="G21" s="9">
        <f t="shared" si="4"/>
        <v>0.81782376165757464</v>
      </c>
      <c r="H21" s="9">
        <f t="shared" si="5"/>
        <v>17.395952277047904</v>
      </c>
    </row>
    <row r="22" spans="1:15">
      <c r="A22" s="5">
        <v>1997</v>
      </c>
      <c r="B22" s="5">
        <v>4</v>
      </c>
      <c r="C22" s="5">
        <v>20</v>
      </c>
      <c r="D22" s="5">
        <v>23</v>
      </c>
      <c r="E22" s="9">
        <f t="shared" si="3"/>
        <v>22.210642833545883</v>
      </c>
      <c r="F22" s="9">
        <f t="shared" si="1"/>
        <v>0.74113829984812019</v>
      </c>
      <c r="G22" s="9">
        <f t="shared" si="4"/>
        <v>1.0375418853446743</v>
      </c>
      <c r="H22" s="9">
        <f t="shared" si="5"/>
        <v>23.061767000325517</v>
      </c>
      <c r="J22" s="33" t="s">
        <v>25</v>
      </c>
      <c r="K22" s="35"/>
      <c r="L22" s="35" t="s">
        <v>107</v>
      </c>
    </row>
    <row r="23" spans="1:15">
      <c r="A23" s="5">
        <v>1998</v>
      </c>
      <c r="B23" s="5">
        <v>1</v>
      </c>
      <c r="C23" s="5">
        <v>21</v>
      </c>
      <c r="D23" s="5">
        <v>30</v>
      </c>
      <c r="E23" s="9">
        <f t="shared" si="3"/>
        <v>23.224829898488384</v>
      </c>
      <c r="F23" s="9">
        <f t="shared" si="1"/>
        <v>0.82305292937643437</v>
      </c>
      <c r="G23" s="9">
        <f t="shared" si="4"/>
        <v>1.2395052922052361</v>
      </c>
      <c r="H23" s="9">
        <f t="shared" si="5"/>
        <v>28.315693846864924</v>
      </c>
      <c r="J23" s="33">
        <v>1.2416609836876833</v>
      </c>
      <c r="K23" t="s">
        <v>29</v>
      </c>
      <c r="L23">
        <f>J23*4/$J$27</f>
        <v>1.222789495748952</v>
      </c>
    </row>
    <row r="24" spans="1:15">
      <c r="A24" s="5">
        <v>1998</v>
      </c>
      <c r="B24" s="5">
        <v>2</v>
      </c>
      <c r="C24" s="5">
        <v>22</v>
      </c>
      <c r="D24" s="5">
        <v>25</v>
      </c>
      <c r="E24" s="9">
        <f t="shared" si="3"/>
        <v>24.496725397096824</v>
      </c>
      <c r="F24" s="9">
        <f t="shared" si="1"/>
        <v>0.95770570014603629</v>
      </c>
      <c r="G24" s="9">
        <f t="shared" si="4"/>
        <v>0.95782496193216804</v>
      </c>
      <c r="H24" s="9">
        <f t="shared" si="5"/>
        <v>22.866076487412553</v>
      </c>
      <c r="J24" s="33">
        <v>0.96444721413245627</v>
      </c>
      <c r="K24" t="s">
        <v>30</v>
      </c>
      <c r="L24">
        <f t="shared" ref="L24:L26" si="6">J24*4/$J$27</f>
        <v>0.9497889827728877</v>
      </c>
    </row>
    <row r="25" spans="1:15">
      <c r="A25" s="5">
        <v>1998</v>
      </c>
      <c r="B25" s="5">
        <v>3</v>
      </c>
      <c r="C25" s="5">
        <v>23</v>
      </c>
      <c r="D25" s="5">
        <v>22</v>
      </c>
      <c r="E25" s="9">
        <f t="shared" si="3"/>
        <v>25.743677134017844</v>
      </c>
      <c r="F25" s="9">
        <f t="shared" si="1"/>
        <v>1.0444795111785312</v>
      </c>
      <c r="G25" s="9">
        <f t="shared" si="4"/>
        <v>0.82149926272307361</v>
      </c>
      <c r="H25" s="9">
        <f t="shared" si="5"/>
        <v>20.817238590800702</v>
      </c>
      <c r="J25" s="33">
        <v>0.82656115389577089</v>
      </c>
      <c r="K25" t="s">
        <v>31</v>
      </c>
      <c r="L25">
        <f t="shared" si="6"/>
        <v>0.81399859531392593</v>
      </c>
    </row>
    <row r="26" spans="1:15">
      <c r="A26" s="5">
        <v>1998</v>
      </c>
      <c r="B26" s="5">
        <v>4</v>
      </c>
      <c r="C26" s="5">
        <v>24</v>
      </c>
      <c r="D26" s="5">
        <v>27</v>
      </c>
      <c r="E26" s="9">
        <f t="shared" si="3"/>
        <v>26.635134475821154</v>
      </c>
      <c r="F26" s="9">
        <f t="shared" si="1"/>
        <v>0.99857286036596482</v>
      </c>
      <c r="G26" s="9">
        <f t="shared" si="4"/>
        <v>1.035157562333169</v>
      </c>
      <c r="H26" s="9">
        <f t="shared" si="5"/>
        <v>27.79383455056551</v>
      </c>
      <c r="J26" s="33">
        <v>1.0290632294171083</v>
      </c>
      <c r="K26" t="s">
        <v>32</v>
      </c>
      <c r="L26">
        <f t="shared" si="6"/>
        <v>1.0134229261642347</v>
      </c>
      <c r="M26" t="s">
        <v>106</v>
      </c>
    </row>
    <row r="27" spans="1:15">
      <c r="A27" s="5">
        <v>1999</v>
      </c>
      <c r="B27" s="5">
        <v>1</v>
      </c>
      <c r="C27" s="5">
        <v>25</v>
      </c>
      <c r="D27" s="5">
        <v>35</v>
      </c>
      <c r="E27" s="9">
        <f t="shared" si="3"/>
        <v>27.75438023984449</v>
      </c>
      <c r="F27" s="9">
        <f t="shared" si="1"/>
        <v>1.0347747314631763</v>
      </c>
      <c r="G27" s="33">
        <f t="shared" si="4"/>
        <v>1.2416609836876833</v>
      </c>
      <c r="H27" s="9">
        <f t="shared" si="5"/>
        <v>34.252126486454593</v>
      </c>
      <c r="J27" s="34">
        <f>SUM(J23:J26)</f>
        <v>4.0617325811330183</v>
      </c>
      <c r="L27">
        <f>SUM(L23:L26)</f>
        <v>4</v>
      </c>
    </row>
    <row r="28" spans="1:15">
      <c r="A28" s="5">
        <v>1999</v>
      </c>
      <c r="B28" s="5">
        <v>2</v>
      </c>
      <c r="C28" s="5">
        <v>26</v>
      </c>
      <c r="D28" s="5">
        <v>30</v>
      </c>
      <c r="E28" s="9">
        <f t="shared" si="3"/>
        <v>29.295516536714374</v>
      </c>
      <c r="F28" s="9">
        <f t="shared" si="1"/>
        <v>1.1866832010851884</v>
      </c>
      <c r="G28" s="33">
        <f t="shared" si="4"/>
        <v>0.96444721413245627</v>
      </c>
      <c r="H28" s="9">
        <f t="shared" si="5"/>
        <v>27.574971264452053</v>
      </c>
    </row>
    <row r="29" spans="1:15">
      <c r="A29" s="5">
        <v>1999</v>
      </c>
      <c r="B29" s="5">
        <v>3</v>
      </c>
      <c r="C29" s="5">
        <v>27</v>
      </c>
      <c r="D29" s="5">
        <v>27</v>
      </c>
      <c r="E29" s="9">
        <f t="shared" si="3"/>
        <v>30.959107138233964</v>
      </c>
      <c r="F29" s="9">
        <f t="shared" si="1"/>
        <v>1.3297554212155089</v>
      </c>
      <c r="G29" s="33">
        <f t="shared" si="4"/>
        <v>0.82656115389577089</v>
      </c>
      <c r="H29" s="9">
        <f t="shared" si="5"/>
        <v>25.041104610779808</v>
      </c>
      <c r="I29" s="36" t="s">
        <v>108</v>
      </c>
    </row>
    <row r="30" spans="1:15">
      <c r="A30" s="5">
        <v>1999</v>
      </c>
      <c r="B30" s="5">
        <v>4</v>
      </c>
      <c r="C30" s="5">
        <v>28</v>
      </c>
      <c r="D30" s="5">
        <v>31</v>
      </c>
      <c r="E30" s="9">
        <f t="shared" si="3"/>
        <v>31.82051641664841</v>
      </c>
      <c r="F30" s="9">
        <f t="shared" si="1"/>
        <v>1.1892515783751898</v>
      </c>
      <c r="G30" s="33">
        <f t="shared" si="4"/>
        <v>1.0290632294171083</v>
      </c>
      <c r="H30" s="9">
        <f t="shared" si="5"/>
        <v>33.424060257550444</v>
      </c>
      <c r="I30" s="14" t="s">
        <v>64</v>
      </c>
    </row>
    <row r="31" spans="1:15">
      <c r="A31" s="14">
        <v>2000</v>
      </c>
      <c r="B31" s="14">
        <v>1</v>
      </c>
      <c r="C31" s="14"/>
      <c r="D31" s="14"/>
      <c r="E31" s="14"/>
      <c r="F31" s="14"/>
      <c r="G31" s="37" t="s">
        <v>109</v>
      </c>
      <c r="H31" s="14">
        <f>($E$30+$F$30*I31)*L23</f>
        <v>40.363997561424803</v>
      </c>
      <c r="I31" s="14">
        <v>1</v>
      </c>
    </row>
    <row r="32" spans="1:15">
      <c r="A32" s="14">
        <v>2000</v>
      </c>
      <c r="B32" s="14">
        <v>2</v>
      </c>
      <c r="C32" s="14"/>
      <c r="D32" s="14"/>
      <c r="E32" s="14"/>
      <c r="F32" s="14"/>
      <c r="G32" s="14"/>
      <c r="H32" s="14">
        <f t="shared" ref="H32:H34" si="7">($E$30+$F$30*I32)*L24</f>
        <v>32.481852012448506</v>
      </c>
      <c r="I32" s="14">
        <v>2</v>
      </c>
    </row>
    <row r="33" spans="1:9">
      <c r="A33" s="14">
        <v>2000</v>
      </c>
      <c r="B33" s="14">
        <v>3</v>
      </c>
      <c r="C33" s="14"/>
      <c r="D33" s="14"/>
      <c r="E33" s="14"/>
      <c r="F33" s="14"/>
      <c r="G33" s="14"/>
      <c r="H33" s="14">
        <f t="shared" si="7"/>
        <v>28.806003008132347</v>
      </c>
      <c r="I33" s="14">
        <v>3</v>
      </c>
    </row>
    <row r="34" spans="1:9">
      <c r="A34" s="14">
        <v>2000</v>
      </c>
      <c r="B34" s="14">
        <v>4</v>
      </c>
      <c r="C34" s="14"/>
      <c r="D34" s="14"/>
      <c r="E34" s="14"/>
      <c r="F34" s="14"/>
      <c r="G34" s="14"/>
      <c r="H34" s="14">
        <f t="shared" si="7"/>
        <v>37.068500117026581</v>
      </c>
      <c r="I34" s="14">
        <v>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1505" r:id="rId4">
          <objectPr defaultSize="0" autoPict="0" r:id="rId5">
            <anchor moveWithCells="1" sizeWithCells="1">
              <from>
                <xdr:col>9</xdr:col>
                <xdr:colOff>104775</xdr:colOff>
                <xdr:row>6</xdr:row>
                <xdr:rowOff>66675</xdr:rowOff>
              </from>
              <to>
                <xdr:col>13</xdr:col>
                <xdr:colOff>200025</xdr:colOff>
                <xdr:row>8</xdr:row>
                <xdr:rowOff>133350</xdr:rowOff>
              </to>
            </anchor>
          </objectPr>
        </oleObject>
      </mc:Choice>
      <mc:Fallback>
        <oleObject progId="Equation.DSMT4" shapeId="21505" r:id="rId4"/>
      </mc:Fallback>
    </mc:AlternateContent>
    <mc:AlternateContent xmlns:mc="http://schemas.openxmlformats.org/markup-compatibility/2006">
      <mc:Choice Requires="x14">
        <oleObject progId="Equation.DSMT4" shapeId="21507" r:id="rId6">
          <objectPr defaultSize="0" autoPict="0" r:id="rId7">
            <anchor moveWithCells="1" sizeWithCells="1">
              <from>
                <xdr:col>9</xdr:col>
                <xdr:colOff>76200</xdr:colOff>
                <xdr:row>8</xdr:row>
                <xdr:rowOff>114300</xdr:rowOff>
              </from>
              <to>
                <xdr:col>13</xdr:col>
                <xdr:colOff>38100</xdr:colOff>
                <xdr:row>11</xdr:row>
                <xdr:rowOff>9525</xdr:rowOff>
              </to>
            </anchor>
          </objectPr>
        </oleObject>
      </mc:Choice>
      <mc:Fallback>
        <oleObject progId="Equation.DSMT4" shapeId="21507" r:id="rId6"/>
      </mc:Fallback>
    </mc:AlternateContent>
    <mc:AlternateContent xmlns:mc="http://schemas.openxmlformats.org/markup-compatibility/2006">
      <mc:Choice Requires="x14">
        <oleObject progId="Equation.DSMT4" shapeId="21509" r:id="rId8">
          <objectPr defaultSize="0" autoPict="0" r:id="rId9">
            <anchor moveWithCells="1" sizeWithCells="1">
              <from>
                <xdr:col>9</xdr:col>
                <xdr:colOff>114300</xdr:colOff>
                <xdr:row>11</xdr:row>
                <xdr:rowOff>9525</xdr:rowOff>
              </from>
              <to>
                <xdr:col>11</xdr:col>
                <xdr:colOff>590550</xdr:colOff>
                <xdr:row>12</xdr:row>
                <xdr:rowOff>28575</xdr:rowOff>
              </to>
            </anchor>
          </objectPr>
        </oleObject>
      </mc:Choice>
      <mc:Fallback>
        <oleObject progId="Equation.DSMT4" shapeId="21509" r:id="rId8"/>
      </mc:Fallback>
    </mc:AlternateContent>
    <mc:AlternateContent xmlns:mc="http://schemas.openxmlformats.org/markup-compatibility/2006">
      <mc:Choice Requires="x14">
        <oleObject progId="Equation.DSMT4" shapeId="21511" r:id="rId10">
          <objectPr defaultSize="0" autoPict="0" r:id="rId11">
            <anchor moveWithCells="1" sizeWithCells="1">
              <from>
                <xdr:col>9</xdr:col>
                <xdr:colOff>142875</xdr:colOff>
                <xdr:row>12</xdr:row>
                <xdr:rowOff>19050</xdr:rowOff>
              </from>
              <to>
                <xdr:col>11</xdr:col>
                <xdr:colOff>514350</xdr:colOff>
                <xdr:row>14</xdr:row>
                <xdr:rowOff>9525</xdr:rowOff>
              </to>
            </anchor>
          </objectPr>
        </oleObject>
      </mc:Choice>
      <mc:Fallback>
        <oleObject progId="Equation.DSMT4" shapeId="21511" r:id="rId10"/>
      </mc:Fallback>
    </mc:AlternateContent>
    <mc:AlternateContent xmlns:mc="http://schemas.openxmlformats.org/markup-compatibility/2006">
      <mc:Choice Requires="x14">
        <oleObject progId="Equation.DSMT4" shapeId="21512" r:id="rId12">
          <objectPr defaultSize="0" autoPict="0" r:id="rId13">
            <anchor moveWithCells="1" sizeWithCells="1">
              <from>
                <xdr:col>9</xdr:col>
                <xdr:colOff>47625</xdr:colOff>
                <xdr:row>15</xdr:row>
                <xdr:rowOff>9525</xdr:rowOff>
              </from>
              <to>
                <xdr:col>11</xdr:col>
                <xdr:colOff>561975</xdr:colOff>
                <xdr:row>16</xdr:row>
                <xdr:rowOff>57150</xdr:rowOff>
              </to>
            </anchor>
          </objectPr>
        </oleObject>
      </mc:Choice>
      <mc:Fallback>
        <oleObject progId="Equation.DSMT4" shapeId="21512" r:id="rId12"/>
      </mc:Fallback>
    </mc:AlternateContent>
    <mc:AlternateContent xmlns:mc="http://schemas.openxmlformats.org/markup-compatibility/2006">
      <mc:Choice Requires="x14">
        <oleObject progId="Equation.DSMT4" shapeId="21514" r:id="rId14">
          <objectPr defaultSize="0" autoPict="0" r:id="rId15">
            <anchor moveWithCells="1" sizeWithCells="1">
              <from>
                <xdr:col>9</xdr:col>
                <xdr:colOff>66675</xdr:colOff>
                <xdr:row>16</xdr:row>
                <xdr:rowOff>180975</xdr:rowOff>
              </from>
              <to>
                <xdr:col>11</xdr:col>
                <xdr:colOff>542925</xdr:colOff>
                <xdr:row>18</xdr:row>
                <xdr:rowOff>47625</xdr:rowOff>
              </to>
            </anchor>
          </objectPr>
        </oleObject>
      </mc:Choice>
      <mc:Fallback>
        <oleObject progId="Equation.DSMT4" shapeId="21514" r:id="rId14"/>
      </mc:Fallback>
    </mc:AlternateContent>
    <mc:AlternateContent xmlns:mc="http://schemas.openxmlformats.org/markup-compatibility/2006">
      <mc:Choice Requires="x14">
        <oleObject progId="Equation.DSMT4" shapeId="21516" r:id="rId16">
          <objectPr defaultSize="0" autoPict="0" r:id="rId17">
            <anchor moveWithCells="1" sizeWithCells="1">
              <from>
                <xdr:col>9</xdr:col>
                <xdr:colOff>104775</xdr:colOff>
                <xdr:row>1</xdr:row>
                <xdr:rowOff>171450</xdr:rowOff>
              </from>
              <to>
                <xdr:col>10</xdr:col>
                <xdr:colOff>590550</xdr:colOff>
                <xdr:row>3</xdr:row>
                <xdr:rowOff>152400</xdr:rowOff>
              </to>
            </anchor>
          </objectPr>
        </oleObject>
      </mc:Choice>
      <mc:Fallback>
        <oleObject progId="Equation.DSMT4" shapeId="21516" r:id="rId16"/>
      </mc:Fallback>
    </mc:AlternateContent>
    <mc:AlternateContent xmlns:mc="http://schemas.openxmlformats.org/markup-compatibility/2006">
      <mc:Choice Requires="x14">
        <oleObject progId="Equation.DSMT4" shapeId="21518" r:id="rId18">
          <objectPr defaultSize="0" autoPict="0" r:id="rId19">
            <anchor moveWithCells="1" sizeWithCells="1">
              <from>
                <xdr:col>9</xdr:col>
                <xdr:colOff>95250</xdr:colOff>
                <xdr:row>4</xdr:row>
                <xdr:rowOff>38100</xdr:rowOff>
              </from>
              <to>
                <xdr:col>14</xdr:col>
                <xdr:colOff>390525</xdr:colOff>
                <xdr:row>6</xdr:row>
                <xdr:rowOff>85725</xdr:rowOff>
              </to>
            </anchor>
          </objectPr>
        </oleObject>
      </mc:Choice>
      <mc:Fallback>
        <oleObject progId="Equation.DSMT4" shapeId="21518" r:id="rId18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8BBF09F5D8C9F49B3BFEE83D442ACC3" ma:contentTypeVersion="4" ma:contentTypeDescription="สร้างเอกสารใหม่" ma:contentTypeScope="" ma:versionID="1bfd7bb21190a88f7d2fbbc46746d56a">
  <xsd:schema xmlns:xsd="http://www.w3.org/2001/XMLSchema" xmlns:xs="http://www.w3.org/2001/XMLSchema" xmlns:p="http://schemas.microsoft.com/office/2006/metadata/properties" xmlns:ns2="d0aff968-b89c-4d07-8e37-de421947b2f5" targetNamespace="http://schemas.microsoft.com/office/2006/metadata/properties" ma:root="true" ma:fieldsID="b07b28c359ac8308df413e8bbac2f5ed" ns2:_="">
    <xsd:import namespace="d0aff968-b89c-4d07-8e37-de421947b2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ff968-b89c-4d07-8e37-de421947b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B17672-DC5F-4880-8DCE-4982798259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40AE8-ED94-471E-818F-08744EA6F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ff968-b89c-4d07-8e37-de421947b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645F2B-8041-471B-B5A2-8167A3D17C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ex4.1_M.A.</vt:lpstr>
      <vt:lpstr>ex4.2_M.A._Wg</vt:lpstr>
      <vt:lpstr>ex4.3_S_Exponential</vt:lpstr>
      <vt:lpstr>ex4.4_Double M.A.</vt:lpstr>
      <vt:lpstr>ex4.5_brown_0.1</vt:lpstr>
      <vt:lpstr>ex4.9_Holt</vt:lpstr>
      <vt:lpstr>ex4.6_3Exponential</vt:lpstr>
      <vt:lpstr>ex4.7_Simple_seasonal</vt:lpstr>
      <vt:lpstr>ex4.10_Winter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Admin</cp:lastModifiedBy>
  <cp:revision/>
  <dcterms:created xsi:type="dcterms:W3CDTF">2017-04-21T01:51:57Z</dcterms:created>
  <dcterms:modified xsi:type="dcterms:W3CDTF">2022-04-06T18:53:16Z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0x01010028BBF09F5D8C9F49B3BFEE83D442ACC3</vt:lpwstr>
  </property>
</Properties>
</file>